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defaultThemeVersion="124226"/>
  <mc:AlternateContent xmlns:mc="http://schemas.openxmlformats.org/markup-compatibility/2006">
    <mc:Choice Requires="x15">
      <x15ac:absPath xmlns:x15ac="http://schemas.microsoft.com/office/spreadsheetml/2010/11/ac" url="https://ucirvine.sharepoint.com/sites/Merage-ExecEd-Team/Shared Documents/Share/Office Administration/Accounting/LDI Budgets FY23-24/"/>
    </mc:Choice>
  </mc:AlternateContent>
  <xr:revisionPtr revIDLastSave="0" documentId="14_{6FE0391A-ED06-46B7-87AA-7E91913EFF65}" xr6:coauthVersionLast="47" xr6:coauthVersionMax="47" xr10:uidLastSave="{00000000-0000-0000-0000-000000000000}"/>
  <bookViews>
    <workbookView xWindow="-28920" yWindow="-120" windowWidth="29040" windowHeight="15840" xr2:uid="{C067448F-E50D-4F90-943A-E41DBA063C05}"/>
  </bookViews>
  <sheets>
    <sheet name="FY23-24 Q1-Q2 Summer-Fall '23v6" sheetId="16" r:id="rId1"/>
    <sheet name="FY22-23 Q1-Q2 Summer-Fall '23v5" sheetId="12" state="hidden" r:id="rId2"/>
    <sheet name="FY22-23 Q1-Q2 Summer-Fall '23v3" sheetId="11" state="hidden" r:id="rId3"/>
    <sheet name="FY22-23 Q1-Q2 Summer-Fall '23v2" sheetId="10" state="hidden" r:id="rId4"/>
    <sheet name="FY22-23 Q1-Q2 Summer-Fall '23" sheetId="9" state="hidden" r:id="rId5"/>
    <sheet name="FY21-22 Q1-Q2 - Summer-Fall v3" sheetId="14" state="hidden" r:id="rId6"/>
    <sheet name="FY21-22 Q1-Q2 - Summer-Fall v2" sheetId="13" state="hidden" r:id="rId7"/>
    <sheet name="FY21-22 Q1-Q2 - Summer-Fall '22" sheetId="6" state="hidden" r:id="rId8"/>
    <sheet name="FY23Q1-Q2 - Back-up Copy" sheetId="8" state="hidden" r:id="rId9"/>
    <sheet name="pass throughs" sheetId="7" state="hidden" r:id="rId10"/>
    <sheet name="Kaist GLP 2021 Budget Final" sheetId="5" state="hidden"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4" i="16" l="1"/>
  <c r="G41" i="16"/>
  <c r="G25" i="16"/>
  <c r="G33" i="16"/>
  <c r="G35" i="16"/>
  <c r="G77" i="16"/>
  <c r="G29" i="16"/>
  <c r="G28" i="16"/>
  <c r="G21" i="16"/>
  <c r="D29" i="16"/>
  <c r="F22" i="16"/>
  <c r="E21" i="16"/>
  <c r="E20" i="16"/>
  <c r="D25" i="16"/>
  <c r="F64" i="16"/>
  <c r="F58" i="16"/>
  <c r="G52" i="16"/>
  <c r="G16" i="16"/>
  <c r="G17" i="16"/>
  <c r="C4" i="16"/>
  <c r="B4" i="16"/>
  <c r="F49" i="16"/>
  <c r="E17" i="16"/>
  <c r="E101" i="12" l="1"/>
  <c r="C33" i="16"/>
  <c r="H32" i="16"/>
  <c r="G32" i="16"/>
  <c r="F32" i="16"/>
  <c r="E32" i="16"/>
  <c r="H31" i="16"/>
  <c r="G31" i="16"/>
  <c r="F31" i="16"/>
  <c r="E31" i="16"/>
  <c r="H30" i="16"/>
  <c r="G30" i="16"/>
  <c r="F30" i="16"/>
  <c r="E30" i="16"/>
  <c r="H29" i="16"/>
  <c r="H28" i="16"/>
  <c r="F28" i="16"/>
  <c r="E28" i="16"/>
  <c r="H27" i="16"/>
  <c r="G27" i="16"/>
  <c r="F27" i="16"/>
  <c r="E27" i="16"/>
  <c r="C25" i="16"/>
  <c r="H24" i="16"/>
  <c r="G24" i="16"/>
  <c r="F24" i="16"/>
  <c r="E24" i="16"/>
  <c r="H23" i="16"/>
  <c r="G23" i="16"/>
  <c r="F23" i="16"/>
  <c r="E23" i="16"/>
  <c r="H22" i="16"/>
  <c r="G22" i="16"/>
  <c r="E22" i="16"/>
  <c r="E25" i="16" s="1"/>
  <c r="H21" i="16"/>
  <c r="H25" i="16" s="1"/>
  <c r="F21" i="16"/>
  <c r="H20" i="16"/>
  <c r="G20" i="16"/>
  <c r="F20" i="16"/>
  <c r="H86" i="16"/>
  <c r="G86" i="16"/>
  <c r="F86" i="16"/>
  <c r="E86" i="16"/>
  <c r="D83" i="16"/>
  <c r="D84" i="16" s="1"/>
  <c r="C83" i="16"/>
  <c r="C84" i="16" s="1"/>
  <c r="H80" i="16"/>
  <c r="G80" i="16"/>
  <c r="F80" i="16"/>
  <c r="E80" i="16"/>
  <c r="D78" i="16"/>
  <c r="C78" i="16"/>
  <c r="H76" i="16"/>
  <c r="G76" i="16"/>
  <c r="F76" i="16"/>
  <c r="E76" i="16"/>
  <c r="D72" i="16"/>
  <c r="D73" i="16" s="1"/>
  <c r="C72" i="16"/>
  <c r="C73" i="16" s="1"/>
  <c r="H71" i="16"/>
  <c r="G71" i="16"/>
  <c r="F71" i="16"/>
  <c r="E71" i="16"/>
  <c r="H70" i="16"/>
  <c r="G70" i="16"/>
  <c r="F70" i="16"/>
  <c r="E70" i="16"/>
  <c r="H69" i="16"/>
  <c r="G69" i="16"/>
  <c r="F69" i="16"/>
  <c r="E69" i="16"/>
  <c r="H68" i="16"/>
  <c r="G68" i="16"/>
  <c r="F68" i="16"/>
  <c r="E68" i="16"/>
  <c r="H67" i="16"/>
  <c r="G67" i="16"/>
  <c r="F67" i="16"/>
  <c r="E67" i="16"/>
  <c r="H66" i="16"/>
  <c r="G66" i="16"/>
  <c r="F66" i="16"/>
  <c r="E66" i="16"/>
  <c r="C64" i="16"/>
  <c r="D63" i="16"/>
  <c r="D64" i="16" s="1"/>
  <c r="H62" i="16"/>
  <c r="G62" i="16"/>
  <c r="F62" i="16"/>
  <c r="E62" i="16"/>
  <c r="H61" i="16"/>
  <c r="G61" i="16"/>
  <c r="F61" i="16"/>
  <c r="E61" i="16"/>
  <c r="H60" i="16"/>
  <c r="G60" i="16"/>
  <c r="F60" i="16"/>
  <c r="E60" i="16"/>
  <c r="D58" i="16"/>
  <c r="C58" i="16"/>
  <c r="H57" i="16"/>
  <c r="H58" i="16" s="1"/>
  <c r="G57" i="16"/>
  <c r="G58" i="16" s="1"/>
  <c r="F57" i="16"/>
  <c r="E57" i="16"/>
  <c r="E58" i="16" s="1"/>
  <c r="H56" i="16"/>
  <c r="G56" i="16"/>
  <c r="F56" i="16"/>
  <c r="E56" i="16"/>
  <c r="D54" i="16"/>
  <c r="C54" i="16"/>
  <c r="H53" i="16"/>
  <c r="G53" i="16"/>
  <c r="F53" i="16"/>
  <c r="E53" i="16"/>
  <c r="H52" i="16"/>
  <c r="F52" i="16"/>
  <c r="F54" i="16" s="1"/>
  <c r="F73" i="16" s="1"/>
  <c r="E52" i="16"/>
  <c r="H51" i="16"/>
  <c r="G51" i="16"/>
  <c r="F51" i="16"/>
  <c r="E51" i="16"/>
  <c r="D49" i="16"/>
  <c r="C49" i="16"/>
  <c r="H48" i="16"/>
  <c r="G48" i="16"/>
  <c r="F48" i="16"/>
  <c r="E48" i="16"/>
  <c r="H47" i="16"/>
  <c r="G47" i="16"/>
  <c r="F47" i="16"/>
  <c r="E47" i="16"/>
  <c r="H46" i="16"/>
  <c r="G46" i="16"/>
  <c r="F46" i="16"/>
  <c r="E46" i="16"/>
  <c r="H45" i="16"/>
  <c r="G45" i="16"/>
  <c r="F45" i="16"/>
  <c r="E45" i="16"/>
  <c r="H44" i="16"/>
  <c r="G44" i="16"/>
  <c r="F44" i="16"/>
  <c r="E44" i="16"/>
  <c r="H43" i="16"/>
  <c r="G43" i="16"/>
  <c r="F43" i="16"/>
  <c r="E43" i="16"/>
  <c r="D40" i="16"/>
  <c r="D39" i="16"/>
  <c r="E11" i="16"/>
  <c r="H16" i="16" s="1"/>
  <c r="E10" i="16"/>
  <c r="F10" i="16" s="1"/>
  <c r="E9" i="16"/>
  <c r="F9" i="16" s="1"/>
  <c r="E8" i="16"/>
  <c r="E16" i="16" s="1"/>
  <c r="E29" i="16" l="1"/>
  <c r="E33" i="16" s="1"/>
  <c r="H33" i="16"/>
  <c r="H34" i="16" s="1"/>
  <c r="H35" i="16" s="1"/>
  <c r="F29" i="16"/>
  <c r="F33" i="16" s="1"/>
  <c r="D33" i="16"/>
  <c r="E34" i="16"/>
  <c r="E35" i="16" s="1"/>
  <c r="F25" i="16"/>
  <c r="F34" i="16" s="1"/>
  <c r="F35" i="16" s="1"/>
  <c r="H17" i="16"/>
  <c r="H54" i="16"/>
  <c r="H73" i="16" s="1"/>
  <c r="G54" i="16"/>
  <c r="G73" i="16" s="1"/>
  <c r="E4" i="16" s="1"/>
  <c r="G49" i="16"/>
  <c r="E49" i="16"/>
  <c r="E54" i="16"/>
  <c r="E73" i="16" s="1"/>
  <c r="H49" i="16"/>
  <c r="E72" i="16"/>
  <c r="H72" i="16"/>
  <c r="F72" i="16"/>
  <c r="F16" i="16"/>
  <c r="D41" i="16"/>
  <c r="G72" i="16"/>
  <c r="H77" i="16"/>
  <c r="H78" i="16" s="1"/>
  <c r="F11" i="16"/>
  <c r="F39" i="16"/>
  <c r="F40" i="16"/>
  <c r="G40" i="16" s="1"/>
  <c r="G63" i="16"/>
  <c r="G64" i="16" s="1"/>
  <c r="F63" i="16"/>
  <c r="H63" i="16"/>
  <c r="H64" i="16" s="1"/>
  <c r="E63" i="16"/>
  <c r="E64" i="16" s="1"/>
  <c r="E87" i="16" l="1"/>
  <c r="E77" i="16"/>
  <c r="E78" i="16" s="1"/>
  <c r="H81" i="16"/>
  <c r="H82" i="16" s="1"/>
  <c r="F17" i="16"/>
  <c r="G81" i="16"/>
  <c r="F77" i="16"/>
  <c r="F41" i="16"/>
  <c r="G39" i="16"/>
  <c r="E81" i="16" l="1"/>
  <c r="E82" i="16" s="1"/>
  <c r="F78" i="16"/>
  <c r="F81" i="16"/>
  <c r="G87" i="16"/>
  <c r="D4" i="16"/>
  <c r="G78" i="16" l="1"/>
  <c r="G4" i="16"/>
  <c r="F82" i="16"/>
  <c r="E88" i="16"/>
  <c r="F4" i="16"/>
  <c r="F87" i="16"/>
  <c r="F88" i="16"/>
  <c r="H88" i="16"/>
  <c r="H87" i="16"/>
  <c r="I4" i="16" l="1"/>
  <c r="G82" i="16"/>
  <c r="J4" i="16" s="1"/>
  <c r="G88" i="16"/>
  <c r="H4" i="16" s="1"/>
  <c r="H83" i="16"/>
  <c r="E83" i="16"/>
  <c r="E84" i="16" s="1"/>
  <c r="K4" i="16" l="1"/>
  <c r="L4" i="16" s="1"/>
  <c r="G83" i="16"/>
  <c r="E89" i="16"/>
  <c r="E90" i="16" s="1"/>
  <c r="H84" i="16"/>
  <c r="H89" i="16" s="1"/>
  <c r="H90" i="16" s="1"/>
  <c r="F83" i="16"/>
  <c r="G84" i="16" l="1"/>
  <c r="G89" i="16" s="1"/>
  <c r="G90" i="16" s="1"/>
  <c r="F84" i="16"/>
  <c r="F89" i="16" s="1"/>
  <c r="F90" i="16" s="1"/>
  <c r="K36" i="13" l="1"/>
  <c r="H34" i="13"/>
  <c r="H35" i="13"/>
  <c r="H36" i="13"/>
  <c r="L35" i="13"/>
  <c r="F35" i="12"/>
  <c r="G13" i="14"/>
  <c r="I13" i="14" s="1"/>
  <c r="C14" i="14"/>
  <c r="G14" i="14"/>
  <c r="I14" i="14"/>
  <c r="C15" i="14"/>
  <c r="C16" i="14" s="1"/>
  <c r="C17" i="14" s="1"/>
  <c r="C18" i="14" s="1"/>
  <c r="G15" i="14"/>
  <c r="G16" i="14"/>
  <c r="I16" i="14"/>
  <c r="G17" i="14"/>
  <c r="I17" i="14" s="1"/>
  <c r="J17" i="14" s="1"/>
  <c r="G18" i="14"/>
  <c r="I18" i="14" s="1"/>
  <c r="E19" i="14"/>
  <c r="C22" i="14"/>
  <c r="E22" i="14" s="1"/>
  <c r="K26" i="14"/>
  <c r="K77" i="14"/>
  <c r="K71" i="14"/>
  <c r="K67" i="14"/>
  <c r="K62" i="14"/>
  <c r="K63" i="14" s="1"/>
  <c r="K61" i="14"/>
  <c r="K57" i="14"/>
  <c r="K56" i="14"/>
  <c r="K55" i="14"/>
  <c r="K53" i="14"/>
  <c r="K52" i="14"/>
  <c r="K49" i="14"/>
  <c r="K48" i="14"/>
  <c r="K47" i="14"/>
  <c r="K46" i="14"/>
  <c r="K43" i="14"/>
  <c r="K42" i="14"/>
  <c r="K41" i="14"/>
  <c r="K40" i="14"/>
  <c r="K39" i="14"/>
  <c r="K36" i="14"/>
  <c r="K35" i="14"/>
  <c r="K34" i="14"/>
  <c r="K33" i="14"/>
  <c r="K30" i="14"/>
  <c r="K29" i="14"/>
  <c r="K28" i="14"/>
  <c r="K27" i="14"/>
  <c r="K25" i="14"/>
  <c r="K8" i="14"/>
  <c r="K9" i="14" s="1"/>
  <c r="K68" i="14" s="1"/>
  <c r="K69" i="14" s="1"/>
  <c r="G9" i="14"/>
  <c r="H9" i="14"/>
  <c r="K35" i="13"/>
  <c r="H77" i="14"/>
  <c r="G77" i="14"/>
  <c r="F77" i="14"/>
  <c r="E77" i="14"/>
  <c r="D74" i="14"/>
  <c r="C74" i="14"/>
  <c r="H71" i="14"/>
  <c r="G71" i="14"/>
  <c r="F71" i="14"/>
  <c r="E71" i="14"/>
  <c r="D69" i="14"/>
  <c r="C69" i="14"/>
  <c r="H67" i="14"/>
  <c r="G67" i="14"/>
  <c r="F67" i="14"/>
  <c r="E67" i="14"/>
  <c r="D63" i="14"/>
  <c r="D64" i="14" s="1"/>
  <c r="C63" i="14"/>
  <c r="C64" i="14" s="1"/>
  <c r="H62" i="14"/>
  <c r="H63" i="14" s="1"/>
  <c r="G62" i="14"/>
  <c r="G63" i="14" s="1"/>
  <c r="F62" i="14"/>
  <c r="F63" i="14" s="1"/>
  <c r="E62" i="14"/>
  <c r="E63" i="14" s="1"/>
  <c r="H61" i="14"/>
  <c r="G61" i="14"/>
  <c r="F61" i="14"/>
  <c r="E61" i="14"/>
  <c r="D58" i="14"/>
  <c r="C58" i="14"/>
  <c r="H57" i="14"/>
  <c r="G57" i="14"/>
  <c r="F57" i="14"/>
  <c r="E57" i="14"/>
  <c r="H56" i="14"/>
  <c r="G56" i="14"/>
  <c r="F56" i="14"/>
  <c r="E56" i="14"/>
  <c r="H55" i="14"/>
  <c r="G55" i="14"/>
  <c r="F55" i="14"/>
  <c r="E55" i="14"/>
  <c r="H53" i="14"/>
  <c r="G53" i="14"/>
  <c r="F53" i="14"/>
  <c r="E53" i="14"/>
  <c r="H52" i="14"/>
  <c r="G52" i="14"/>
  <c r="F52" i="14"/>
  <c r="E52" i="14"/>
  <c r="D50" i="14"/>
  <c r="C50" i="14"/>
  <c r="H49" i="14"/>
  <c r="G49" i="14"/>
  <c r="F49" i="14"/>
  <c r="E49" i="14"/>
  <c r="H48" i="14"/>
  <c r="G48" i="14"/>
  <c r="F48" i="14"/>
  <c r="E48" i="14"/>
  <c r="H47" i="14"/>
  <c r="G47" i="14"/>
  <c r="F47" i="14"/>
  <c r="E47" i="14"/>
  <c r="H46" i="14"/>
  <c r="G46" i="14"/>
  <c r="F46" i="14"/>
  <c r="E46" i="14"/>
  <c r="D44" i="14"/>
  <c r="C44" i="14"/>
  <c r="H43" i="14"/>
  <c r="G43" i="14"/>
  <c r="F43" i="14"/>
  <c r="E43" i="14"/>
  <c r="H42" i="14"/>
  <c r="G42" i="14"/>
  <c r="F42" i="14"/>
  <c r="E42" i="14"/>
  <c r="H41" i="14"/>
  <c r="G41" i="14"/>
  <c r="F41" i="14"/>
  <c r="E41" i="14"/>
  <c r="H40" i="14"/>
  <c r="G40" i="14"/>
  <c r="F40" i="14"/>
  <c r="E40" i="14"/>
  <c r="H39" i="14"/>
  <c r="G39" i="14"/>
  <c r="F39" i="14"/>
  <c r="E39" i="14"/>
  <c r="D37" i="14"/>
  <c r="C37" i="14"/>
  <c r="H36" i="14"/>
  <c r="G36" i="14"/>
  <c r="F36" i="14"/>
  <c r="E36" i="14"/>
  <c r="H35" i="14"/>
  <c r="G35" i="14"/>
  <c r="F35" i="14"/>
  <c r="E35" i="14"/>
  <c r="H34" i="14"/>
  <c r="G34" i="14"/>
  <c r="F34" i="14"/>
  <c r="E34" i="14"/>
  <c r="H33" i="14"/>
  <c r="G33" i="14"/>
  <c r="F33" i="14"/>
  <c r="E33" i="14"/>
  <c r="D31" i="14"/>
  <c r="C31" i="14"/>
  <c r="H30" i="14"/>
  <c r="G30" i="14"/>
  <c r="F30" i="14"/>
  <c r="E30" i="14"/>
  <c r="H29" i="14"/>
  <c r="G29" i="14"/>
  <c r="F29" i="14"/>
  <c r="E29" i="14"/>
  <c r="H28" i="14"/>
  <c r="G28" i="14"/>
  <c r="F28" i="14"/>
  <c r="E28" i="14"/>
  <c r="H27" i="14"/>
  <c r="G27" i="14"/>
  <c r="F27" i="14"/>
  <c r="E27" i="14"/>
  <c r="H26" i="14"/>
  <c r="G26" i="14"/>
  <c r="F26" i="14"/>
  <c r="E26" i="14"/>
  <c r="H25" i="14"/>
  <c r="G25" i="14"/>
  <c r="F25" i="14"/>
  <c r="E25" i="14"/>
  <c r="F8" i="14"/>
  <c r="F9" i="14" s="1"/>
  <c r="E8" i="14"/>
  <c r="E9" i="14" s="1"/>
  <c r="B4" i="14"/>
  <c r="M41" i="13"/>
  <c r="M58" i="13" s="1"/>
  <c r="L36" i="13"/>
  <c r="L61" i="13"/>
  <c r="M61" i="13"/>
  <c r="L51" i="13"/>
  <c r="M51" i="13"/>
  <c r="K51" i="13"/>
  <c r="L56" i="13"/>
  <c r="L57" i="13"/>
  <c r="M57" i="13"/>
  <c r="K57" i="13"/>
  <c r="L9" i="13"/>
  <c r="M59" i="13" l="1"/>
  <c r="M62" i="13" s="1"/>
  <c r="M63" i="13"/>
  <c r="M64" i="13" s="1"/>
  <c r="J16" i="14"/>
  <c r="J14" i="14"/>
  <c r="J18" i="14"/>
  <c r="I15" i="14"/>
  <c r="J15" i="14" s="1"/>
  <c r="G19" i="14"/>
  <c r="I19" i="14"/>
  <c r="G31" i="14"/>
  <c r="E37" i="14"/>
  <c r="J13" i="14"/>
  <c r="G22" i="14"/>
  <c r="G23" i="14" s="1"/>
  <c r="E23" i="14"/>
  <c r="F31" i="14"/>
  <c r="K58" i="14"/>
  <c r="K37" i="14"/>
  <c r="E50" i="14"/>
  <c r="E44" i="14"/>
  <c r="F44" i="14"/>
  <c r="F58" i="14"/>
  <c r="F37" i="14"/>
  <c r="F50" i="14"/>
  <c r="K31" i="14"/>
  <c r="K50" i="14"/>
  <c r="K44" i="14"/>
  <c r="G44" i="14"/>
  <c r="G58" i="14"/>
  <c r="H50" i="14"/>
  <c r="H44" i="14"/>
  <c r="H58" i="14"/>
  <c r="H31" i="14"/>
  <c r="G37" i="14"/>
  <c r="H37" i="14"/>
  <c r="G50" i="14"/>
  <c r="E31" i="14"/>
  <c r="E58" i="14"/>
  <c r="E68" i="14"/>
  <c r="E69" i="14" s="1"/>
  <c r="D4" i="14"/>
  <c r="G68" i="14"/>
  <c r="G69" i="14" s="1"/>
  <c r="G4" i="14" s="1"/>
  <c r="F68" i="14"/>
  <c r="F69" i="14" s="1"/>
  <c r="H68" i="14"/>
  <c r="H69" i="14" s="1"/>
  <c r="J19" i="14" l="1"/>
  <c r="K59" i="14" s="1"/>
  <c r="K78" i="14" s="1"/>
  <c r="H22" i="14"/>
  <c r="H23" i="14" s="1"/>
  <c r="G59" i="14" l="1"/>
  <c r="H59" i="14"/>
  <c r="H64" i="14" s="1"/>
  <c r="E59" i="14"/>
  <c r="F59" i="14"/>
  <c r="F79" i="14" s="1"/>
  <c r="K64" i="14"/>
  <c r="K72" i="14" s="1"/>
  <c r="K79" i="14"/>
  <c r="F64" i="14"/>
  <c r="F78" i="14"/>
  <c r="H79" i="14"/>
  <c r="H78" i="14"/>
  <c r="E64" i="14"/>
  <c r="E79" i="14"/>
  <c r="E78" i="14"/>
  <c r="G64" i="14"/>
  <c r="E4" i="14"/>
  <c r="G79" i="14"/>
  <c r="H4" i="14" s="1"/>
  <c r="G78" i="14"/>
  <c r="K73" i="14" l="1"/>
  <c r="K74" i="14" s="1"/>
  <c r="K75" i="14" s="1"/>
  <c r="K80" i="14" s="1"/>
  <c r="K81" i="14" s="1"/>
  <c r="F4" i="14"/>
  <c r="E72" i="14"/>
  <c r="H72" i="14"/>
  <c r="G72" i="14"/>
  <c r="G73" i="14" s="1"/>
  <c r="J4" i="14" s="1"/>
  <c r="F72" i="14"/>
  <c r="E73" i="14" l="1"/>
  <c r="E74" i="14" s="1"/>
  <c r="G74" i="14"/>
  <c r="G75" i="14" s="1"/>
  <c r="G80" i="14" s="1"/>
  <c r="G81" i="14" s="1"/>
  <c r="I4" i="14"/>
  <c r="K4" i="14" s="1"/>
  <c r="L4" i="14" s="1"/>
  <c r="F73" i="14"/>
  <c r="F74" i="14" s="1"/>
  <c r="F75" i="14" s="1"/>
  <c r="F80" i="14" s="1"/>
  <c r="F81" i="14" s="1"/>
  <c r="H73" i="14"/>
  <c r="H74" i="14" s="1"/>
  <c r="H75" i="14" s="1"/>
  <c r="H80" i="14" s="1"/>
  <c r="H81" i="14" s="1"/>
  <c r="E75" i="14" l="1"/>
  <c r="E80" i="14"/>
  <c r="E81" i="14" s="1"/>
  <c r="M49" i="13" l="1"/>
  <c r="M9" i="13"/>
  <c r="L49" i="13"/>
  <c r="M54" i="13"/>
  <c r="M52" i="13"/>
  <c r="M53" i="13" s="1"/>
  <c r="M55" i="13" s="1"/>
  <c r="M50" i="13"/>
  <c r="M42" i="13"/>
  <c r="M44" i="13" s="1"/>
  <c r="M40" i="13"/>
  <c r="K49" i="13"/>
  <c r="M43" i="13"/>
  <c r="H71" i="13" l="1"/>
  <c r="H72" i="13" s="1"/>
  <c r="H70" i="13"/>
  <c r="H69" i="13"/>
  <c r="Q59" i="13"/>
  <c r="Q56" i="13"/>
  <c r="Q60" i="13" s="1"/>
  <c r="Q61" i="13" s="1"/>
  <c r="M56" i="13"/>
  <c r="G54" i="13"/>
  <c r="K54" i="13" s="1"/>
  <c r="K52" i="13"/>
  <c r="R50" i="13"/>
  <c r="R51" i="13" s="1"/>
  <c r="R52" i="13" s="1"/>
  <c r="L50" i="13"/>
  <c r="K50" i="13"/>
  <c r="R48" i="13"/>
  <c r="Z45" i="13"/>
  <c r="AM42" i="13"/>
  <c r="Z42" i="13"/>
  <c r="AM40" i="13"/>
  <c r="Z40" i="13"/>
  <c r="P40" i="13"/>
  <c r="P41" i="13" s="1"/>
  <c r="AM39" i="13"/>
  <c r="Z39" i="13"/>
  <c r="AM38" i="13"/>
  <c r="Z38" i="13"/>
  <c r="AM37" i="13"/>
  <c r="AN42" i="13" s="1"/>
  <c r="Z37" i="13"/>
  <c r="AA42" i="13" s="1"/>
  <c r="AA45" i="13" s="1"/>
  <c r="G34" i="13"/>
  <c r="L33" i="13"/>
  <c r="L32" i="13"/>
  <c r="K32" i="13"/>
  <c r="H32" i="13"/>
  <c r="L31" i="13"/>
  <c r="K31" i="13"/>
  <c r="H31" i="13"/>
  <c r="R29" i="13"/>
  <c r="L27" i="13"/>
  <c r="K27" i="13"/>
  <c r="H27" i="13"/>
  <c r="R26" i="13"/>
  <c r="L26" i="13"/>
  <c r="K26" i="13"/>
  <c r="H26" i="13"/>
  <c r="R25" i="13"/>
  <c r="R24" i="13"/>
  <c r="R30" i="13" s="1"/>
  <c r="P24" i="13"/>
  <c r="R23" i="13"/>
  <c r="L22" i="13"/>
  <c r="L19" i="13"/>
  <c r="K19" i="13"/>
  <c r="H19" i="13"/>
  <c r="R18" i="13"/>
  <c r="E17" i="13"/>
  <c r="L15" i="13"/>
  <c r="H15" i="13"/>
  <c r="K15" i="13" s="1"/>
  <c r="L13" i="13"/>
  <c r="H13" i="13"/>
  <c r="K13" i="13" s="1"/>
  <c r="L12" i="13"/>
  <c r="D5" i="13"/>
  <c r="H9" i="13"/>
  <c r="H40" i="13" s="1"/>
  <c r="C5" i="13"/>
  <c r="B5" i="13"/>
  <c r="K55" i="13" l="1"/>
  <c r="G5" i="13"/>
  <c r="E5" i="13"/>
  <c r="F5" i="13" s="1"/>
  <c r="K34" i="13"/>
  <c r="L34" i="13"/>
  <c r="L41" i="13" s="1"/>
  <c r="L58" i="13" s="1"/>
  <c r="L52" i="13"/>
  <c r="L53" i="13" s="1"/>
  <c r="R56" i="13"/>
  <c r="L54" i="13"/>
  <c r="Q24" i="13"/>
  <c r="P25" i="13" s="1"/>
  <c r="L40" i="13"/>
  <c r="P11" i="13"/>
  <c r="H41" i="13"/>
  <c r="H42" i="13" s="1"/>
  <c r="L63" i="13" l="1"/>
  <c r="L64" i="13" s="1"/>
  <c r="L59" i="13"/>
  <c r="L62" i="13" s="1"/>
  <c r="L42" i="13"/>
  <c r="L43" i="13"/>
  <c r="L45" i="13"/>
  <c r="L46" i="13" s="1"/>
  <c r="I5" i="13"/>
  <c r="J5" i="13" s="1"/>
  <c r="H5" i="13"/>
  <c r="R19" i="13"/>
  <c r="K8" i="13" s="1"/>
  <c r="S11" i="13"/>
  <c r="R11" i="13"/>
  <c r="L55" i="13"/>
  <c r="L65" i="13" l="1"/>
  <c r="M45" i="13"/>
  <c r="L44" i="13"/>
  <c r="K9" i="13"/>
  <c r="K56" i="13"/>
  <c r="Q8" i="13"/>
  <c r="O8" i="13"/>
  <c r="P8" i="13" s="1"/>
  <c r="K5" i="13"/>
  <c r="L5" i="13" s="1"/>
  <c r="L47" i="13" l="1"/>
  <c r="G47" i="13" s="1"/>
  <c r="M65" i="13"/>
  <c r="M46" i="13"/>
  <c r="M47" i="13" s="1"/>
  <c r="M60" i="13"/>
  <c r="L60" i="13"/>
  <c r="G65" i="13"/>
  <c r="R57" i="13"/>
  <c r="K41" i="13"/>
  <c r="K58" i="13" s="1"/>
  <c r="K59" i="13" s="1"/>
  <c r="K60" i="13" s="1"/>
  <c r="K40" i="13"/>
  <c r="K42" i="13" l="1"/>
  <c r="D74" i="12" l="1"/>
  <c r="H106" i="12"/>
  <c r="G106" i="12"/>
  <c r="F106" i="12"/>
  <c r="E106" i="12"/>
  <c r="D104" i="12"/>
  <c r="D103" i="12"/>
  <c r="C103" i="12"/>
  <c r="C104" i="12" s="1"/>
  <c r="H100" i="12"/>
  <c r="G100" i="12"/>
  <c r="F100" i="12"/>
  <c r="E100" i="12"/>
  <c r="D98" i="12"/>
  <c r="C98" i="12"/>
  <c r="H96" i="12"/>
  <c r="G96" i="12"/>
  <c r="F96" i="12"/>
  <c r="E96" i="12"/>
  <c r="B88" i="12"/>
  <c r="B87" i="12"/>
  <c r="H86" i="12"/>
  <c r="G86" i="12"/>
  <c r="F86" i="12"/>
  <c r="E86" i="12"/>
  <c r="D84" i="12"/>
  <c r="C84" i="12"/>
  <c r="D83" i="12"/>
  <c r="C83" i="12"/>
  <c r="H82" i="12"/>
  <c r="G82" i="12"/>
  <c r="F82" i="12"/>
  <c r="E82" i="12"/>
  <c r="H81" i="12"/>
  <c r="G81" i="12"/>
  <c r="F81" i="12"/>
  <c r="E81" i="12"/>
  <c r="H80" i="12"/>
  <c r="G80" i="12"/>
  <c r="F80" i="12"/>
  <c r="E80" i="12"/>
  <c r="H79" i="12"/>
  <c r="G79" i="12"/>
  <c r="F79" i="12"/>
  <c r="E79" i="12"/>
  <c r="H78" i="12"/>
  <c r="H83" i="12" s="1"/>
  <c r="G78" i="12"/>
  <c r="G83" i="12" s="1"/>
  <c r="F78" i="12"/>
  <c r="F83" i="12" s="1"/>
  <c r="E78" i="12"/>
  <c r="E83" i="12" s="1"/>
  <c r="H77" i="12"/>
  <c r="G77" i="12"/>
  <c r="F77" i="12"/>
  <c r="E77" i="12"/>
  <c r="G75" i="12"/>
  <c r="D75" i="12"/>
  <c r="C75" i="12"/>
  <c r="H74" i="12"/>
  <c r="G74" i="12"/>
  <c r="F74" i="12"/>
  <c r="E74" i="12"/>
  <c r="E75" i="12" s="1"/>
  <c r="H73" i="12"/>
  <c r="H75" i="12" s="1"/>
  <c r="G73" i="12"/>
  <c r="F73" i="12"/>
  <c r="E73" i="12"/>
  <c r="H72" i="12"/>
  <c r="G72" i="12"/>
  <c r="F72" i="12"/>
  <c r="F75" i="12" s="1"/>
  <c r="E72" i="12"/>
  <c r="H71" i="12"/>
  <c r="G71" i="12"/>
  <c r="F71" i="12"/>
  <c r="E71" i="12"/>
  <c r="G69" i="12"/>
  <c r="F69" i="12"/>
  <c r="D69" i="12"/>
  <c r="C69" i="12"/>
  <c r="H68" i="12"/>
  <c r="H69" i="12" s="1"/>
  <c r="G68" i="12"/>
  <c r="F68" i="12"/>
  <c r="E68" i="12"/>
  <c r="E69" i="12" s="1"/>
  <c r="H67" i="12"/>
  <c r="G67" i="12"/>
  <c r="F67" i="12"/>
  <c r="E67" i="12"/>
  <c r="E65" i="12"/>
  <c r="D65" i="12"/>
  <c r="C65" i="12"/>
  <c r="H64" i="12"/>
  <c r="H65" i="12" s="1"/>
  <c r="G64" i="12"/>
  <c r="F64" i="12"/>
  <c r="E64" i="12"/>
  <c r="H63" i="12"/>
  <c r="G63" i="12"/>
  <c r="G65" i="12" s="1"/>
  <c r="F63" i="12"/>
  <c r="F65" i="12" s="1"/>
  <c r="E63" i="12"/>
  <c r="H62" i="12"/>
  <c r="G62" i="12"/>
  <c r="F62" i="12"/>
  <c r="E62" i="12"/>
  <c r="G60" i="12"/>
  <c r="D60" i="12"/>
  <c r="C60" i="12"/>
  <c r="H59" i="12"/>
  <c r="G59" i="12"/>
  <c r="F59" i="12"/>
  <c r="E59" i="12"/>
  <c r="H58" i="12"/>
  <c r="G58" i="12"/>
  <c r="F58" i="12"/>
  <c r="E58" i="12"/>
  <c r="H57" i="12"/>
  <c r="G57" i="12"/>
  <c r="F57" i="12"/>
  <c r="E57" i="12"/>
  <c r="H56" i="12"/>
  <c r="G56" i="12"/>
  <c r="F56" i="12"/>
  <c r="F60" i="12" s="1"/>
  <c r="E56" i="12"/>
  <c r="H55" i="12"/>
  <c r="H60" i="12" s="1"/>
  <c r="G55" i="12"/>
  <c r="F55" i="12"/>
  <c r="E55" i="12"/>
  <c r="E60" i="12" s="1"/>
  <c r="H54" i="12"/>
  <c r="G54" i="12"/>
  <c r="F54" i="12"/>
  <c r="E54" i="12"/>
  <c r="C52" i="12"/>
  <c r="C88" i="12" s="1"/>
  <c r="H51" i="12"/>
  <c r="G51" i="12"/>
  <c r="F51" i="12"/>
  <c r="E51" i="12"/>
  <c r="H50" i="12"/>
  <c r="G50" i="12"/>
  <c r="F50" i="12"/>
  <c r="E50" i="12"/>
  <c r="H49" i="12"/>
  <c r="G49" i="12"/>
  <c r="F49" i="12"/>
  <c r="E49" i="12"/>
  <c r="D48" i="12"/>
  <c r="G48" i="12" s="1"/>
  <c r="H47" i="12"/>
  <c r="G47" i="12"/>
  <c r="G52" i="12" s="1"/>
  <c r="G88" i="12" s="1"/>
  <c r="F47" i="12"/>
  <c r="E47" i="12"/>
  <c r="H46" i="12"/>
  <c r="G46" i="12"/>
  <c r="F46" i="12"/>
  <c r="E46" i="12"/>
  <c r="D43" i="12"/>
  <c r="F42" i="12"/>
  <c r="D42" i="12"/>
  <c r="D44" i="12" s="1"/>
  <c r="D39" i="12"/>
  <c r="D87" i="12" s="1"/>
  <c r="C39" i="12"/>
  <c r="C87" i="12" s="1"/>
  <c r="H38" i="12"/>
  <c r="G38" i="12"/>
  <c r="F38" i="12"/>
  <c r="E38" i="12"/>
  <c r="H37" i="12"/>
  <c r="G37" i="12"/>
  <c r="F37" i="12"/>
  <c r="E37" i="12"/>
  <c r="E39" i="12" s="1"/>
  <c r="E87" i="12" s="1"/>
  <c r="H36" i="12"/>
  <c r="G36" i="12"/>
  <c r="F36" i="12"/>
  <c r="E36" i="12"/>
  <c r="H35" i="12"/>
  <c r="G35" i="12"/>
  <c r="G39" i="12" s="1"/>
  <c r="F39" i="12"/>
  <c r="E35" i="12"/>
  <c r="H34" i="12"/>
  <c r="G34" i="12"/>
  <c r="F34" i="12"/>
  <c r="E34" i="12"/>
  <c r="H24" i="12"/>
  <c r="G24" i="12"/>
  <c r="F24" i="12"/>
  <c r="E24" i="12"/>
  <c r="H19" i="12"/>
  <c r="H29" i="12" s="1"/>
  <c r="G19" i="12"/>
  <c r="G29" i="12" s="1"/>
  <c r="F19" i="12"/>
  <c r="F29" i="12" s="1"/>
  <c r="E19" i="12"/>
  <c r="E29" i="12" s="1"/>
  <c r="G15" i="12"/>
  <c r="G16" i="12" s="1"/>
  <c r="F15" i="12"/>
  <c r="F16" i="12" s="1"/>
  <c r="F11" i="12"/>
  <c r="E11" i="12"/>
  <c r="H15" i="12" s="1"/>
  <c r="H16" i="12" s="1"/>
  <c r="E10" i="12"/>
  <c r="F10" i="12" s="1"/>
  <c r="E9" i="12"/>
  <c r="F9" i="12" s="1"/>
  <c r="E8" i="12"/>
  <c r="E15" i="12" s="1"/>
  <c r="E16" i="12" s="1"/>
  <c r="B4" i="12"/>
  <c r="D74" i="11"/>
  <c r="E11" i="11"/>
  <c r="F11" i="11" s="1"/>
  <c r="E10" i="11"/>
  <c r="F10" i="11" s="1"/>
  <c r="E9" i="11"/>
  <c r="F9" i="11" s="1"/>
  <c r="E8" i="11"/>
  <c r="E15" i="11" s="1"/>
  <c r="E16" i="11" s="1"/>
  <c r="H15" i="11"/>
  <c r="H16" i="11" s="1"/>
  <c r="H106" i="11"/>
  <c r="G106" i="11"/>
  <c r="F106" i="11"/>
  <c r="E106" i="11"/>
  <c r="D103" i="11"/>
  <c r="D104" i="11" s="1"/>
  <c r="C103" i="11"/>
  <c r="C104" i="11" s="1"/>
  <c r="H100" i="11"/>
  <c r="G100" i="11"/>
  <c r="F100" i="11"/>
  <c r="E100" i="11"/>
  <c r="D98" i="11"/>
  <c r="C98" i="11"/>
  <c r="H96" i="11"/>
  <c r="G96" i="11"/>
  <c r="F96" i="11"/>
  <c r="E96" i="11"/>
  <c r="B88" i="11"/>
  <c r="D87" i="11"/>
  <c r="C87" i="11"/>
  <c r="B87" i="11"/>
  <c r="H86" i="11"/>
  <c r="G86" i="11"/>
  <c r="F86" i="11"/>
  <c r="E86" i="11"/>
  <c r="C84" i="11"/>
  <c r="E83" i="11"/>
  <c r="D83" i="11"/>
  <c r="D84" i="11" s="1"/>
  <c r="C83" i="11"/>
  <c r="H82" i="11"/>
  <c r="G82" i="11"/>
  <c r="F82" i="11"/>
  <c r="E82" i="11"/>
  <c r="H81" i="11"/>
  <c r="G81" i="11"/>
  <c r="F81" i="11"/>
  <c r="E81" i="11"/>
  <c r="H80" i="11"/>
  <c r="G80" i="11"/>
  <c r="F80" i="11"/>
  <c r="E80" i="11"/>
  <c r="H79" i="11"/>
  <c r="G79" i="11"/>
  <c r="F79" i="11"/>
  <c r="E79" i="11"/>
  <c r="H78" i="11"/>
  <c r="H83" i="11" s="1"/>
  <c r="G78" i="11"/>
  <c r="G83" i="11" s="1"/>
  <c r="F78" i="11"/>
  <c r="F83" i="11" s="1"/>
  <c r="E78" i="11"/>
  <c r="H77" i="11"/>
  <c r="G77" i="11"/>
  <c r="F77" i="11"/>
  <c r="E77" i="11"/>
  <c r="H75" i="11"/>
  <c r="C75" i="11"/>
  <c r="H74" i="11"/>
  <c r="G74" i="11"/>
  <c r="F74" i="11"/>
  <c r="E74" i="11"/>
  <c r="D75" i="11"/>
  <c r="H73" i="11"/>
  <c r="G73" i="11"/>
  <c r="F73" i="11"/>
  <c r="E73" i="11"/>
  <c r="H72" i="11"/>
  <c r="G72" i="11"/>
  <c r="G75" i="11" s="1"/>
  <c r="F72" i="11"/>
  <c r="F75" i="11" s="1"/>
  <c r="E72" i="11"/>
  <c r="H71" i="11"/>
  <c r="G71" i="11"/>
  <c r="F71" i="11"/>
  <c r="E71" i="11"/>
  <c r="G69" i="11"/>
  <c r="D69" i="11"/>
  <c r="C69" i="11"/>
  <c r="H68" i="11"/>
  <c r="H69" i="11" s="1"/>
  <c r="G68" i="11"/>
  <c r="F68" i="11"/>
  <c r="F69" i="11" s="1"/>
  <c r="E68" i="11"/>
  <c r="E69" i="11" s="1"/>
  <c r="H67" i="11"/>
  <c r="G67" i="11"/>
  <c r="F67" i="11"/>
  <c r="E67" i="11"/>
  <c r="H65" i="11"/>
  <c r="E65" i="11"/>
  <c r="D65" i="11"/>
  <c r="C65" i="11"/>
  <c r="H64" i="11"/>
  <c r="G64" i="11"/>
  <c r="F64" i="11"/>
  <c r="E64" i="11"/>
  <c r="H63" i="11"/>
  <c r="G63" i="11"/>
  <c r="G65" i="11" s="1"/>
  <c r="F63" i="11"/>
  <c r="F65" i="11" s="1"/>
  <c r="E63" i="11"/>
  <c r="H62" i="11"/>
  <c r="G62" i="11"/>
  <c r="F62" i="11"/>
  <c r="E62" i="11"/>
  <c r="G60" i="11"/>
  <c r="D60" i="11"/>
  <c r="C60" i="11"/>
  <c r="H59" i="11"/>
  <c r="G59" i="11"/>
  <c r="F59" i="11"/>
  <c r="E59" i="11"/>
  <c r="H58" i="11"/>
  <c r="G58" i="11"/>
  <c r="F58" i="11"/>
  <c r="E58" i="11"/>
  <c r="H57" i="11"/>
  <c r="G57" i="11"/>
  <c r="F57" i="11"/>
  <c r="E57" i="11"/>
  <c r="H56" i="11"/>
  <c r="G56" i="11"/>
  <c r="F56" i="11"/>
  <c r="E56" i="11"/>
  <c r="H55" i="11"/>
  <c r="H60" i="11" s="1"/>
  <c r="G55" i="11"/>
  <c r="F55" i="11"/>
  <c r="F60" i="11" s="1"/>
  <c r="E55" i="11"/>
  <c r="E60" i="11" s="1"/>
  <c r="H54" i="11"/>
  <c r="G54" i="11"/>
  <c r="F54" i="11"/>
  <c r="E54" i="11"/>
  <c r="E52" i="11"/>
  <c r="E88" i="11" s="1"/>
  <c r="C52" i="11"/>
  <c r="C88" i="11" s="1"/>
  <c r="H51" i="11"/>
  <c r="G51" i="11"/>
  <c r="F51" i="11"/>
  <c r="E51" i="11"/>
  <c r="H50" i="11"/>
  <c r="G50" i="11"/>
  <c r="F50" i="11"/>
  <c r="E50" i="11"/>
  <c r="H49" i="11"/>
  <c r="G49" i="11"/>
  <c r="F49" i="11"/>
  <c r="E49" i="11"/>
  <c r="G48" i="11"/>
  <c r="G52" i="11" s="1"/>
  <c r="G88" i="11" s="1"/>
  <c r="F48" i="11"/>
  <c r="E48" i="11"/>
  <c r="D48" i="11"/>
  <c r="H48" i="11" s="1"/>
  <c r="H52" i="11" s="1"/>
  <c r="H88" i="11" s="1"/>
  <c r="H47" i="11"/>
  <c r="G47" i="11"/>
  <c r="F47" i="11"/>
  <c r="F52" i="11" s="1"/>
  <c r="F88" i="11" s="1"/>
  <c r="E47" i="11"/>
  <c r="H46" i="11"/>
  <c r="G46" i="11"/>
  <c r="F46" i="11"/>
  <c r="E46" i="11"/>
  <c r="D44" i="11"/>
  <c r="F43" i="11"/>
  <c r="D43" i="11"/>
  <c r="G43" i="11" s="1"/>
  <c r="D42" i="11"/>
  <c r="F42" i="11" s="1"/>
  <c r="H39" i="11"/>
  <c r="E39" i="11"/>
  <c r="D39" i="11"/>
  <c r="C39" i="11"/>
  <c r="H38" i="11"/>
  <c r="G38" i="11"/>
  <c r="F38" i="11"/>
  <c r="E38" i="11"/>
  <c r="H37" i="11"/>
  <c r="G37" i="11"/>
  <c r="F37" i="11"/>
  <c r="E37" i="11"/>
  <c r="H36" i="11"/>
  <c r="G36" i="11"/>
  <c r="F36" i="11"/>
  <c r="E36" i="11"/>
  <c r="H35" i="11"/>
  <c r="G35" i="11"/>
  <c r="G39" i="11" s="1"/>
  <c r="F35" i="11"/>
  <c r="F39" i="11" s="1"/>
  <c r="E35" i="11"/>
  <c r="H34" i="11"/>
  <c r="G34" i="11"/>
  <c r="F34" i="11"/>
  <c r="E34" i="11"/>
  <c r="H24" i="11"/>
  <c r="G24" i="11"/>
  <c r="F24" i="11"/>
  <c r="E24" i="11"/>
  <c r="H19" i="11"/>
  <c r="H29" i="11" s="1"/>
  <c r="G19" i="11"/>
  <c r="G29" i="11" s="1"/>
  <c r="F19" i="11"/>
  <c r="F29" i="11" s="1"/>
  <c r="E19" i="11"/>
  <c r="E29" i="11" s="1"/>
  <c r="B4" i="11"/>
  <c r="E25" i="10"/>
  <c r="D74" i="10"/>
  <c r="E100" i="10"/>
  <c r="E24" i="10"/>
  <c r="E15" i="10"/>
  <c r="E16" i="10" s="1"/>
  <c r="E97" i="10" s="1"/>
  <c r="E11" i="10"/>
  <c r="F11" i="10" s="1"/>
  <c r="E10" i="10"/>
  <c r="F10" i="10" s="1"/>
  <c r="E9" i="10"/>
  <c r="F9" i="10" s="1"/>
  <c r="H24" i="10"/>
  <c r="G24" i="10"/>
  <c r="F24" i="10"/>
  <c r="H19" i="10"/>
  <c r="H29" i="10" s="1"/>
  <c r="G19" i="10"/>
  <c r="G29" i="10" s="1"/>
  <c r="F19" i="10"/>
  <c r="F29" i="10" s="1"/>
  <c r="E19" i="10"/>
  <c r="E29" i="10" s="1"/>
  <c r="H39" i="12" l="1"/>
  <c r="G97" i="12"/>
  <c r="G98" i="12" s="1"/>
  <c r="F97" i="12"/>
  <c r="F98" i="12" s="1"/>
  <c r="G4" i="12" s="1"/>
  <c r="D4" i="12"/>
  <c r="D92" i="12"/>
  <c r="D93" i="12" s="1"/>
  <c r="G25" i="12"/>
  <c r="G87" i="12"/>
  <c r="G92" i="12" s="1"/>
  <c r="E97" i="12"/>
  <c r="E98" i="12" s="1"/>
  <c r="H87" i="12"/>
  <c r="F87" i="12"/>
  <c r="H97" i="12"/>
  <c r="H98" i="12" s="1"/>
  <c r="C92" i="12"/>
  <c r="C93" i="12" s="1"/>
  <c r="G42" i="12"/>
  <c r="E48" i="12"/>
  <c r="E52" i="12" s="1"/>
  <c r="E88" i="12" s="1"/>
  <c r="E92" i="12" s="1"/>
  <c r="F48" i="12"/>
  <c r="F52" i="12" s="1"/>
  <c r="F43" i="12"/>
  <c r="G43" i="12" s="1"/>
  <c r="H48" i="12"/>
  <c r="H52" i="12" s="1"/>
  <c r="D52" i="12"/>
  <c r="D88" i="12" s="1"/>
  <c r="E75" i="11"/>
  <c r="E25" i="11" s="1"/>
  <c r="G15" i="11"/>
  <c r="G16" i="11" s="1"/>
  <c r="H97" i="11"/>
  <c r="H98" i="11" s="1"/>
  <c r="F25" i="11"/>
  <c r="F87" i="11"/>
  <c r="F92" i="11" s="1"/>
  <c r="H25" i="11"/>
  <c r="G97" i="11"/>
  <c r="G98" i="11" s="1"/>
  <c r="C92" i="11"/>
  <c r="C93" i="11" s="1"/>
  <c r="G25" i="11"/>
  <c r="G87" i="11"/>
  <c r="G92" i="11" s="1"/>
  <c r="G42" i="11"/>
  <c r="G44" i="11" s="1"/>
  <c r="F44" i="11"/>
  <c r="D92" i="11"/>
  <c r="D93" i="11" s="1"/>
  <c r="E87" i="11"/>
  <c r="E92" i="11" s="1"/>
  <c r="E97" i="11"/>
  <c r="E98" i="11" s="1"/>
  <c r="F15" i="11"/>
  <c r="F16" i="11" s="1"/>
  <c r="D52" i="11"/>
  <c r="D88" i="11" s="1"/>
  <c r="H87" i="11"/>
  <c r="H92" i="11" s="1"/>
  <c r="F15" i="10"/>
  <c r="F16" i="10" s="1"/>
  <c r="G15" i="10"/>
  <c r="G16" i="10" s="1"/>
  <c r="H15" i="10"/>
  <c r="H16" i="10" s="1"/>
  <c r="H49" i="10"/>
  <c r="H50" i="10"/>
  <c r="H51" i="10"/>
  <c r="G49" i="10"/>
  <c r="G50" i="10"/>
  <c r="G51" i="10"/>
  <c r="F49" i="10"/>
  <c r="F50" i="10"/>
  <c r="F51" i="10"/>
  <c r="F47" i="10"/>
  <c r="E47" i="10"/>
  <c r="E49" i="10"/>
  <c r="E50" i="10"/>
  <c r="E51" i="10"/>
  <c r="B87" i="10"/>
  <c r="B88" i="10"/>
  <c r="B89" i="10"/>
  <c r="C89" i="10"/>
  <c r="D89" i="10"/>
  <c r="B90" i="10"/>
  <c r="C90" i="10"/>
  <c r="D90" i="10"/>
  <c r="B91" i="10"/>
  <c r="C91" i="10"/>
  <c r="D91" i="10"/>
  <c r="D48" i="10"/>
  <c r="H48" i="10" s="1"/>
  <c r="G34" i="10"/>
  <c r="G35" i="10"/>
  <c r="G36" i="10"/>
  <c r="G37" i="10"/>
  <c r="G38" i="10"/>
  <c r="G46" i="10"/>
  <c r="G47" i="10"/>
  <c r="G54" i="10"/>
  <c r="G55" i="10"/>
  <c r="G56" i="10"/>
  <c r="G57" i="10"/>
  <c r="G58" i="10"/>
  <c r="G59" i="10"/>
  <c r="G62" i="10"/>
  <c r="G63" i="10"/>
  <c r="G89" i="10" s="1"/>
  <c r="G64" i="10"/>
  <c r="G67" i="10"/>
  <c r="G68" i="10"/>
  <c r="G71" i="10"/>
  <c r="G72" i="10"/>
  <c r="G73" i="10"/>
  <c r="G74" i="10"/>
  <c r="G90" i="10" s="1"/>
  <c r="G77" i="10"/>
  <c r="G78" i="10"/>
  <c r="G79" i="10"/>
  <c r="G91" i="10" s="1"/>
  <c r="G80" i="10"/>
  <c r="G81" i="10"/>
  <c r="G82" i="10"/>
  <c r="G86" i="10"/>
  <c r="G96" i="10"/>
  <c r="G100" i="10"/>
  <c r="G106" i="10"/>
  <c r="E46" i="10"/>
  <c r="H88" i="12" l="1"/>
  <c r="H25" i="12"/>
  <c r="F88" i="12"/>
  <c r="F25" i="12"/>
  <c r="F44" i="12"/>
  <c r="F92" i="12"/>
  <c r="G44" i="12"/>
  <c r="H92" i="12"/>
  <c r="G30" i="12"/>
  <c r="G26" i="12"/>
  <c r="G31" i="12"/>
  <c r="E25" i="12"/>
  <c r="E30" i="11"/>
  <c r="E31" i="11" s="1"/>
  <c r="E26" i="11"/>
  <c r="G30" i="11"/>
  <c r="G31" i="11" s="1"/>
  <c r="G26" i="11"/>
  <c r="H30" i="11"/>
  <c r="H31" i="11" s="1"/>
  <c r="H26" i="11"/>
  <c r="F30" i="11"/>
  <c r="F31" i="11" s="1"/>
  <c r="F26" i="11"/>
  <c r="D4" i="11"/>
  <c r="F97" i="11"/>
  <c r="F98" i="11" s="1"/>
  <c r="G4" i="11" s="1"/>
  <c r="E84" i="11"/>
  <c r="G84" i="11"/>
  <c r="H84" i="11"/>
  <c r="F84" i="11"/>
  <c r="G69" i="10"/>
  <c r="G48" i="10"/>
  <c r="E48" i="10"/>
  <c r="E52" i="10" s="1"/>
  <c r="F48" i="10"/>
  <c r="G83" i="10"/>
  <c r="G75" i="10"/>
  <c r="G65" i="10"/>
  <c r="G60" i="10"/>
  <c r="G39" i="10"/>
  <c r="G52" i="10"/>
  <c r="D69" i="10"/>
  <c r="H86" i="10"/>
  <c r="F86" i="10"/>
  <c r="E86" i="10"/>
  <c r="D103" i="10"/>
  <c r="D104" i="10" s="1"/>
  <c r="H15" i="9"/>
  <c r="G15" i="9"/>
  <c r="F15" i="9"/>
  <c r="E15" i="9"/>
  <c r="H84" i="12" l="1"/>
  <c r="G84" i="12"/>
  <c r="F84" i="12"/>
  <c r="E84" i="12"/>
  <c r="F30" i="12"/>
  <c r="F26" i="12"/>
  <c r="F31" i="12"/>
  <c r="E30" i="12"/>
  <c r="E31" i="12" s="1"/>
  <c r="E26" i="12"/>
  <c r="H26" i="12"/>
  <c r="H30" i="12"/>
  <c r="H31" i="12" s="1"/>
  <c r="F108" i="11"/>
  <c r="H4" i="11" s="1"/>
  <c r="G93" i="11"/>
  <c r="G108" i="11"/>
  <c r="G107" i="11"/>
  <c r="E93" i="11"/>
  <c r="E108" i="11"/>
  <c r="E107" i="11"/>
  <c r="H93" i="11"/>
  <c r="H108" i="11"/>
  <c r="H107" i="11"/>
  <c r="E4" i="11"/>
  <c r="F93" i="11"/>
  <c r="F107" i="11"/>
  <c r="G25" i="10"/>
  <c r="G87" i="10"/>
  <c r="G88" i="10"/>
  <c r="H106" i="10"/>
  <c r="F106" i="10"/>
  <c r="E106" i="10"/>
  <c r="C103" i="10"/>
  <c r="C104" i="10" s="1"/>
  <c r="H100" i="10"/>
  <c r="F100" i="10"/>
  <c r="D98" i="10"/>
  <c r="C98" i="10"/>
  <c r="H96" i="10"/>
  <c r="F96" i="10"/>
  <c r="E96" i="10"/>
  <c r="D83" i="10"/>
  <c r="D84" i="10" s="1"/>
  <c r="C83" i="10"/>
  <c r="C84" i="10" s="1"/>
  <c r="H82" i="10"/>
  <c r="F82" i="10"/>
  <c r="E82" i="10"/>
  <c r="H81" i="10"/>
  <c r="F81" i="10"/>
  <c r="E81" i="10"/>
  <c r="H80" i="10"/>
  <c r="F80" i="10"/>
  <c r="E80" i="10"/>
  <c r="H79" i="10"/>
  <c r="H91" i="10" s="1"/>
  <c r="F79" i="10"/>
  <c r="F91" i="10" s="1"/>
  <c r="E79" i="10"/>
  <c r="E91" i="10" s="1"/>
  <c r="H78" i="10"/>
  <c r="F78" i="10"/>
  <c r="E78" i="10"/>
  <c r="H77" i="10"/>
  <c r="F77" i="10"/>
  <c r="E77" i="10"/>
  <c r="D75" i="10"/>
  <c r="C75" i="10"/>
  <c r="H74" i="10"/>
  <c r="H90" i="10" s="1"/>
  <c r="F74" i="10"/>
  <c r="F90" i="10" s="1"/>
  <c r="E74" i="10"/>
  <c r="E90" i="10" s="1"/>
  <c r="H73" i="10"/>
  <c r="F73" i="10"/>
  <c r="E73" i="10"/>
  <c r="H72" i="10"/>
  <c r="F72" i="10"/>
  <c r="E72" i="10"/>
  <c r="H71" i="10"/>
  <c r="F71" i="10"/>
  <c r="E71" i="10"/>
  <c r="C69" i="10"/>
  <c r="H68" i="10"/>
  <c r="F68" i="10"/>
  <c r="E68" i="10"/>
  <c r="H67" i="10"/>
  <c r="F67" i="10"/>
  <c r="E67" i="10"/>
  <c r="D65" i="10"/>
  <c r="C65" i="10"/>
  <c r="H64" i="10"/>
  <c r="F64" i="10"/>
  <c r="E64" i="10"/>
  <c r="H63" i="10"/>
  <c r="F63" i="10"/>
  <c r="F89" i="10" s="1"/>
  <c r="E63" i="10"/>
  <c r="E89" i="10" s="1"/>
  <c r="H62" i="10"/>
  <c r="F62" i="10"/>
  <c r="E62" i="10"/>
  <c r="D60" i="10"/>
  <c r="C60" i="10"/>
  <c r="H59" i="10"/>
  <c r="F59" i="10"/>
  <c r="E59" i="10"/>
  <c r="H58" i="10"/>
  <c r="F58" i="10"/>
  <c r="E58" i="10"/>
  <c r="H57" i="10"/>
  <c r="F57" i="10"/>
  <c r="E57" i="10"/>
  <c r="H56" i="10"/>
  <c r="F56" i="10"/>
  <c r="E56" i="10"/>
  <c r="H55" i="10"/>
  <c r="F55" i="10"/>
  <c r="E55" i="10"/>
  <c r="H54" i="10"/>
  <c r="F54" i="10"/>
  <c r="E54" i="10"/>
  <c r="C52" i="10"/>
  <c r="C88" i="10" s="1"/>
  <c r="H47" i="10"/>
  <c r="H46" i="10"/>
  <c r="F46" i="10"/>
  <c r="D43" i="10"/>
  <c r="D42" i="10"/>
  <c r="D39" i="10"/>
  <c r="D87" i="10" s="1"/>
  <c r="C39" i="10"/>
  <c r="C87" i="10" s="1"/>
  <c r="H38" i="10"/>
  <c r="F38" i="10"/>
  <c r="E38" i="10"/>
  <c r="H37" i="10"/>
  <c r="F37" i="10"/>
  <c r="E37" i="10"/>
  <c r="H36" i="10"/>
  <c r="F36" i="10"/>
  <c r="E36" i="10"/>
  <c r="H35" i="10"/>
  <c r="F35" i="10"/>
  <c r="E35" i="10"/>
  <c r="H34" i="10"/>
  <c r="F34" i="10"/>
  <c r="E34" i="10"/>
  <c r="B4" i="10"/>
  <c r="C10" i="9"/>
  <c r="D33" i="9"/>
  <c r="G93" i="12" l="1"/>
  <c r="G108" i="12"/>
  <c r="G107" i="12"/>
  <c r="E93" i="12"/>
  <c r="E107" i="12"/>
  <c r="E108" i="12"/>
  <c r="F93" i="12"/>
  <c r="E4" i="12"/>
  <c r="F107" i="12"/>
  <c r="F108" i="12"/>
  <c r="H4" i="12" s="1"/>
  <c r="H93" i="12"/>
  <c r="H107" i="12"/>
  <c r="H108" i="12"/>
  <c r="H101" i="11"/>
  <c r="E101" i="11"/>
  <c r="E102" i="11" s="1"/>
  <c r="F4" i="11"/>
  <c r="F101" i="11"/>
  <c r="G101" i="11"/>
  <c r="G102" i="11" s="1"/>
  <c r="G30" i="10"/>
  <c r="G31" i="10" s="1"/>
  <c r="G26" i="10"/>
  <c r="G92" i="10"/>
  <c r="H89" i="10"/>
  <c r="H65" i="10"/>
  <c r="C92" i="10"/>
  <c r="C93" i="10" s="1"/>
  <c r="G97" i="10"/>
  <c r="G98" i="10" s="1"/>
  <c r="F43" i="10"/>
  <c r="G43" i="10" s="1"/>
  <c r="H69" i="10"/>
  <c r="E69" i="10"/>
  <c r="F69" i="10"/>
  <c r="D44" i="10"/>
  <c r="E60" i="10"/>
  <c r="F83" i="10"/>
  <c r="F52" i="10"/>
  <c r="H52" i="10"/>
  <c r="F75" i="10"/>
  <c r="F39" i="10"/>
  <c r="E83" i="10"/>
  <c r="E65" i="10"/>
  <c r="E39" i="10"/>
  <c r="H39" i="10"/>
  <c r="D52" i="10"/>
  <c r="D88" i="10" s="1"/>
  <c r="D92" i="10" s="1"/>
  <c r="H60" i="10"/>
  <c r="F65" i="10"/>
  <c r="F60" i="10"/>
  <c r="H75" i="10"/>
  <c r="H83" i="10"/>
  <c r="E75" i="10"/>
  <c r="D4" i="10"/>
  <c r="F97" i="10"/>
  <c r="H97" i="10"/>
  <c r="F42" i="10"/>
  <c r="E88" i="10"/>
  <c r="E65" i="9"/>
  <c r="E63" i="9"/>
  <c r="F65" i="9"/>
  <c r="G65" i="9"/>
  <c r="H65" i="9"/>
  <c r="E64" i="9"/>
  <c r="G34" i="6"/>
  <c r="H64" i="9"/>
  <c r="G64" i="9"/>
  <c r="F64" i="9"/>
  <c r="H19" i="6"/>
  <c r="E33" i="9"/>
  <c r="H32" i="9"/>
  <c r="C37" i="9"/>
  <c r="H36" i="9"/>
  <c r="G36" i="9"/>
  <c r="F36" i="9"/>
  <c r="E36" i="9"/>
  <c r="H35" i="9"/>
  <c r="G35" i="9"/>
  <c r="F35" i="9"/>
  <c r="E35" i="9"/>
  <c r="H31" i="9"/>
  <c r="G31" i="9"/>
  <c r="F31" i="9"/>
  <c r="E31" i="9"/>
  <c r="F101" i="12" l="1"/>
  <c r="H101" i="12"/>
  <c r="H102" i="12" s="1"/>
  <c r="F4" i="12"/>
  <c r="G101" i="12"/>
  <c r="G102" i="12" s="1"/>
  <c r="G103" i="11"/>
  <c r="E103" i="11"/>
  <c r="I4" i="11"/>
  <c r="F102" i="11"/>
  <c r="J4" i="11" s="1"/>
  <c r="H102" i="11"/>
  <c r="H103" i="11" s="1"/>
  <c r="E26" i="10"/>
  <c r="H25" i="10"/>
  <c r="F25" i="10"/>
  <c r="F87" i="10"/>
  <c r="H87" i="10"/>
  <c r="E87" i="10"/>
  <c r="E92" i="10" s="1"/>
  <c r="F88" i="10"/>
  <c r="F44" i="10"/>
  <c r="G42" i="10"/>
  <c r="G44" i="10" s="1"/>
  <c r="H98" i="10"/>
  <c r="F98" i="10"/>
  <c r="E98" i="10"/>
  <c r="H88" i="10"/>
  <c r="D93" i="10"/>
  <c r="H33" i="9"/>
  <c r="H37" i="9" s="1"/>
  <c r="G33" i="9"/>
  <c r="F33" i="9"/>
  <c r="D37" i="9"/>
  <c r="E32" i="9"/>
  <c r="E37" i="9" s="1"/>
  <c r="F32" i="9"/>
  <c r="G32" i="9"/>
  <c r="D28" i="9"/>
  <c r="D27" i="9"/>
  <c r="H15" i="6"/>
  <c r="H13" i="6"/>
  <c r="E20" i="9"/>
  <c r="E22" i="9"/>
  <c r="E23" i="9"/>
  <c r="E21" i="9"/>
  <c r="E19" i="9"/>
  <c r="D24" i="9"/>
  <c r="C24" i="9"/>
  <c r="H23" i="9"/>
  <c r="G23" i="9"/>
  <c r="F23" i="9"/>
  <c r="H22" i="9"/>
  <c r="G22" i="9"/>
  <c r="F22" i="9"/>
  <c r="H21" i="9"/>
  <c r="G21" i="9"/>
  <c r="F21" i="9"/>
  <c r="H20" i="9"/>
  <c r="G20" i="9"/>
  <c r="F20" i="9"/>
  <c r="H19" i="9"/>
  <c r="G19" i="9"/>
  <c r="F19" i="9"/>
  <c r="G16" i="9"/>
  <c r="B4" i="9"/>
  <c r="H83" i="9"/>
  <c r="G83" i="9"/>
  <c r="F83" i="9"/>
  <c r="E83" i="9"/>
  <c r="D80" i="9"/>
  <c r="C80" i="9"/>
  <c r="H77" i="9"/>
  <c r="G77" i="9"/>
  <c r="F77" i="9"/>
  <c r="E77" i="9"/>
  <c r="D75" i="9"/>
  <c r="C75" i="9"/>
  <c r="H73" i="9"/>
  <c r="G73" i="9"/>
  <c r="F73" i="9"/>
  <c r="E73" i="9"/>
  <c r="D69" i="9"/>
  <c r="C69" i="9"/>
  <c r="H68" i="9"/>
  <c r="G68" i="9"/>
  <c r="F68" i="9"/>
  <c r="E68" i="9"/>
  <c r="H67" i="9"/>
  <c r="G67" i="9"/>
  <c r="F67" i="9"/>
  <c r="E67" i="9"/>
  <c r="H66" i="9"/>
  <c r="G66" i="9"/>
  <c r="F66" i="9"/>
  <c r="E66" i="9"/>
  <c r="H63" i="9"/>
  <c r="G63" i="9"/>
  <c r="F63" i="9"/>
  <c r="H62" i="9"/>
  <c r="G62" i="9"/>
  <c r="F62" i="9"/>
  <c r="E62" i="9"/>
  <c r="D60" i="9"/>
  <c r="C60" i="9"/>
  <c r="H59" i="9"/>
  <c r="G59" i="9"/>
  <c r="F59" i="9"/>
  <c r="E59" i="9"/>
  <c r="H58" i="9"/>
  <c r="G58" i="9"/>
  <c r="F58" i="9"/>
  <c r="E58" i="9"/>
  <c r="H57" i="9"/>
  <c r="G57" i="9"/>
  <c r="F57" i="9"/>
  <c r="E57" i="9"/>
  <c r="H56" i="9"/>
  <c r="G56" i="9"/>
  <c r="F56" i="9"/>
  <c r="E56" i="9"/>
  <c r="D54" i="9"/>
  <c r="C54" i="9"/>
  <c r="H53" i="9"/>
  <c r="G53" i="9"/>
  <c r="F53" i="9"/>
  <c r="E53" i="9"/>
  <c r="H52" i="9"/>
  <c r="G52" i="9"/>
  <c r="F52" i="9"/>
  <c r="E52" i="9"/>
  <c r="D50" i="9"/>
  <c r="C50" i="9"/>
  <c r="H49" i="9"/>
  <c r="G49" i="9"/>
  <c r="F49" i="9"/>
  <c r="E49" i="9"/>
  <c r="H48" i="9"/>
  <c r="G48" i="9"/>
  <c r="F48" i="9"/>
  <c r="E48" i="9"/>
  <c r="H47" i="9"/>
  <c r="G47" i="9"/>
  <c r="F47" i="9"/>
  <c r="E47" i="9"/>
  <c r="D45" i="9"/>
  <c r="C45" i="9"/>
  <c r="H44" i="9"/>
  <c r="G44" i="9"/>
  <c r="F44" i="9"/>
  <c r="E44" i="9"/>
  <c r="H43" i="9"/>
  <c r="G43" i="9"/>
  <c r="F43" i="9"/>
  <c r="E43" i="9"/>
  <c r="H42" i="9"/>
  <c r="G42" i="9"/>
  <c r="F42" i="9"/>
  <c r="E42" i="9"/>
  <c r="H41" i="9"/>
  <c r="G41" i="9"/>
  <c r="F41" i="9"/>
  <c r="E41" i="9"/>
  <c r="H40" i="9"/>
  <c r="G40" i="9"/>
  <c r="F40" i="9"/>
  <c r="E40" i="9"/>
  <c r="H39" i="9"/>
  <c r="G39" i="9"/>
  <c r="F39" i="9"/>
  <c r="E39" i="9"/>
  <c r="I4" i="12" l="1"/>
  <c r="F102" i="12"/>
  <c r="J4" i="12" s="1"/>
  <c r="G103" i="12"/>
  <c r="K4" i="12"/>
  <c r="L4" i="12" s="1"/>
  <c r="H103" i="12"/>
  <c r="E102" i="12"/>
  <c r="E103" i="12" s="1"/>
  <c r="K4" i="11"/>
  <c r="L4" i="11" s="1"/>
  <c r="H104" i="11"/>
  <c r="H109" i="11" s="1"/>
  <c r="H110" i="11" s="1"/>
  <c r="H20" i="11"/>
  <c r="H21" i="11" s="1"/>
  <c r="E104" i="11"/>
  <c r="E20" i="11"/>
  <c r="E21" i="11" s="1"/>
  <c r="E109" i="11"/>
  <c r="E110" i="11" s="1"/>
  <c r="G104" i="11"/>
  <c r="G109" i="11" s="1"/>
  <c r="G110" i="11" s="1"/>
  <c r="G20" i="11"/>
  <c r="G21" i="11" s="1"/>
  <c r="F103" i="11"/>
  <c r="F30" i="10"/>
  <c r="F31" i="10" s="1"/>
  <c r="H30" i="10"/>
  <c r="H31" i="10" s="1"/>
  <c r="E30" i="10"/>
  <c r="E31" i="10" s="1"/>
  <c r="F26" i="10"/>
  <c r="H26" i="10"/>
  <c r="G4" i="10"/>
  <c r="F92" i="10"/>
  <c r="H92" i="10"/>
  <c r="G84" i="10"/>
  <c r="G107" i="10" s="1"/>
  <c r="E84" i="10"/>
  <c r="F84" i="10"/>
  <c r="H84" i="10"/>
  <c r="H107" i="10" s="1"/>
  <c r="F37" i="9"/>
  <c r="G69" i="9"/>
  <c r="H69" i="9"/>
  <c r="E16" i="9"/>
  <c r="F69" i="9"/>
  <c r="H16" i="9"/>
  <c r="H74" i="9" s="1"/>
  <c r="H75" i="9" s="1"/>
  <c r="F16" i="9"/>
  <c r="D4" i="9" s="1"/>
  <c r="E24" i="9"/>
  <c r="H24" i="9"/>
  <c r="F24" i="9"/>
  <c r="F45" i="9"/>
  <c r="G24" i="9"/>
  <c r="E45" i="9"/>
  <c r="F54" i="9"/>
  <c r="F60" i="9"/>
  <c r="F50" i="9"/>
  <c r="F27" i="9"/>
  <c r="G45" i="9"/>
  <c r="E50" i="9"/>
  <c r="G54" i="9"/>
  <c r="E60" i="9"/>
  <c r="H45" i="9"/>
  <c r="H54" i="9"/>
  <c r="G50" i="9"/>
  <c r="E69" i="9"/>
  <c r="G37" i="9"/>
  <c r="H50" i="9"/>
  <c r="H60" i="9"/>
  <c r="G60" i="9"/>
  <c r="E54" i="9"/>
  <c r="G74" i="9"/>
  <c r="G75" i="9" s="1"/>
  <c r="F28" i="9"/>
  <c r="G28" i="9" s="1"/>
  <c r="E104" i="12" l="1"/>
  <c r="E20" i="12"/>
  <c r="E21" i="12" s="1"/>
  <c r="E109" i="12"/>
  <c r="E110" i="12" s="1"/>
  <c r="G104" i="12"/>
  <c r="G109" i="12" s="1"/>
  <c r="G110" i="12" s="1"/>
  <c r="G20" i="12"/>
  <c r="G21" i="12" s="1"/>
  <c r="H104" i="12"/>
  <c r="H109" i="12" s="1"/>
  <c r="H110" i="12" s="1"/>
  <c r="H20" i="12"/>
  <c r="H21" i="12" s="1"/>
  <c r="F103" i="12"/>
  <c r="F104" i="11"/>
  <c r="F109" i="11" s="1"/>
  <c r="F110" i="11" s="1"/>
  <c r="F20" i="11"/>
  <c r="F21" i="11" s="1"/>
  <c r="E93" i="10"/>
  <c r="E101" i="10" s="1"/>
  <c r="E102" i="10" s="1"/>
  <c r="E107" i="10"/>
  <c r="H93" i="10"/>
  <c r="F93" i="10"/>
  <c r="F107" i="10"/>
  <c r="F4" i="10" s="1"/>
  <c r="G93" i="10"/>
  <c r="G108" i="10"/>
  <c r="F108" i="10"/>
  <c r="H4" i="10" s="1"/>
  <c r="E4" i="10"/>
  <c r="E108" i="10"/>
  <c r="H108" i="10"/>
  <c r="F74" i="9"/>
  <c r="F75" i="9" s="1"/>
  <c r="G4" i="9" s="1"/>
  <c r="E74" i="9"/>
  <c r="E75" i="9" s="1"/>
  <c r="G27" i="9"/>
  <c r="F104" i="12" l="1"/>
  <c r="F109" i="12" s="1"/>
  <c r="F110" i="12" s="1"/>
  <c r="F20" i="12"/>
  <c r="F21" i="12" s="1"/>
  <c r="H101" i="10"/>
  <c r="H102" i="10" s="1"/>
  <c r="H103" i="10" s="1"/>
  <c r="H20" i="10" s="1"/>
  <c r="H21" i="10" s="1"/>
  <c r="F101" i="10"/>
  <c r="I4" i="10" s="1"/>
  <c r="G101" i="10"/>
  <c r="G102" i="10" s="1"/>
  <c r="E103" i="10"/>
  <c r="E20" i="10" s="1"/>
  <c r="E21" i="10" s="1"/>
  <c r="G5" i="6"/>
  <c r="L56" i="8"/>
  <c r="K5" i="6"/>
  <c r="J5" i="6"/>
  <c r="L64" i="6"/>
  <c r="L63" i="6"/>
  <c r="L62" i="6"/>
  <c r="L65" i="6"/>
  <c r="L5" i="6"/>
  <c r="I5" i="6"/>
  <c r="L61" i="6"/>
  <c r="H5" i="6"/>
  <c r="E109" i="10" l="1"/>
  <c r="E110" i="10" s="1"/>
  <c r="F102" i="10"/>
  <c r="J4" i="10" s="1"/>
  <c r="K4" i="10" s="1"/>
  <c r="L4" i="10" s="1"/>
  <c r="E104" i="10"/>
  <c r="H104" i="10"/>
  <c r="H109" i="10" s="1"/>
  <c r="H110" i="10" s="1"/>
  <c r="G103" i="10"/>
  <c r="G20" i="10" s="1"/>
  <c r="G21" i="10" s="1"/>
  <c r="F103" i="10"/>
  <c r="F20" i="10" s="1"/>
  <c r="F21" i="10" s="1"/>
  <c r="F5" i="6"/>
  <c r="L59" i="6"/>
  <c r="L58" i="6"/>
  <c r="L57" i="6"/>
  <c r="D5" i="6"/>
  <c r="E5" i="6"/>
  <c r="L51" i="6"/>
  <c r="L50" i="6"/>
  <c r="L49" i="6"/>
  <c r="L53" i="6"/>
  <c r="G54" i="6"/>
  <c r="F104" i="10" l="1"/>
  <c r="F109" i="10" s="1"/>
  <c r="F110" i="10" s="1"/>
  <c r="G104" i="10"/>
  <c r="G109" i="10" s="1"/>
  <c r="G110" i="10" s="1"/>
  <c r="L54" i="6"/>
  <c r="L52" i="6"/>
  <c r="H71" i="8"/>
  <c r="H72" i="8" s="1"/>
  <c r="H70" i="8"/>
  <c r="H69" i="8"/>
  <c r="O59" i="8"/>
  <c r="O56" i="8"/>
  <c r="O60" i="8" s="1"/>
  <c r="O61" i="8" s="1"/>
  <c r="L54" i="8"/>
  <c r="K54" i="8"/>
  <c r="K55" i="8" s="1"/>
  <c r="G54" i="8"/>
  <c r="L51" i="8"/>
  <c r="L58" i="8" s="1"/>
  <c r="P50" i="8"/>
  <c r="P51" i="8" s="1"/>
  <c r="P52" i="8" s="1"/>
  <c r="L50" i="8"/>
  <c r="K50" i="8"/>
  <c r="L49" i="8"/>
  <c r="K49" i="8"/>
  <c r="K52" i="8" s="1"/>
  <c r="P48" i="8"/>
  <c r="N41" i="8"/>
  <c r="AK40" i="8"/>
  <c r="X40" i="8"/>
  <c r="N40" i="8"/>
  <c r="AK39" i="8"/>
  <c r="AK42" i="8" s="1"/>
  <c r="X39" i="8"/>
  <c r="Y42" i="8" s="1"/>
  <c r="AK38" i="8"/>
  <c r="X38" i="8"/>
  <c r="AK37" i="8"/>
  <c r="AL42" i="8" s="1"/>
  <c r="X37" i="8"/>
  <c r="X42" i="8" s="1"/>
  <c r="L36" i="8"/>
  <c r="H36" i="8"/>
  <c r="H35" i="8"/>
  <c r="K34" i="8"/>
  <c r="G34" i="8"/>
  <c r="H34" i="8" s="1"/>
  <c r="H41" i="8" s="1"/>
  <c r="L33" i="8"/>
  <c r="L32" i="8"/>
  <c r="K32" i="8"/>
  <c r="H32" i="8"/>
  <c r="L31" i="8"/>
  <c r="K31" i="8"/>
  <c r="H31" i="8"/>
  <c r="L27" i="8"/>
  <c r="K27" i="8"/>
  <c r="H27" i="8"/>
  <c r="P26" i="8"/>
  <c r="L26" i="8"/>
  <c r="K26" i="8"/>
  <c r="H26" i="8"/>
  <c r="P25" i="8"/>
  <c r="P24" i="8"/>
  <c r="P30" i="8" s="1"/>
  <c r="O24" i="8"/>
  <c r="N25" i="8" s="1"/>
  <c r="N24" i="8"/>
  <c r="P23" i="8"/>
  <c r="P29" i="8" s="1"/>
  <c r="L22" i="8"/>
  <c r="L19" i="8"/>
  <c r="K19" i="8"/>
  <c r="H19" i="8"/>
  <c r="P18" i="8"/>
  <c r="P19" i="8" s="1"/>
  <c r="K8" i="8" s="1"/>
  <c r="E17" i="8"/>
  <c r="L15" i="8"/>
  <c r="H15" i="8"/>
  <c r="K15" i="8" s="1"/>
  <c r="L13" i="8"/>
  <c r="H13" i="8"/>
  <c r="K13" i="8" s="1"/>
  <c r="L12" i="8"/>
  <c r="Q11" i="8"/>
  <c r="P11" i="8"/>
  <c r="N11" i="8"/>
  <c r="L9" i="8"/>
  <c r="D5" i="8" s="1"/>
  <c r="H9" i="8"/>
  <c r="H40" i="8" s="1"/>
  <c r="J5" i="8"/>
  <c r="I5" i="8"/>
  <c r="H5" i="8"/>
  <c r="G5" i="8"/>
  <c r="K5" i="8" s="1"/>
  <c r="L5" i="8" s="1"/>
  <c r="F5" i="8"/>
  <c r="E5" i="8"/>
  <c r="C5" i="8"/>
  <c r="B5" i="8"/>
  <c r="L9" i="6"/>
  <c r="L55" i="8" l="1"/>
  <c r="O8" i="8"/>
  <c r="K56" i="8"/>
  <c r="K57" i="8" s="1"/>
  <c r="K9" i="8"/>
  <c r="M8" i="8"/>
  <c r="N8" i="8" s="1"/>
  <c r="H42" i="8"/>
  <c r="X45" i="8"/>
  <c r="Y45" i="8" s="1"/>
  <c r="L34" i="8"/>
  <c r="L41" i="8" s="1"/>
  <c r="P56" i="8"/>
  <c r="L57" i="8"/>
  <c r="L40" i="8"/>
  <c r="L52" i="8"/>
  <c r="L53" i="8" s="1"/>
  <c r="L43" i="8" l="1"/>
  <c r="L45" i="8" s="1"/>
  <c r="L42" i="8"/>
  <c r="L61" i="8"/>
  <c r="L63" i="8" s="1"/>
  <c r="L64" i="8" s="1"/>
  <c r="L59" i="8"/>
  <c r="K40" i="8"/>
  <c r="K36" i="8"/>
  <c r="K41" i="8" s="1"/>
  <c r="K58" i="8" s="1"/>
  <c r="K59" i="8" s="1"/>
  <c r="K60" i="8" s="1"/>
  <c r="P57" i="8"/>
  <c r="K42" i="8" l="1"/>
  <c r="L62" i="8"/>
  <c r="L65" i="8" s="1"/>
  <c r="G65" i="8" s="1"/>
  <c r="L60" i="8"/>
  <c r="L44" i="8"/>
  <c r="L46" i="8"/>
  <c r="L47" i="8" l="1"/>
  <c r="G47" i="8" s="1"/>
  <c r="C5" i="6" l="1"/>
  <c r="L55" i="6" l="1"/>
  <c r="K57" i="6"/>
  <c r="L56" i="6"/>
  <c r="B5" i="6"/>
  <c r="B4" i="7"/>
  <c r="H35" i="6"/>
  <c r="AK40" i="6"/>
  <c r="AK39" i="6"/>
  <c r="AK38" i="6"/>
  <c r="AK37" i="6"/>
  <c r="X40" i="6"/>
  <c r="X39" i="6"/>
  <c r="X38" i="6"/>
  <c r="X37" i="6"/>
  <c r="L26" i="6"/>
  <c r="L27" i="6"/>
  <c r="L12" i="6"/>
  <c r="L13" i="6"/>
  <c r="L32" i="6"/>
  <c r="L31" i="6"/>
  <c r="L40" i="6"/>
  <c r="B3" i="7"/>
  <c r="H9" i="6"/>
  <c r="H40" i="6" s="1"/>
  <c r="K32" i="6"/>
  <c r="K31" i="6"/>
  <c r="K27" i="6"/>
  <c r="K26" i="6"/>
  <c r="K19" i="6"/>
  <c r="H26" i="6"/>
  <c r="L36" i="6"/>
  <c r="K43" i="5"/>
  <c r="L19" i="6"/>
  <c r="B6" i="7" s="1"/>
  <c r="L15" i="6"/>
  <c r="I14" i="5"/>
  <c r="N40" i="6"/>
  <c r="N41" i="6" s="1"/>
  <c r="I34" i="5"/>
  <c r="I35" i="5" s="1"/>
  <c r="I36" i="5" s="1"/>
  <c r="I11" i="5"/>
  <c r="P18" i="6"/>
  <c r="H36" i="5"/>
  <c r="I33" i="5"/>
  <c r="I29" i="5"/>
  <c r="L22" i="6"/>
  <c r="P23" i="6"/>
  <c r="P29" i="6" s="1"/>
  <c r="N24" i="6"/>
  <c r="P26" i="6"/>
  <c r="P25" i="6"/>
  <c r="P24" i="6"/>
  <c r="P30" i="6" s="1"/>
  <c r="K37" i="5"/>
  <c r="K38" i="5"/>
  <c r="K41" i="5"/>
  <c r="K39" i="5"/>
  <c r="K40" i="5"/>
  <c r="K21" i="5"/>
  <c r="K22" i="5"/>
  <c r="K26" i="5"/>
  <c r="K29" i="5"/>
  <c r="K30" i="5"/>
  <c r="K4" i="5"/>
  <c r="K31" i="5"/>
  <c r="K34" i="5"/>
  <c r="K45" i="5"/>
  <c r="K44" i="5"/>
  <c r="L33" i="6"/>
  <c r="K50" i="6"/>
  <c r="K13" i="6"/>
  <c r="H69" i="6"/>
  <c r="H70" i="6"/>
  <c r="H71" i="6"/>
  <c r="O59" i="6"/>
  <c r="O56" i="6"/>
  <c r="P56" i="6" s="1"/>
  <c r="P48" i="6"/>
  <c r="P50" i="6" s="1"/>
  <c r="P51" i="6" s="1"/>
  <c r="P52" i="6" s="1"/>
  <c r="H32" i="6"/>
  <c r="H31" i="6"/>
  <c r="H27" i="6"/>
  <c r="E17" i="6"/>
  <c r="K15" i="6"/>
  <c r="N48" i="5"/>
  <c r="N47" i="5"/>
  <c r="N46" i="5"/>
  <c r="O38" i="5"/>
  <c r="O39" i="5"/>
  <c r="O36" i="5"/>
  <c r="H21" i="5"/>
  <c r="H8" i="5"/>
  <c r="H10" i="5"/>
  <c r="K42" i="5"/>
  <c r="H29" i="5"/>
  <c r="O13" i="5"/>
  <c r="M6" i="5"/>
  <c r="O14" i="5"/>
  <c r="K3" i="5"/>
  <c r="K33" i="5"/>
  <c r="K8" i="5"/>
  <c r="K10" i="5"/>
  <c r="K35" i="5"/>
  <c r="K36" i="5"/>
  <c r="N43" i="5"/>
  <c r="O43" i="5"/>
  <c r="O44" i="5"/>
  <c r="H4" i="5"/>
  <c r="H33" i="5"/>
  <c r="H22" i="5"/>
  <c r="H26" i="5"/>
  <c r="H27" i="5"/>
  <c r="H30" i="5"/>
  <c r="H31" i="5"/>
  <c r="H34" i="5"/>
  <c r="H35" i="5"/>
  <c r="E12" i="5"/>
  <c r="P6" i="5"/>
  <c r="O6" i="5"/>
  <c r="N3" i="5"/>
  <c r="L3" i="5"/>
  <c r="M3" i="5"/>
  <c r="O40" i="5"/>
  <c r="L49" i="5"/>
  <c r="K46" i="5"/>
  <c r="K47" i="5"/>
  <c r="M49" i="5"/>
  <c r="O60" i="6" l="1"/>
  <c r="O61" i="6" s="1"/>
  <c r="AL42" i="6"/>
  <c r="L34" i="6"/>
  <c r="B5" i="7" s="1"/>
  <c r="B7" i="7" s="1"/>
  <c r="B8" i="7" s="1"/>
  <c r="K34" i="6"/>
  <c r="X45" i="6"/>
  <c r="Y42" i="6"/>
  <c r="X42" i="6"/>
  <c r="AK42" i="6"/>
  <c r="O24" i="6"/>
  <c r="N25" i="6" s="1"/>
  <c r="H72" i="6"/>
  <c r="H36" i="6"/>
  <c r="H34" i="6"/>
  <c r="K49" i="6"/>
  <c r="Y45" i="6" l="1"/>
  <c r="L41" i="6"/>
  <c r="H41" i="6"/>
  <c r="H42" i="6" s="1"/>
  <c r="L60" i="6"/>
  <c r="K54" i="6"/>
  <c r="N11" i="6"/>
  <c r="K52" i="6" l="1"/>
  <c r="K55" i="6" s="1"/>
  <c r="P11" i="6"/>
  <c r="Q11" i="6"/>
  <c r="P19" i="6"/>
  <c r="K8" i="6" s="1"/>
  <c r="K9" i="6" l="1"/>
  <c r="K56" i="6"/>
  <c r="M8" i="6"/>
  <c r="N8" i="6" s="1"/>
  <c r="O8" i="6"/>
  <c r="P57" i="6" l="1"/>
  <c r="K36" i="6"/>
  <c r="K41" i="6" s="1"/>
  <c r="K58" i="6" s="1"/>
  <c r="K40" i="6"/>
  <c r="K42" i="6" l="1"/>
  <c r="K59" i="6"/>
  <c r="K60" i="6" s="1"/>
  <c r="L43" i="6" l="1"/>
  <c r="L45" i="6" s="1"/>
  <c r="L42" i="6"/>
  <c r="L46" i="6" l="1"/>
  <c r="L44" i="6"/>
  <c r="L47" i="6" l="1"/>
  <c r="G47" i="6"/>
  <c r="G65" i="6"/>
  <c r="G29" i="9"/>
  <c r="F70" i="9" s="1"/>
  <c r="F29" i="9"/>
  <c r="D29" i="9"/>
  <c r="F78" i="9" l="1"/>
  <c r="F79" i="9" s="1"/>
  <c r="J4" i="9" s="1"/>
  <c r="F84" i="9"/>
  <c r="E4" i="9"/>
  <c r="F85" i="9"/>
  <c r="H4" i="9" s="1"/>
  <c r="H70" i="9"/>
  <c r="E70" i="9"/>
  <c r="G70" i="9"/>
  <c r="E78" i="9" l="1"/>
  <c r="E79" i="9" s="1"/>
  <c r="E85" i="9"/>
  <c r="E84" i="9"/>
  <c r="G84" i="9"/>
  <c r="G85" i="9"/>
  <c r="G78" i="9"/>
  <c r="H78" i="9"/>
  <c r="H79" i="9" s="1"/>
  <c r="H85" i="9"/>
  <c r="H84" i="9"/>
  <c r="F4" i="9"/>
  <c r="F80" i="9"/>
  <c r="F81" i="9" s="1"/>
  <c r="F86" i="9" s="1"/>
  <c r="F87" i="9" s="1"/>
  <c r="I4" i="9"/>
  <c r="K4" i="9" l="1"/>
  <c r="L4" i="9" s="1"/>
  <c r="G79" i="9"/>
  <c r="G80" i="9" s="1"/>
  <c r="G81" i="9" s="1"/>
  <c r="G86" i="9" s="1"/>
  <c r="G87" i="9" s="1"/>
  <c r="H80" i="9"/>
  <c r="H81" i="9" s="1"/>
  <c r="H86" i="9" s="1"/>
  <c r="H87" i="9" s="1"/>
  <c r="E80" i="9"/>
  <c r="E81" i="9" s="1"/>
  <c r="E86" i="9" l="1"/>
  <c r="E87" i="9" s="1"/>
</calcChain>
</file>

<file path=xl/sharedStrings.xml><?xml version="1.0" encoding="utf-8"?>
<sst xmlns="http://schemas.openxmlformats.org/spreadsheetml/2006/main" count="1155" uniqueCount="234">
  <si>
    <t>FY23-24 Q1-Q2 KAIST GLP Summer-Fall '23</t>
  </si>
  <si>
    <t>Summary of Key Financial Metrics for the LDI Financial Forecast Spreadsheet</t>
  </si>
  <si>
    <t># of Students</t>
  </si>
  <si>
    <t>Price ($)/Student</t>
  </si>
  <si>
    <t>Revenue</t>
  </si>
  <si>
    <t>Expenses</t>
  </si>
  <si>
    <t>Gross Profit</t>
  </si>
  <si>
    <t>LDI Overhead</t>
  </si>
  <si>
    <t>EBITA</t>
  </si>
  <si>
    <t>SIA</t>
  </si>
  <si>
    <t>G&amp;A</t>
  </si>
  <si>
    <t>Net Profit</t>
  </si>
  <si>
    <t>Margin</t>
  </si>
  <si>
    <t>Pricing Structure - Agreement Range Limits</t>
  </si>
  <si>
    <t>Range of Students</t>
  </si>
  <si>
    <t>Price ($) (old)</t>
  </si>
  <si>
    <t>% increase</t>
  </si>
  <si>
    <t>Price ($) (new)</t>
  </si>
  <si>
    <t>Price ($) increase</t>
  </si>
  <si>
    <t>8-9</t>
  </si>
  <si>
    <t>10-12</t>
  </si>
  <si>
    <t>13-19</t>
  </si>
  <si>
    <t>20+</t>
  </si>
  <si>
    <t>Revenues</t>
  </si>
  <si>
    <t>Financial Reconciliation</t>
  </si>
  <si>
    <t>Actual Amount</t>
  </si>
  <si>
    <t>Recon Date</t>
  </si>
  <si>
    <t>Demand Scenarios - Number of Students</t>
  </si>
  <si>
    <t>Price/Student</t>
  </si>
  <si>
    <t>Total Revenues</t>
  </si>
  <si>
    <t xml:space="preserve"> </t>
  </si>
  <si>
    <t>Contra Revenues</t>
  </si>
  <si>
    <t>Summer Quarter '23 - DCE Fees</t>
  </si>
  <si>
    <t>Total Fixed Cost</t>
  </si>
  <si>
    <t>Variable Cost</t>
  </si>
  <si>
    <t>DCE ESL 10-week Course (Summer '23)</t>
  </si>
  <si>
    <t>DCE Concurrent Enrollment Course Fee</t>
  </si>
  <si>
    <t>DCE Quarterly Student Services Fee (international)</t>
  </si>
  <si>
    <t>DCE Health Insurance Fee (international)</t>
  </si>
  <si>
    <t>Total Summer Quarter '23 - DCE Fees</t>
  </si>
  <si>
    <t>Fall Quarter '23 - DCE Fees</t>
  </si>
  <si>
    <t xml:space="preserve">DCE Concurrent Enrollment Course Fee </t>
  </si>
  <si>
    <t>DCE Extramural Course Fee for 2 courses ($135 * 2)</t>
  </si>
  <si>
    <t>ESL Custom Business English Course / Advanced Global Business Communications</t>
  </si>
  <si>
    <t>Total Fall Quarter '23 - DCE Fees</t>
  </si>
  <si>
    <t>Total Contra Revenues</t>
  </si>
  <si>
    <t>Operating Expenses</t>
  </si>
  <si>
    <t>Fall Quarter '23 - Instructor Payments</t>
  </si>
  <si>
    <t>Faculty/Speaker</t>
  </si>
  <si>
    <t>Total</t>
  </si>
  <si>
    <t>CBR %</t>
  </si>
  <si>
    <t>Total CBR</t>
  </si>
  <si>
    <t>Grand Total</t>
  </si>
  <si>
    <t>Business in the World Today</t>
  </si>
  <si>
    <t>Thomas Eppel</t>
  </si>
  <si>
    <t>Global Leadership and Negotiations</t>
  </si>
  <si>
    <t>William Hernandez</t>
  </si>
  <si>
    <t>Total Fall Quarter '23 - Instructor Payments</t>
  </si>
  <si>
    <t xml:space="preserve">Marketing </t>
  </si>
  <si>
    <t>Flyers</t>
  </si>
  <si>
    <t>LinkedIn Inmails</t>
  </si>
  <si>
    <t>Postage fees</t>
  </si>
  <si>
    <t>Land Page fees</t>
  </si>
  <si>
    <t>Panelist Fed Ex and Certificates</t>
  </si>
  <si>
    <t>Total Marketing</t>
  </si>
  <si>
    <t>Course Materials</t>
  </si>
  <si>
    <t>Textbooks</t>
  </si>
  <si>
    <t>LMS fee/technology fees</t>
  </si>
  <si>
    <t>Total Course Materials</t>
  </si>
  <si>
    <t>Food &amp; Catering</t>
  </si>
  <si>
    <t>Graduation Pizzy Party (Non-UCI vendor)</t>
  </si>
  <si>
    <t>Total Food &amp; Catering</t>
  </si>
  <si>
    <t>Transportation</t>
  </si>
  <si>
    <t>Bus Transportation</t>
  </si>
  <si>
    <t>Vehicle Rentals</t>
  </si>
  <si>
    <t>Parking</t>
  </si>
  <si>
    <t>Total Transportation</t>
  </si>
  <si>
    <t>Miscellaneous</t>
  </si>
  <si>
    <t>Herff Jones - Diplomas</t>
  </si>
  <si>
    <t>Student ID Card</t>
  </si>
  <si>
    <t>Other admin (gifts, meals, etc.)</t>
  </si>
  <si>
    <t>Other miscellaneous</t>
  </si>
  <si>
    <t>Credit Card Fee (4%)</t>
  </si>
  <si>
    <t>Total Miscelleneous</t>
  </si>
  <si>
    <t>Total Operating Expenses</t>
  </si>
  <si>
    <t>Non-Operating Expenses</t>
  </si>
  <si>
    <t>Administrative</t>
  </si>
  <si>
    <t>Total Administrative</t>
  </si>
  <si>
    <t>Taxes and Assessments</t>
  </si>
  <si>
    <t>School Internal Assessment (SIA)</t>
  </si>
  <si>
    <t>General and Administrative (G&amp;A)</t>
  </si>
  <si>
    <t>Total Taxes and Assessments</t>
  </si>
  <si>
    <t>Total Non-Operating Expenses</t>
  </si>
  <si>
    <t>Gross Profit and EBITA</t>
  </si>
  <si>
    <t>Gross Profit (EBITA less LDI Overhead)</t>
  </si>
  <si>
    <t>Earnings Before Taxes, Interest, and Assessments (EBITA)</t>
  </si>
  <si>
    <t>Net Profit %</t>
  </si>
  <si>
    <t>FY22-23 Q1-Q2 KAIST GLP Summer-Fall '23</t>
  </si>
  <si>
    <t>LDI Tuition</t>
  </si>
  <si>
    <t>LDI Total Costs</t>
  </si>
  <si>
    <t>LDI Tuition per Student</t>
  </si>
  <si>
    <t>LDI DCE</t>
  </si>
  <si>
    <t>DCE Total Costs</t>
  </si>
  <si>
    <t>DCE Tuition per Student</t>
  </si>
  <si>
    <t>LDI DCE SIA &amp; G&amp;A Costs</t>
  </si>
  <si>
    <t>DCE SIA Cost</t>
  </si>
  <si>
    <t>DCE G&amp;A Cost</t>
  </si>
  <si>
    <t>Pass-Throughs and Operating Expenses less Pass-Throughs</t>
  </si>
  <si>
    <t>Total Pass-Throughs</t>
  </si>
  <si>
    <t>Total Operating Expenses less Pass-Throughs</t>
  </si>
  <si>
    <t>Pricing Structure - Agreement Range Limits - Min: 16 and Max: 30</t>
  </si>
  <si>
    <t>13-17</t>
  </si>
  <si>
    <t>18-19</t>
  </si>
  <si>
    <t>Demand Scenarios</t>
  </si>
  <si>
    <r>
      <t xml:space="preserve">DCE Extramural Course Fee </t>
    </r>
    <r>
      <rPr>
        <b/>
        <sz val="11"/>
        <color rgb="FFFF0000"/>
        <rFont val="Calibri"/>
        <family val="2"/>
        <scheme val="minor"/>
      </rPr>
      <t>for 2 courses</t>
    </r>
  </si>
  <si>
    <t>Orientation and Graduation</t>
  </si>
  <si>
    <t>Total Course Food &amp; Catering</t>
  </si>
  <si>
    <t>Parking for students</t>
  </si>
  <si>
    <t>FY21-22 Q1-Q2 KAIST GLP Summer-Fall '22</t>
  </si>
  <si>
    <t>Module Content</t>
  </si>
  <si>
    <t>Date</t>
  </si>
  <si>
    <t>Hours</t>
  </si>
  <si>
    <t>Cost/Hour</t>
  </si>
  <si>
    <t>Module #1 - Module Name</t>
  </si>
  <si>
    <t>UCI Faculty</t>
  </si>
  <si>
    <t>Module #2 - Module Name</t>
  </si>
  <si>
    <t xml:space="preserve">UCI Faculty </t>
  </si>
  <si>
    <t>Module #3 - Module Name</t>
  </si>
  <si>
    <t>Module #4 - Module Name</t>
  </si>
  <si>
    <t>Module #5 - Module Name</t>
  </si>
  <si>
    <t xml:space="preserve">Industry Expert </t>
  </si>
  <si>
    <t>Module #6 - Module Name</t>
  </si>
  <si>
    <t>Industry Expert</t>
  </si>
  <si>
    <t>Total Module Content</t>
  </si>
  <si>
    <t>Faculty Lead Additional Compensation</t>
  </si>
  <si>
    <t>Total Hours</t>
  </si>
  <si>
    <t>Rate</t>
  </si>
  <si>
    <t>N/A</t>
  </si>
  <si>
    <t>Total Faculty Lead Additional Compensation</t>
  </si>
  <si>
    <t>Aventri / Stova Registration System</t>
  </si>
  <si>
    <t>Breakfast Catering</t>
  </si>
  <si>
    <t>Lunch Catering</t>
  </si>
  <si>
    <t>Snack Catering</t>
  </si>
  <si>
    <t>Dinner Catering</t>
  </si>
  <si>
    <t>Certificates</t>
  </si>
  <si>
    <t>Shipping Fees for Certificates</t>
  </si>
  <si>
    <t>Pass-Throughs</t>
  </si>
  <si>
    <t>Disney Trip</t>
  </si>
  <si>
    <t>Numer of Students</t>
  </si>
  <si>
    <t>Tuition</t>
  </si>
  <si>
    <t>Gross Revenue</t>
  </si>
  <si>
    <t>Instruction Costs</t>
  </si>
  <si>
    <t>ESL</t>
  </si>
  <si>
    <t>Merage</t>
  </si>
  <si>
    <t>Fall 1</t>
  </si>
  <si>
    <t>Global Business English Com II (Custom)</t>
  </si>
  <si>
    <t>12 minimum</t>
  </si>
  <si>
    <t>Fall 2</t>
  </si>
  <si>
    <t>Fall Custom (Global Leadership and Negotiation)</t>
  </si>
  <si>
    <t>"MONTHLY Check Date 12/01/2022"</t>
  </si>
  <si>
    <t>20+ $12,480</t>
  </si>
  <si>
    <t>Fall 3</t>
  </si>
  <si>
    <t>Fall Custom (International Business)</t>
  </si>
  <si>
    <t>"MONTHLY Check Date 01/03/2023"</t>
  </si>
  <si>
    <t>Plus textbooks</t>
  </si>
  <si>
    <t>Program Costs</t>
  </si>
  <si>
    <t>Textbooks &amp; Materials</t>
  </si>
  <si>
    <t>Breaks/Food Costs</t>
  </si>
  <si>
    <t>Orientation/Graduation</t>
  </si>
  <si>
    <t>"KAIST GLP MAIN STREET &amp; TARGET 12/6/22"</t>
  </si>
  <si>
    <t>Course Fees</t>
  </si>
  <si>
    <t>Intermural Transcript Fees</t>
  </si>
  <si>
    <t>$135/student</t>
  </si>
  <si>
    <t>"enrolled 16 students in Mmgt X451.47  22"</t>
  </si>
  <si>
    <t>DCE Recharges us this</t>
  </si>
  <si>
    <t>"enrolled 16 stud- Mgmt X451.48  22FA"</t>
  </si>
  <si>
    <t>Miscellaneous Costs</t>
  </si>
  <si>
    <t>Airport pickup</t>
  </si>
  <si>
    <t>Student ID Cards</t>
  </si>
  <si>
    <t>Mail/FedEx</t>
  </si>
  <si>
    <t>FEDEX 337102483</t>
  </si>
  <si>
    <t xml:space="preserve">ANTPARK PERMIT RECHARGE 867809 KOH
ANTPARK PERMIT RECHARGE 867811 KIM
ANTPARK PERMIT RECHARGE 867814 KIM
ANTPARK PERMIT RECHARGE 867816 KIM
ANTPARK PERMIT RECHARGE 867817 SON
ANTPARK PERMIT RECHARGE 867818 AN
ANTPARK PERMIT RECHARGE 867820 PARK
ANTPARK PERMIT RECHARGE 867822 JANG
ANTPARK PERMIT RECHARGE 867823 JO
ANTPARK PERMIT RECHARGE 867827 CHOI
ANTPARK PERMIT RECHARGE 867828 CHOI
ANTPARK PERMIT RECHARGE 872314
GUEST PARKING RES. #133428: PHAM
GUEST PARKING RES. #133431: PHAM
GUEST PARKING RES. #133435: PHAM
GUEST PARKING RES. #133436: PHAM
</t>
  </si>
  <si>
    <t>UNEX Fee</t>
  </si>
  <si>
    <t>$325/Q</t>
  </si>
  <si>
    <t>University Tax</t>
  </si>
  <si>
    <t># of students</t>
  </si>
  <si>
    <t xml:space="preserve"> 10 - 12</t>
  </si>
  <si>
    <t>DCE fees</t>
  </si>
  <si>
    <t>Health insurance</t>
  </si>
  <si>
    <t>$585 per quarter per student</t>
  </si>
  <si>
    <t>passthrough via wire transfer</t>
  </si>
  <si>
    <t xml:space="preserve">only for concurrent Kaist finance enrollment , $325 (increase from $300) </t>
  </si>
  <si>
    <t>Summary</t>
  </si>
  <si>
    <t>% Change in Tuition since 2019</t>
  </si>
  <si>
    <t>Tuition Revenue</t>
  </si>
  <si>
    <t>Margin (35% overhead subtracted)</t>
  </si>
  <si>
    <t>same as above</t>
  </si>
  <si>
    <t>Net Income</t>
  </si>
  <si>
    <t>Overhead</t>
  </si>
  <si>
    <t>Profit before SIA</t>
  </si>
  <si>
    <t>we had budgeted and tution agreed and contracted with Kaist - May 2022</t>
  </si>
  <si>
    <t>short</t>
  </si>
  <si>
    <t>Final Profit</t>
  </si>
  <si>
    <t>ESL Summer</t>
  </si>
  <si>
    <t>10 Week Intensive (Grammar/Writing and English/Listening)</t>
  </si>
  <si>
    <t>ESL Textbooks</t>
  </si>
  <si>
    <t>ESL Expenses</t>
  </si>
  <si>
    <t>Total Expenses</t>
  </si>
  <si>
    <t>ESL Revenue</t>
  </si>
  <si>
    <t>ESL Profit Margin</t>
  </si>
  <si>
    <t>Previous tuition</t>
  </si>
  <si>
    <t>Total Tuition per student</t>
  </si>
  <si>
    <t>Total Revenue for program</t>
  </si>
  <si>
    <t>Total Net Income</t>
  </si>
  <si>
    <t>Margin Before fees</t>
  </si>
  <si>
    <t>I removed parking and textbooks</t>
  </si>
  <si>
    <t>can dce books also be removed?</t>
  </si>
  <si>
    <t>I increased faculty comp to $500 per hour</t>
  </si>
  <si>
    <t>tuition remains constant with min 14?</t>
  </si>
  <si>
    <t>FY22-23 KAIST GLP Summer-Fall '22</t>
  </si>
  <si>
    <t>per student increase</t>
  </si>
  <si>
    <t>health insurance</t>
  </si>
  <si>
    <t>DCE</t>
  </si>
  <si>
    <t xml:space="preserve">parking </t>
  </si>
  <si>
    <t>textbooks</t>
  </si>
  <si>
    <t>Executive Education - KAIST Program Summer-Fall 2021</t>
  </si>
  <si>
    <t>"MONTHLY Check Date 10/01/2021" and "MONTHLY Check Date 01/03/2022"</t>
  </si>
  <si>
    <t>"BARNES &amp; NOBLE COLLEGE BOOKSELLERS", "AMAZON.COM*2C11K4FT1 A loand1 09/21/2021" and "BARNES&amp;NOBLE.COM-BN loand1 10/20/2021"</t>
  </si>
  <si>
    <t>$125/student</t>
  </si>
  <si>
    <t>"FEDEX 337102483"</t>
  </si>
  <si>
    <t>"ANTPARK PERMIT RECHARGE" 8678## KOH KIM KIM KIM SON AN PARK JANG JO CHOI CHOI and "GUEST PARKING RES. #1334##:" PHAM"</t>
  </si>
  <si>
    <t>ESL Revenue Tax</t>
  </si>
  <si>
    <t>Total Margin</t>
  </si>
  <si>
    <t>OEE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</si>
</sst>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8" formatCode="&quot;$&quot;#,##0.00_);[Red]\(&quot;$&quot;#,##0.00\)"/>
    <numFmt numFmtId="44" formatCode="_(&quot;$&quot;* #,##0.00_);_(&quot;$&quot;* \(#,##0.00\);_(&quot;$&quot;* &quot;-&quot;??_);_(@_)"/>
    <numFmt numFmtId="164" formatCode="&quot;$&quot;#,##0"/>
    <numFmt numFmtId="165" formatCode="&quot;$&quot;#,##0.00"/>
    <numFmt numFmtId="166" formatCode="_(&quot;$&quot;* #,##0_);_(&quot;$&quot;* \(#,##0\);_(&quot;$&quot;* &quot;-&quot;??_);_(@_)"/>
    <numFmt numFmtId="167" formatCode="&quot;$&quot;#,##0.0"/>
    <numFmt numFmtId="168" formatCode="_([$$-409]* #,##0.00_);_([$$-409]* \(#,##0.00\);_([$$-409]* &quot;-&quot;??_);_(@_)"/>
    <numFmt numFmtId="169" formatCode="_(&quot;$&quot;* #,##0.000_);_(&quot;$&quot;* \(#,##0.000\);_(&quot;$&quot;* &quot;-&quot;???_);_(@_)"/>
    <numFmt numFmtId="170" formatCode="[$-409]mmmm\ d\,\ yyyy;@"/>
  </numFmts>
  <fonts count="27" x14ac:knownFonts="1">
    <font>
      <sz val="11"/>
      <color theme="1"/>
      <name val="Calibri"/>
      <family val="2"/>
      <scheme val="minor"/>
    </font>
    <font>
      <b/>
      <sz val="11"/>
      <name val="Calibri"/>
      <family val="2"/>
    </font>
    <font>
      <b/>
      <sz val="12"/>
      <color indexed="18"/>
      <name val="Calibri"/>
      <family val="2"/>
    </font>
    <font>
      <b/>
      <sz val="12"/>
      <name val="Calibri"/>
      <family val="2"/>
    </font>
    <font>
      <b/>
      <sz val="11"/>
      <color indexed="60"/>
      <name val="Calibri"/>
      <family val="2"/>
    </font>
    <font>
      <sz val="11"/>
      <color indexed="60"/>
      <name val="Calibri"/>
      <family val="2"/>
    </font>
    <font>
      <sz val="11"/>
      <name val="Calibri"/>
      <family val="2"/>
    </font>
    <font>
      <sz val="12"/>
      <name val="Calibri"/>
      <family val="2"/>
    </font>
    <font>
      <b/>
      <sz val="11"/>
      <color theme="1"/>
      <name val="Calibri"/>
      <family val="2"/>
      <scheme val="minor"/>
    </font>
    <font>
      <b/>
      <sz val="11"/>
      <color rgb="FFC00000"/>
      <name val="Calibri"/>
      <family val="2"/>
      <scheme val="minor"/>
    </font>
    <font>
      <sz val="11"/>
      <color rgb="FFC00000"/>
      <name val="Calibri"/>
      <family val="2"/>
      <scheme val="minor"/>
    </font>
    <font>
      <b/>
      <sz val="11"/>
      <color rgb="FFC00000"/>
      <name val="Calibri"/>
      <family val="2"/>
    </font>
    <font>
      <sz val="11"/>
      <color theme="1"/>
      <name val="Calibri"/>
      <family val="2"/>
      <scheme val="minor"/>
    </font>
    <font>
      <b/>
      <sz val="14"/>
      <color indexed="62"/>
      <name val="Calibri"/>
      <family val="2"/>
      <scheme val="minor"/>
    </font>
    <font>
      <sz val="11"/>
      <name val="Calibri"/>
      <family val="2"/>
      <scheme val="minor"/>
    </font>
    <font>
      <sz val="12"/>
      <name val="Calibri"/>
      <family val="2"/>
      <scheme val="minor"/>
    </font>
    <font>
      <sz val="11"/>
      <color rgb="FFFF0000"/>
      <name val="Calibri"/>
      <family val="2"/>
      <scheme val="minor"/>
    </font>
    <font>
      <b/>
      <sz val="11"/>
      <color theme="0"/>
      <name val="Calibri"/>
      <family val="2"/>
      <scheme val="minor"/>
    </font>
    <font>
      <sz val="11"/>
      <color theme="0"/>
      <name val="Calibri"/>
      <family val="2"/>
      <scheme val="minor"/>
    </font>
    <font>
      <b/>
      <sz val="11"/>
      <name val="Calibri"/>
      <family val="2"/>
      <scheme val="minor"/>
    </font>
    <font>
      <sz val="11"/>
      <color rgb="FF000000"/>
      <name val="Calibri"/>
      <family val="2"/>
      <scheme val="minor"/>
    </font>
    <font>
      <b/>
      <sz val="11"/>
      <color rgb="FF000000"/>
      <name val="Calibri"/>
      <family val="2"/>
      <scheme val="minor"/>
    </font>
    <font>
      <b/>
      <sz val="11"/>
      <color rgb="FFFF0000"/>
      <name val="Calibri"/>
      <family val="2"/>
      <scheme val="minor"/>
    </font>
    <font>
      <b/>
      <i/>
      <sz val="11"/>
      <color rgb="FFFF0000"/>
      <name val="Calibri"/>
      <family val="2"/>
      <scheme val="minor"/>
    </font>
    <font>
      <strike/>
      <sz val="11"/>
      <color theme="1"/>
      <name val="Calibri"/>
      <family val="2"/>
      <scheme val="minor"/>
    </font>
    <font>
      <strike/>
      <sz val="11"/>
      <color rgb="FF000000"/>
      <name val="Calibri"/>
      <family val="2"/>
      <scheme val="minor"/>
    </font>
    <font>
      <sz val="11"/>
      <color rgb="FF9C5700"/>
      <name val="Calibri"/>
      <family val="2"/>
      <scheme val="minor"/>
    </font>
  </fonts>
  <fills count="14">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00B050"/>
        <bgColor indexed="64"/>
      </patternFill>
    </fill>
    <fill>
      <patternFill patternType="solid">
        <fgColor rgb="FFFFFFCC"/>
        <bgColor indexed="64"/>
      </patternFill>
    </fill>
    <fill>
      <patternFill patternType="solid">
        <fgColor rgb="FFFFFFFF"/>
        <bgColor indexed="64"/>
      </patternFill>
    </fill>
    <fill>
      <patternFill patternType="solid">
        <fgColor rgb="FF92D050"/>
        <bgColor indexed="64"/>
      </patternFill>
    </fill>
    <fill>
      <patternFill patternType="solid">
        <fgColor rgb="FF9BC2E6"/>
        <bgColor indexed="64"/>
      </patternFill>
    </fill>
    <fill>
      <patternFill patternType="solid">
        <fgColor theme="1"/>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EB9C"/>
      </patternFill>
    </fill>
    <fill>
      <patternFill patternType="solid">
        <fgColor rgb="FFA6A6A6"/>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top/>
      <bottom style="medium">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right/>
      <top/>
      <bottom style="medium">
        <color indexed="64"/>
      </bottom>
      <diagonal/>
    </border>
    <border>
      <left/>
      <right/>
      <top/>
      <bottom style="double">
        <color indexed="64"/>
      </bottom>
      <diagonal/>
    </border>
    <border>
      <left style="thick">
        <color rgb="FFFF0000"/>
      </left>
      <right/>
      <top style="thick">
        <color rgb="FFFF0000"/>
      </top>
      <bottom style="medium">
        <color indexed="64"/>
      </bottom>
      <diagonal/>
    </border>
    <border>
      <left/>
      <right style="thick">
        <color rgb="FFFF0000"/>
      </right>
      <top style="thick">
        <color rgb="FFFF0000"/>
      </top>
      <bottom style="medium">
        <color indexed="64"/>
      </bottom>
      <diagonal/>
    </border>
    <border>
      <left/>
      <right/>
      <top/>
      <bottom style="thin">
        <color indexed="64"/>
      </bottom>
      <diagonal/>
    </border>
    <border>
      <left style="thick">
        <color rgb="FFFF0000"/>
      </left>
      <right/>
      <top/>
      <bottom style="thin">
        <color indexed="64"/>
      </bottom>
      <diagonal/>
    </border>
    <border>
      <left/>
      <right style="thick">
        <color rgb="FFFF0000"/>
      </right>
      <top/>
      <bottom style="thin">
        <color indexed="64"/>
      </bottom>
      <diagonal/>
    </border>
    <border>
      <left style="thick">
        <color rgb="FFFF0000"/>
      </left>
      <right/>
      <top/>
      <bottom/>
      <diagonal/>
    </border>
    <border>
      <left/>
      <right style="thick">
        <color rgb="FFFF0000"/>
      </right>
      <top/>
      <bottom/>
      <diagonal/>
    </border>
    <border>
      <left style="thick">
        <color rgb="FFFF0000"/>
      </left>
      <right/>
      <top/>
      <bottom style="double">
        <color indexed="64"/>
      </bottom>
      <diagonal/>
    </border>
    <border>
      <left/>
      <right style="thick">
        <color rgb="FFFF0000"/>
      </right>
      <top/>
      <bottom style="double">
        <color indexed="64"/>
      </bottom>
      <diagonal/>
    </border>
    <border>
      <left style="thick">
        <color rgb="FFFF0000"/>
      </left>
      <right/>
      <top/>
      <bottom style="medium">
        <color indexed="64"/>
      </bottom>
      <diagonal/>
    </border>
    <border>
      <left/>
      <right style="thick">
        <color rgb="FFFF0000"/>
      </right>
      <top/>
      <bottom style="medium">
        <color indexed="64"/>
      </bottom>
      <diagonal/>
    </border>
    <border>
      <left/>
      <right/>
      <top style="double">
        <color indexed="64"/>
      </top>
      <bottom/>
      <diagonal/>
    </border>
    <border>
      <left style="thick">
        <color rgb="FFFF0000"/>
      </left>
      <right/>
      <top style="double">
        <color indexed="64"/>
      </top>
      <bottom/>
      <diagonal/>
    </border>
    <border>
      <left/>
      <right style="thick">
        <color rgb="FFFF0000"/>
      </right>
      <top style="double">
        <color indexed="64"/>
      </top>
      <bottom/>
      <diagonal/>
    </border>
    <border>
      <left style="thick">
        <color rgb="FFFF0000"/>
      </left>
      <right/>
      <top style="medium">
        <color indexed="64"/>
      </top>
      <bottom/>
      <diagonal/>
    </border>
    <border>
      <left/>
      <right style="thick">
        <color rgb="FFFF0000"/>
      </right>
      <top style="medium">
        <color indexed="64"/>
      </top>
      <bottom/>
      <diagonal/>
    </border>
    <border>
      <left style="thick">
        <color rgb="FFFF0000"/>
      </left>
      <right/>
      <top/>
      <bottom style="thick">
        <color rgb="FFFF0000"/>
      </bottom>
      <diagonal/>
    </border>
    <border>
      <left/>
      <right style="thick">
        <color rgb="FFFF0000"/>
      </right>
      <top/>
      <bottom style="thick">
        <color rgb="FFFF0000"/>
      </bottom>
      <diagonal/>
    </border>
    <border>
      <left/>
      <right/>
      <top style="thin">
        <color indexed="64"/>
      </top>
      <bottom style="double">
        <color indexed="64"/>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ck">
        <color indexed="64"/>
      </bottom>
      <diagonal/>
    </border>
    <border>
      <left/>
      <right/>
      <top/>
      <bottom style="thick">
        <color indexed="64"/>
      </bottom>
      <diagonal/>
    </border>
    <border>
      <left style="thin">
        <color indexed="64"/>
      </left>
      <right/>
      <top style="thin">
        <color indexed="64"/>
      </top>
      <bottom style="thick">
        <color indexed="64"/>
      </bottom>
      <diagonal/>
    </border>
    <border>
      <left style="thin">
        <color rgb="FF000000"/>
      </left>
      <right style="thin">
        <color rgb="FF000000"/>
      </right>
      <top style="thin">
        <color rgb="FF000000"/>
      </top>
      <bottom style="thick">
        <color indexed="64"/>
      </bottom>
      <diagonal/>
    </border>
    <border>
      <left style="thin">
        <color rgb="FF000000"/>
      </left>
      <right style="thin">
        <color rgb="FF000000"/>
      </right>
      <top style="thin">
        <color rgb="FF000000"/>
      </top>
      <bottom style="medium">
        <color indexed="64"/>
      </bottom>
      <diagonal/>
    </border>
    <border>
      <left style="thick">
        <color rgb="FFFF0000"/>
      </left>
      <right/>
      <top style="thin">
        <color indexed="64"/>
      </top>
      <bottom style="double">
        <color indexed="64"/>
      </bottom>
      <diagonal/>
    </border>
    <border>
      <left/>
      <right style="thick">
        <color rgb="FFFF0000"/>
      </right>
      <top style="thin">
        <color indexed="64"/>
      </top>
      <bottom style="double">
        <color indexed="64"/>
      </bottom>
      <diagonal/>
    </border>
  </borders>
  <cellStyleXfs count="5">
    <xf numFmtId="0" fontId="0" fillId="0" borderId="0"/>
    <xf numFmtId="9" fontId="12" fillId="0" borderId="0" applyFont="0" applyFill="0" applyBorder="0" applyAlignment="0" applyProtection="0"/>
    <xf numFmtId="44" fontId="12" fillId="0" borderId="0" applyFont="0" applyFill="0" applyBorder="0" applyAlignment="0" applyProtection="0"/>
    <xf numFmtId="0" fontId="26" fillId="12" borderId="0" applyNumberFormat="0" applyBorder="0" applyAlignment="0" applyProtection="0"/>
    <xf numFmtId="9" fontId="12" fillId="0" borderId="0" applyFont="0" applyFill="0" applyBorder="0" applyAlignment="0" applyProtection="0"/>
  </cellStyleXfs>
  <cellXfs count="495">
    <xf numFmtId="0" fontId="0" fillId="0" borderId="0" xfId="0"/>
    <xf numFmtId="164" fontId="0" fillId="0" borderId="1" xfId="0" applyNumberFormat="1" applyBorder="1" applyAlignment="1">
      <alignment horizontal="left"/>
    </xf>
    <xf numFmtId="0" fontId="0" fillId="0" borderId="1" xfId="0" applyBorder="1"/>
    <xf numFmtId="0" fontId="0" fillId="0" borderId="1" xfId="0" applyBorder="1" applyAlignment="1">
      <alignment horizontal="right"/>
    </xf>
    <xf numFmtId="0" fontId="6" fillId="0" borderId="1" xfId="0" applyFont="1" applyBorder="1" applyAlignment="1">
      <alignment horizontal="right"/>
    </xf>
    <xf numFmtId="164" fontId="0" fillId="0" borderId="1" xfId="0" applyNumberFormat="1" applyBorder="1"/>
    <xf numFmtId="165" fontId="0" fillId="0" borderId="1" xfId="0" applyNumberFormat="1" applyBorder="1"/>
    <xf numFmtId="0" fontId="10" fillId="0" borderId="0" xfId="0" applyFont="1"/>
    <xf numFmtId="0" fontId="0" fillId="0" borderId="2" xfId="0" applyBorder="1"/>
    <xf numFmtId="0" fontId="10" fillId="0" borderId="2" xfId="0" applyFont="1" applyBorder="1"/>
    <xf numFmtId="0" fontId="1" fillId="0" borderId="3" xfId="0" applyFont="1" applyBorder="1" applyAlignment="1">
      <alignment horizontal="center" wrapText="1"/>
    </xf>
    <xf numFmtId="6" fontId="1" fillId="0" borderId="3" xfId="0" applyNumberFormat="1" applyFont="1" applyBorder="1" applyAlignment="1">
      <alignment horizontal="center" wrapText="1"/>
    </xf>
    <xf numFmtId="0" fontId="8" fillId="0" borderId="1" xfId="0" applyFont="1" applyBorder="1" applyAlignment="1">
      <alignment horizontal="right"/>
    </xf>
    <xf numFmtId="0" fontId="14" fillId="0" borderId="0" xfId="0" applyFont="1"/>
    <xf numFmtId="0" fontId="1" fillId="0" borderId="3" xfId="0" applyFont="1" applyBorder="1" applyAlignment="1">
      <alignment horizontal="left" wrapText="1"/>
    </xf>
    <xf numFmtId="0" fontId="0" fillId="0" borderId="3" xfId="0" applyBorder="1"/>
    <xf numFmtId="0" fontId="1" fillId="0" borderId="6" xfId="0" applyFont="1" applyBorder="1" applyAlignment="1">
      <alignment horizontal="left" wrapText="1"/>
    </xf>
    <xf numFmtId="0" fontId="6" fillId="0" borderId="8" xfId="0" applyFont="1" applyBorder="1" applyAlignment="1">
      <alignment horizontal="right"/>
    </xf>
    <xf numFmtId="0" fontId="0" fillId="0" borderId="8" xfId="0" applyBorder="1"/>
    <xf numFmtId="0" fontId="6" fillId="4" borderId="1" xfId="0" applyFont="1" applyFill="1" applyBorder="1" applyAlignment="1">
      <alignment horizontal="right"/>
    </xf>
    <xf numFmtId="0" fontId="0" fillId="4" borderId="1" xfId="0" applyFill="1" applyBorder="1"/>
    <xf numFmtId="6" fontId="0" fillId="0" borderId="1" xfId="0" applyNumberFormat="1" applyBorder="1" applyAlignment="1">
      <alignment horizontal="left"/>
    </xf>
    <xf numFmtId="0" fontId="0" fillId="0" borderId="11" xfId="0" applyBorder="1" applyAlignment="1">
      <alignment horizontal="left" wrapText="1"/>
    </xf>
    <xf numFmtId="0" fontId="0" fillId="0" borderId="11" xfId="0" applyBorder="1" applyAlignment="1">
      <alignment horizontal="left"/>
    </xf>
    <xf numFmtId="0" fontId="1" fillId="0" borderId="11" xfId="0" applyFont="1" applyBorder="1" applyAlignment="1">
      <alignment horizontal="left"/>
    </xf>
    <xf numFmtId="0" fontId="6" fillId="0" borderId="11" xfId="0" applyFont="1" applyBorder="1" applyAlignment="1">
      <alignment horizontal="left"/>
    </xf>
    <xf numFmtId="0" fontId="0" fillId="0" borderId="11" xfId="0" applyBorder="1"/>
    <xf numFmtId="0" fontId="1" fillId="0" borderId="13" xfId="0" applyFont="1" applyBorder="1" applyAlignment="1">
      <alignment horizontal="left"/>
    </xf>
    <xf numFmtId="0" fontId="9" fillId="0" borderId="1" xfId="0" applyFont="1" applyBorder="1"/>
    <xf numFmtId="0" fontId="1" fillId="4" borderId="1" xfId="0" applyFont="1" applyFill="1" applyBorder="1" applyAlignment="1">
      <alignment horizontal="center"/>
    </xf>
    <xf numFmtId="0" fontId="11" fillId="0" borderId="1" xfId="0" applyFont="1" applyBorder="1"/>
    <xf numFmtId="6" fontId="3" fillId="4" borderId="1" xfId="0" applyNumberFormat="1" applyFont="1" applyFill="1" applyBorder="1" applyAlignment="1">
      <alignment horizontal="center"/>
    </xf>
    <xf numFmtId="6" fontId="2" fillId="0" borderId="1" xfId="0" applyNumberFormat="1" applyFont="1" applyBorder="1" applyAlignment="1">
      <alignment horizontal="center"/>
    </xf>
    <xf numFmtId="0" fontId="0" fillId="0" borderId="1" xfId="0" applyBorder="1" applyAlignment="1">
      <alignment horizontal="center"/>
    </xf>
    <xf numFmtId="164" fontId="7" fillId="3" borderId="1" xfId="0" applyNumberFormat="1" applyFont="1" applyFill="1" applyBorder="1"/>
    <xf numFmtId="164" fontId="3" fillId="3" borderId="1" xfId="0" applyNumberFormat="1" applyFont="1" applyFill="1" applyBorder="1"/>
    <xf numFmtId="164" fontId="3" fillId="3" borderId="1" xfId="0" applyNumberFormat="1" applyFont="1" applyFill="1" applyBorder="1" applyAlignment="1">
      <alignment horizontal="right"/>
    </xf>
    <xf numFmtId="164" fontId="7" fillId="3" borderId="1" xfId="0" applyNumberFormat="1" applyFont="1" applyFill="1" applyBorder="1" applyAlignment="1">
      <alignment horizontal="right"/>
    </xf>
    <xf numFmtId="164" fontId="3" fillId="4" borderId="1" xfId="0" applyNumberFormat="1" applyFont="1" applyFill="1" applyBorder="1"/>
    <xf numFmtId="166" fontId="0" fillId="0" borderId="1" xfId="2" applyNumberFormat="1" applyFont="1" applyBorder="1"/>
    <xf numFmtId="166" fontId="0" fillId="4" borderId="1" xfId="2" applyNumberFormat="1" applyFont="1" applyFill="1" applyBorder="1"/>
    <xf numFmtId="166" fontId="0" fillId="0" borderId="0" xfId="2" applyNumberFormat="1" applyFont="1"/>
    <xf numFmtId="166" fontId="0" fillId="0" borderId="8" xfId="2" applyNumberFormat="1" applyFont="1" applyBorder="1"/>
    <xf numFmtId="10" fontId="3" fillId="3" borderId="8" xfId="1" applyNumberFormat="1" applyFont="1" applyFill="1" applyBorder="1"/>
    <xf numFmtId="10" fontId="0" fillId="0" borderId="1" xfId="0" applyNumberFormat="1" applyBorder="1"/>
    <xf numFmtId="6" fontId="0" fillId="0" borderId="0" xfId="0" applyNumberFormat="1"/>
    <xf numFmtId="0" fontId="0" fillId="0" borderId="14" xfId="0" applyBorder="1"/>
    <xf numFmtId="0" fontId="0" fillId="0" borderId="15" xfId="0" applyBorder="1"/>
    <xf numFmtId="6" fontId="0" fillId="0" borderId="16" xfId="0" applyNumberFormat="1" applyBorder="1"/>
    <xf numFmtId="0" fontId="0" fillId="0" borderId="17" xfId="0" applyBorder="1"/>
    <xf numFmtId="0" fontId="0" fillId="0" borderId="18" xfId="0" applyBorder="1"/>
    <xf numFmtId="0" fontId="0" fillId="0" borderId="19" xfId="0" applyBorder="1"/>
    <xf numFmtId="167" fontId="0" fillId="0" borderId="0" xfId="0" applyNumberFormat="1"/>
    <xf numFmtId="165" fontId="0" fillId="0" borderId="0" xfId="0" applyNumberFormat="1"/>
    <xf numFmtId="10" fontId="0" fillId="0" borderId="0" xfId="0" applyNumberFormat="1"/>
    <xf numFmtId="9" fontId="0" fillId="0" borderId="20" xfId="0" applyNumberFormat="1" applyBorder="1"/>
    <xf numFmtId="0" fontId="0" fillId="0" borderId="21" xfId="0" applyBorder="1"/>
    <xf numFmtId="0" fontId="1" fillId="0" borderId="1" xfId="0" applyFont="1" applyBorder="1" applyAlignment="1">
      <alignment horizontal="center" wrapText="1"/>
    </xf>
    <xf numFmtId="0" fontId="0" fillId="0" borderId="1" xfId="0" applyBorder="1" applyAlignment="1">
      <alignment horizontal="left" wrapText="1"/>
    </xf>
    <xf numFmtId="0" fontId="14" fillId="0" borderId="1" xfId="0" applyFont="1" applyBorder="1"/>
    <xf numFmtId="164" fontId="7" fillId="5" borderId="1" xfId="0" applyNumberFormat="1" applyFont="1" applyFill="1" applyBorder="1"/>
    <xf numFmtId="166" fontId="15" fillId="3" borderId="1" xfId="0" applyNumberFormat="1" applyFont="1" applyFill="1" applyBorder="1"/>
    <xf numFmtId="0" fontId="0" fillId="4" borderId="1" xfId="0" applyFill="1" applyBorder="1" applyAlignment="1">
      <alignment horizontal="right"/>
    </xf>
    <xf numFmtId="0" fontId="14" fillId="4" borderId="1" xfId="0" applyFont="1" applyFill="1" applyBorder="1"/>
    <xf numFmtId="166" fontId="0" fillId="0" borderId="1" xfId="2" applyNumberFormat="1" applyFont="1" applyFill="1" applyBorder="1"/>
    <xf numFmtId="166" fontId="15" fillId="3" borderId="22" xfId="1" applyNumberFormat="1" applyFont="1" applyFill="1" applyBorder="1"/>
    <xf numFmtId="10" fontId="15" fillId="5" borderId="8" xfId="1" applyNumberFormat="1" applyFont="1" applyFill="1" applyBorder="1"/>
    <xf numFmtId="0" fontId="0" fillId="0" borderId="22" xfId="0" applyBorder="1"/>
    <xf numFmtId="0" fontId="0" fillId="0" borderId="22" xfId="0" applyBorder="1" applyAlignment="1">
      <alignment horizontal="right"/>
    </xf>
    <xf numFmtId="166" fontId="0" fillId="0" borderId="22" xfId="2" applyNumberFormat="1" applyFont="1" applyBorder="1"/>
    <xf numFmtId="0" fontId="14" fillId="0" borderId="22" xfId="0" applyFont="1" applyBorder="1"/>
    <xf numFmtId="0" fontId="0" fillId="0" borderId="8" xfId="0" applyBorder="1" applyAlignment="1">
      <alignment horizontal="right"/>
    </xf>
    <xf numFmtId="164" fontId="7" fillId="5" borderId="22" xfId="0" applyNumberFormat="1" applyFont="1" applyFill="1" applyBorder="1"/>
    <xf numFmtId="0" fontId="1" fillId="0" borderId="22" xfId="0" applyFont="1" applyBorder="1" applyAlignment="1">
      <alignment horizontal="center" wrapText="1"/>
    </xf>
    <xf numFmtId="0" fontId="0" fillId="0" borderId="22" xfId="0" applyBorder="1" applyAlignment="1">
      <alignment horizontal="left" wrapText="1"/>
    </xf>
    <xf numFmtId="164" fontId="0" fillId="0" borderId="22" xfId="0" applyNumberFormat="1" applyBorder="1" applyAlignment="1">
      <alignment horizontal="left"/>
    </xf>
    <xf numFmtId="0" fontId="14" fillId="5" borderId="1" xfId="0" applyFont="1" applyFill="1" applyBorder="1"/>
    <xf numFmtId="0" fontId="14" fillId="5" borderId="8" xfId="0" applyFont="1" applyFill="1" applyBorder="1"/>
    <xf numFmtId="164" fontId="15" fillId="3" borderId="1" xfId="0" applyNumberFormat="1" applyFont="1" applyFill="1" applyBorder="1"/>
    <xf numFmtId="164" fontId="15" fillId="4" borderId="1" xfId="0" applyNumberFormat="1" applyFont="1" applyFill="1" applyBorder="1"/>
    <xf numFmtId="10" fontId="15" fillId="3" borderId="1" xfId="1" applyNumberFormat="1" applyFont="1" applyFill="1" applyBorder="1"/>
    <xf numFmtId="44" fontId="7" fillId="5" borderId="22" xfId="2" applyFont="1" applyFill="1" applyBorder="1"/>
    <xf numFmtId="44" fontId="7" fillId="5" borderId="1" xfId="2" applyFont="1" applyFill="1" applyBorder="1"/>
    <xf numFmtId="44" fontId="15" fillId="5" borderId="1" xfId="2" applyFont="1" applyFill="1" applyBorder="1"/>
    <xf numFmtId="44" fontId="7" fillId="3" borderId="1" xfId="2" applyFont="1" applyFill="1" applyBorder="1"/>
    <xf numFmtId="44" fontId="3" fillId="3" borderId="1" xfId="2" applyFont="1" applyFill="1" applyBorder="1"/>
    <xf numFmtId="44" fontId="7" fillId="3" borderId="1" xfId="2" applyFont="1" applyFill="1" applyBorder="1" applyAlignment="1">
      <alignment horizontal="right"/>
    </xf>
    <xf numFmtId="44" fontId="3" fillId="3" borderId="1" xfId="2" applyFont="1" applyFill="1" applyBorder="1" applyAlignment="1">
      <alignment horizontal="right"/>
    </xf>
    <xf numFmtId="168" fontId="15" fillId="5" borderId="1" xfId="0" applyNumberFormat="1" applyFont="1" applyFill="1" applyBorder="1"/>
    <xf numFmtId="166" fontId="0" fillId="0" borderId="0" xfId="0" applyNumberFormat="1"/>
    <xf numFmtId="164" fontId="0" fillId="0" borderId="0" xfId="0" applyNumberFormat="1"/>
    <xf numFmtId="10" fontId="14" fillId="0" borderId="0" xfId="0" applyNumberFormat="1" applyFont="1"/>
    <xf numFmtId="44" fontId="0" fillId="0" borderId="0" xfId="0" applyNumberFormat="1"/>
    <xf numFmtId="168" fontId="14" fillId="0" borderId="0" xfId="0" applyNumberFormat="1" applyFont="1"/>
    <xf numFmtId="6" fontId="14" fillId="0" borderId="0" xfId="0" applyNumberFormat="1" applyFont="1"/>
    <xf numFmtId="164" fontId="7" fillId="3" borderId="23" xfId="0" applyNumberFormat="1" applyFont="1" applyFill="1" applyBorder="1"/>
    <xf numFmtId="44" fontId="7" fillId="3" borderId="23" xfId="2" applyFont="1" applyFill="1" applyBorder="1"/>
    <xf numFmtId="44" fontId="3" fillId="3" borderId="23" xfId="2" applyFont="1" applyFill="1" applyBorder="1"/>
    <xf numFmtId="44" fontId="7" fillId="3" borderId="23" xfId="2" applyFont="1" applyFill="1" applyBorder="1" applyAlignment="1">
      <alignment horizontal="right"/>
    </xf>
    <xf numFmtId="44" fontId="3" fillId="3" borderId="23" xfId="2" applyFont="1" applyFill="1" applyBorder="1" applyAlignment="1">
      <alignment horizontal="right"/>
    </xf>
    <xf numFmtId="164" fontId="3" fillId="3" borderId="23" xfId="0" applyNumberFormat="1" applyFont="1" applyFill="1" applyBorder="1"/>
    <xf numFmtId="10" fontId="3" fillId="3" borderId="23" xfId="1" applyNumberFormat="1" applyFont="1" applyFill="1" applyBorder="1"/>
    <xf numFmtId="44" fontId="7" fillId="5" borderId="23" xfId="2" applyFont="1" applyFill="1" applyBorder="1"/>
    <xf numFmtId="44" fontId="15" fillId="5" borderId="23" xfId="2" applyFont="1" applyFill="1" applyBorder="1"/>
    <xf numFmtId="168" fontId="15" fillId="5" borderId="23" xfId="0" applyNumberFormat="1" applyFont="1" applyFill="1" applyBorder="1"/>
    <xf numFmtId="10" fontId="15" fillId="5" borderId="23" xfId="1" applyNumberFormat="1" applyFont="1" applyFill="1" applyBorder="1"/>
    <xf numFmtId="166" fontId="15" fillId="3" borderId="23" xfId="1" applyNumberFormat="1" applyFont="1" applyFill="1" applyBorder="1"/>
    <xf numFmtId="166" fontId="15" fillId="3" borderId="23" xfId="0" applyNumberFormat="1" applyFont="1" applyFill="1" applyBorder="1"/>
    <xf numFmtId="164" fontId="15" fillId="3" borderId="23" xfId="0" applyNumberFormat="1" applyFont="1" applyFill="1" applyBorder="1"/>
    <xf numFmtId="164" fontId="7" fillId="3" borderId="11" xfId="0" applyNumberFormat="1" applyFont="1" applyFill="1" applyBorder="1"/>
    <xf numFmtId="44" fontId="7" fillId="3" borderId="11" xfId="2" applyFont="1" applyFill="1" applyBorder="1"/>
    <xf numFmtId="44" fontId="3" fillId="3" borderId="11" xfId="2" applyFont="1" applyFill="1" applyBorder="1"/>
    <xf numFmtId="44" fontId="7" fillId="3" borderId="11" xfId="2" applyFont="1" applyFill="1" applyBorder="1" applyAlignment="1">
      <alignment horizontal="right"/>
    </xf>
    <xf numFmtId="44" fontId="3" fillId="3" borderId="11" xfId="2" applyFont="1" applyFill="1" applyBorder="1" applyAlignment="1">
      <alignment horizontal="right"/>
    </xf>
    <xf numFmtId="164" fontId="3" fillId="3" borderId="11" xfId="0" applyNumberFormat="1" applyFont="1" applyFill="1" applyBorder="1"/>
    <xf numFmtId="10" fontId="3" fillId="3" borderId="13" xfId="1" applyNumberFormat="1" applyFont="1" applyFill="1" applyBorder="1"/>
    <xf numFmtId="44" fontId="7" fillId="5" borderId="24" xfId="2" applyFont="1" applyFill="1" applyBorder="1"/>
    <xf numFmtId="44" fontId="7" fillId="5" borderId="11" xfId="2" applyFont="1" applyFill="1" applyBorder="1"/>
    <xf numFmtId="44" fontId="15" fillId="5" borderId="11" xfId="2" applyFont="1" applyFill="1" applyBorder="1"/>
    <xf numFmtId="168" fontId="15" fillId="5" borderId="11" xfId="0" applyNumberFormat="1" applyFont="1" applyFill="1" applyBorder="1"/>
    <xf numFmtId="10" fontId="15" fillId="5" borderId="13" xfId="1" applyNumberFormat="1" applyFont="1" applyFill="1" applyBorder="1"/>
    <xf numFmtId="166" fontId="15" fillId="3" borderId="24" xfId="1" applyNumberFormat="1" applyFont="1" applyFill="1" applyBorder="1"/>
    <xf numFmtId="166" fontId="15" fillId="3" borderId="11" xfId="0" applyNumberFormat="1" applyFont="1" applyFill="1" applyBorder="1"/>
    <xf numFmtId="164" fontId="15" fillId="3" borderId="11" xfId="0" applyNumberFormat="1" applyFont="1" applyFill="1" applyBorder="1"/>
    <xf numFmtId="166" fontId="0" fillId="0" borderId="19" xfId="0" applyNumberFormat="1" applyBorder="1"/>
    <xf numFmtId="8" fontId="0" fillId="0" borderId="0" xfId="0" applyNumberFormat="1"/>
    <xf numFmtId="9" fontId="0" fillId="0" borderId="0" xfId="0" applyNumberFormat="1"/>
    <xf numFmtId="0" fontId="0" fillId="0" borderId="0" xfId="0" applyAlignment="1">
      <alignment wrapText="1"/>
    </xf>
    <xf numFmtId="16" fontId="0" fillId="0" borderId="0" xfId="0" applyNumberFormat="1" applyAlignment="1">
      <alignment horizontal="left"/>
    </xf>
    <xf numFmtId="0" fontId="16" fillId="0" borderId="0" xfId="0" applyFont="1"/>
    <xf numFmtId="10" fontId="3" fillId="0" borderId="0" xfId="1" applyNumberFormat="1" applyFont="1" applyFill="1" applyBorder="1"/>
    <xf numFmtId="10" fontId="3" fillId="3" borderId="1" xfId="1" applyNumberFormat="1" applyFont="1" applyFill="1" applyBorder="1"/>
    <xf numFmtId="0" fontId="1" fillId="0" borderId="4" xfId="0" applyFont="1" applyBorder="1" applyAlignment="1">
      <alignment horizontal="left" wrapText="1"/>
    </xf>
    <xf numFmtId="0" fontId="1" fillId="0" borderId="12" xfId="0" applyFont="1" applyBorder="1" applyAlignment="1">
      <alignment horizontal="left"/>
    </xf>
    <xf numFmtId="0" fontId="6" fillId="6" borderId="1" xfId="0" applyFont="1" applyFill="1" applyBorder="1" applyAlignment="1">
      <alignment horizontal="right"/>
    </xf>
    <xf numFmtId="0" fontId="0" fillId="6" borderId="1" xfId="0" applyFill="1" applyBorder="1"/>
    <xf numFmtId="166" fontId="0" fillId="6" borderId="1" xfId="2" applyNumberFormat="1" applyFont="1" applyFill="1" applyBorder="1"/>
    <xf numFmtId="0" fontId="16" fillId="6" borderId="0" xfId="0" applyFont="1" applyFill="1"/>
    <xf numFmtId="0" fontId="0" fillId="6" borderId="0" xfId="0" applyFill="1"/>
    <xf numFmtId="0" fontId="6" fillId="6" borderId="25" xfId="0" applyFont="1" applyFill="1" applyBorder="1" applyAlignment="1">
      <alignment horizontal="right"/>
    </xf>
    <xf numFmtId="0" fontId="0" fillId="6" borderId="25" xfId="0" applyFill="1" applyBorder="1"/>
    <xf numFmtId="164" fontId="3" fillId="3" borderId="25" xfId="0" applyNumberFormat="1" applyFont="1" applyFill="1" applyBorder="1"/>
    <xf numFmtId="164" fontId="3" fillId="3" borderId="12" xfId="0" applyNumberFormat="1" applyFont="1" applyFill="1" applyBorder="1"/>
    <xf numFmtId="10" fontId="0" fillId="6" borderId="25" xfId="2" applyNumberFormat="1" applyFont="1" applyFill="1" applyBorder="1"/>
    <xf numFmtId="0" fontId="6" fillId="7" borderId="25" xfId="0" applyFont="1" applyFill="1" applyBorder="1" applyAlignment="1">
      <alignment horizontal="right"/>
    </xf>
    <xf numFmtId="0" fontId="0" fillId="7" borderId="25" xfId="0" applyFill="1" applyBorder="1"/>
    <xf numFmtId="10" fontId="8" fillId="7" borderId="25" xfId="2" applyNumberFormat="1" applyFont="1" applyFill="1" applyBorder="1"/>
    <xf numFmtId="164" fontId="3" fillId="7" borderId="25" xfId="0" applyNumberFormat="1" applyFont="1" applyFill="1" applyBorder="1"/>
    <xf numFmtId="164" fontId="3" fillId="7" borderId="12" xfId="0" applyNumberFormat="1" applyFont="1" applyFill="1" applyBorder="1"/>
    <xf numFmtId="164" fontId="3" fillId="7" borderId="23" xfId="0" applyNumberFormat="1" applyFont="1" applyFill="1" applyBorder="1"/>
    <xf numFmtId="0" fontId="0" fillId="6" borderId="1" xfId="0" applyFill="1" applyBorder="1" applyAlignment="1">
      <alignment horizontal="right"/>
    </xf>
    <xf numFmtId="0" fontId="14" fillId="6" borderId="1" xfId="0" applyFont="1" applyFill="1" applyBorder="1"/>
    <xf numFmtId="10" fontId="0" fillId="0" borderId="1" xfId="0" applyNumberFormat="1" applyBorder="1" applyAlignment="1">
      <alignment horizontal="right"/>
    </xf>
    <xf numFmtId="10" fontId="0" fillId="0" borderId="1" xfId="2" applyNumberFormat="1" applyFont="1" applyBorder="1"/>
    <xf numFmtId="0" fontId="0" fillId="0" borderId="25" xfId="0" applyBorder="1" applyAlignment="1">
      <alignment horizontal="right"/>
    </xf>
    <xf numFmtId="0" fontId="0" fillId="0" borderId="25" xfId="0" applyBorder="1"/>
    <xf numFmtId="166" fontId="0" fillId="0" borderId="25" xfId="2" applyNumberFormat="1" applyFont="1" applyBorder="1"/>
    <xf numFmtId="0" fontId="14" fillId="0" borderId="25" xfId="0" applyFont="1" applyBorder="1"/>
    <xf numFmtId="10" fontId="15" fillId="3" borderId="12" xfId="1" applyNumberFormat="1" applyFont="1" applyFill="1" applyBorder="1"/>
    <xf numFmtId="10" fontId="15" fillId="3" borderId="26" xfId="1" applyNumberFormat="1" applyFont="1" applyFill="1" applyBorder="1"/>
    <xf numFmtId="0" fontId="0" fillId="3" borderId="1" xfId="0" applyFill="1" applyBorder="1" applyAlignment="1">
      <alignment horizontal="right"/>
    </xf>
    <xf numFmtId="0" fontId="0" fillId="3" borderId="1" xfId="0" applyFill="1" applyBorder="1"/>
    <xf numFmtId="10" fontId="0" fillId="3" borderId="1" xfId="2" applyNumberFormat="1" applyFont="1" applyFill="1" applyBorder="1"/>
    <xf numFmtId="0" fontId="14" fillId="3" borderId="1" xfId="0" applyFont="1" applyFill="1" applyBorder="1"/>
    <xf numFmtId="0" fontId="16" fillId="3" borderId="1" xfId="0" applyFont="1" applyFill="1" applyBorder="1"/>
    <xf numFmtId="165" fontId="14" fillId="3" borderId="1" xfId="0" applyNumberFormat="1" applyFont="1" applyFill="1" applyBorder="1"/>
    <xf numFmtId="10" fontId="14" fillId="3" borderId="1" xfId="0" applyNumberFormat="1" applyFont="1" applyFill="1" applyBorder="1"/>
    <xf numFmtId="169" fontId="0" fillId="0" borderId="0" xfId="0" applyNumberFormat="1"/>
    <xf numFmtId="164" fontId="7" fillId="3" borderId="11" xfId="2" applyNumberFormat="1" applyFont="1" applyFill="1" applyBorder="1"/>
    <xf numFmtId="44" fontId="7" fillId="8" borderId="23" xfId="2" applyFont="1" applyFill="1" applyBorder="1"/>
    <xf numFmtId="44" fontId="0" fillId="0" borderId="0" xfId="2" applyFont="1"/>
    <xf numFmtId="0" fontId="6" fillId="8" borderId="11" xfId="0" applyFont="1" applyFill="1" applyBorder="1" applyAlignment="1">
      <alignment horizontal="left"/>
    </xf>
    <xf numFmtId="165" fontId="0" fillId="8" borderId="1" xfId="0" applyNumberFormat="1" applyFill="1" applyBorder="1"/>
    <xf numFmtId="0" fontId="0" fillId="8" borderId="1" xfId="0" applyFill="1" applyBorder="1"/>
    <xf numFmtId="166" fontId="0" fillId="8" borderId="1" xfId="2" applyNumberFormat="1" applyFont="1" applyFill="1" applyBorder="1"/>
    <xf numFmtId="164" fontId="7" fillId="8" borderId="1" xfId="0" applyNumberFormat="1" applyFont="1" applyFill="1" applyBorder="1" applyAlignment="1">
      <alignment horizontal="right"/>
    </xf>
    <xf numFmtId="166" fontId="16" fillId="8" borderId="0" xfId="0" applyNumberFormat="1" applyFont="1" applyFill="1"/>
    <xf numFmtId="0" fontId="0" fillId="8" borderId="0" xfId="0" applyFill="1"/>
    <xf numFmtId="44" fontId="7" fillId="8" borderId="11" xfId="2" applyFont="1" applyFill="1" applyBorder="1" applyAlignment="1">
      <alignment horizontal="right"/>
    </xf>
    <xf numFmtId="44" fontId="7" fillId="8" borderId="23" xfId="2" applyFont="1" applyFill="1" applyBorder="1" applyAlignment="1">
      <alignment horizontal="right"/>
    </xf>
    <xf numFmtId="0" fontId="16" fillId="8" borderId="0" xfId="0" applyFont="1" applyFill="1"/>
    <xf numFmtId="0" fontId="0" fillId="0" borderId="27" xfId="0" applyBorder="1"/>
    <xf numFmtId="168" fontId="3" fillId="4" borderId="1" xfId="0" applyNumberFormat="1" applyFont="1" applyFill="1" applyBorder="1" applyAlignment="1">
      <alignment horizontal="center"/>
    </xf>
    <xf numFmtId="168" fontId="3" fillId="4" borderId="0" xfId="0" applyNumberFormat="1" applyFont="1" applyFill="1" applyAlignment="1">
      <alignment horizontal="center"/>
    </xf>
    <xf numFmtId="0" fontId="8" fillId="0" borderId="28" xfId="0" applyFont="1" applyBorder="1"/>
    <xf numFmtId="0" fontId="19" fillId="0" borderId="0" xfId="0" applyFont="1"/>
    <xf numFmtId="0" fontId="20" fillId="0" borderId="0" xfId="0" applyFont="1"/>
    <xf numFmtId="0" fontId="8" fillId="0" borderId="10" xfId="0" quotePrefix="1" applyFont="1" applyBorder="1"/>
    <xf numFmtId="0" fontId="19" fillId="0" borderId="10" xfId="0" applyFont="1" applyBorder="1" applyAlignment="1">
      <alignment horizontal="left"/>
    </xf>
    <xf numFmtId="0" fontId="8" fillId="0" borderId="10" xfId="0" applyFont="1" applyBorder="1"/>
    <xf numFmtId="0" fontId="21" fillId="0" borderId="0" xfId="0" applyFont="1" applyAlignment="1">
      <alignment horizontal="center"/>
    </xf>
    <xf numFmtId="0" fontId="0" fillId="0" borderId="0" xfId="2" applyNumberFormat="1" applyFont="1" applyAlignment="1"/>
    <xf numFmtId="44" fontId="20" fillId="0" borderId="0" xfId="0" applyNumberFormat="1" applyFont="1" applyAlignment="1">
      <alignment horizontal="left"/>
    </xf>
    <xf numFmtId="165" fontId="0" fillId="0" borderId="0" xfId="2" applyNumberFormat="1" applyFont="1"/>
    <xf numFmtId="44" fontId="0" fillId="0" borderId="0" xfId="2" quotePrefix="1" applyFont="1"/>
    <xf numFmtId="10" fontId="0" fillId="0" borderId="0" xfId="1" applyNumberFormat="1" applyFont="1"/>
    <xf numFmtId="0" fontId="19" fillId="0" borderId="0" xfId="0" applyFont="1" applyAlignment="1">
      <alignment horizontal="center"/>
    </xf>
    <xf numFmtId="10" fontId="20" fillId="0" borderId="0" xfId="0" applyNumberFormat="1" applyFont="1"/>
    <xf numFmtId="0" fontId="17" fillId="9" borderId="0" xfId="0" applyFont="1" applyFill="1"/>
    <xf numFmtId="0" fontId="18" fillId="9" borderId="0" xfId="0" applyFont="1" applyFill="1"/>
    <xf numFmtId="49" fontId="20" fillId="0" borderId="0" xfId="0" applyNumberFormat="1" applyFont="1" applyAlignment="1">
      <alignment horizontal="left" indent="1"/>
    </xf>
    <xf numFmtId="0" fontId="20" fillId="0" borderId="0" xfId="0" applyFont="1" applyAlignment="1">
      <alignment horizontal="left"/>
    </xf>
    <xf numFmtId="0" fontId="20" fillId="0" borderId="0" xfId="0" applyFont="1" applyAlignment="1">
      <alignment horizontal="right"/>
    </xf>
    <xf numFmtId="44" fontId="20" fillId="0" borderId="0" xfId="0" applyNumberFormat="1" applyFont="1"/>
    <xf numFmtId="8" fontId="19" fillId="0" borderId="0" xfId="0" applyNumberFormat="1" applyFont="1" applyAlignment="1">
      <alignment horizontal="center"/>
    </xf>
    <xf numFmtId="165" fontId="14" fillId="0" borderId="0" xfId="2" applyNumberFormat="1" applyFont="1" applyFill="1" applyBorder="1" applyAlignment="1">
      <alignment horizontal="center"/>
    </xf>
    <xf numFmtId="0" fontId="14" fillId="0" borderId="0" xfId="0" applyFont="1" applyAlignment="1">
      <alignment horizontal="center"/>
    </xf>
    <xf numFmtId="0" fontId="16" fillId="0" borderId="0" xfId="0" applyFont="1" applyAlignment="1">
      <alignment horizontal="center"/>
    </xf>
    <xf numFmtId="8" fontId="20" fillId="0" borderId="0" xfId="0" applyNumberFormat="1" applyFont="1"/>
    <xf numFmtId="166" fontId="0" fillId="10" borderId="1" xfId="2" applyNumberFormat="1" applyFont="1" applyFill="1" applyBorder="1"/>
    <xf numFmtId="165" fontId="0" fillId="0" borderId="0" xfId="2" quotePrefix="1" applyNumberFormat="1" applyFont="1"/>
    <xf numFmtId="49" fontId="20" fillId="0" borderId="0" xfId="0" applyNumberFormat="1" applyFont="1" applyAlignment="1">
      <alignment horizontal="left"/>
    </xf>
    <xf numFmtId="0" fontId="8" fillId="0" borderId="0" xfId="0" applyFont="1"/>
    <xf numFmtId="0" fontId="0" fillId="0" borderId="29" xfId="0" applyBorder="1"/>
    <xf numFmtId="49" fontId="20" fillId="0" borderId="29" xfId="0" applyNumberFormat="1" applyFont="1" applyBorder="1" applyAlignment="1">
      <alignment horizontal="left"/>
    </xf>
    <xf numFmtId="44" fontId="20" fillId="0" borderId="29" xfId="0" applyNumberFormat="1" applyFont="1" applyBorder="1" applyAlignment="1">
      <alignment horizontal="left"/>
    </xf>
    <xf numFmtId="0" fontId="20" fillId="0" borderId="29" xfId="0" applyFont="1" applyBorder="1" applyAlignment="1">
      <alignment horizontal="left"/>
    </xf>
    <xf numFmtId="44" fontId="20" fillId="0" borderId="29" xfId="0" applyNumberFormat="1" applyFont="1" applyBorder="1" applyAlignment="1">
      <alignment horizontal="right"/>
    </xf>
    <xf numFmtId="8" fontId="19" fillId="0" borderId="29" xfId="0" applyNumberFormat="1" applyFont="1" applyBorder="1" applyAlignment="1">
      <alignment horizontal="center"/>
    </xf>
    <xf numFmtId="165" fontId="14" fillId="0" borderId="29" xfId="2" applyNumberFormat="1" applyFont="1" applyFill="1" applyBorder="1" applyAlignment="1">
      <alignment horizontal="center"/>
    </xf>
    <xf numFmtId="0" fontId="14" fillId="0" borderId="29" xfId="0" applyFont="1" applyBorder="1" applyAlignment="1">
      <alignment horizontal="center"/>
    </xf>
    <xf numFmtId="49" fontId="21" fillId="0" borderId="0" xfId="0" applyNumberFormat="1" applyFont="1" applyAlignment="1">
      <alignment horizontal="left"/>
    </xf>
    <xf numFmtId="44" fontId="21" fillId="0" borderId="0" xfId="0" applyNumberFormat="1" applyFont="1" applyAlignment="1">
      <alignment horizontal="left"/>
    </xf>
    <xf numFmtId="0" fontId="21" fillId="0" borderId="0" xfId="0" applyFont="1" applyAlignment="1">
      <alignment horizontal="left"/>
    </xf>
    <xf numFmtId="165" fontId="21" fillId="0" borderId="0" xfId="0" applyNumberFormat="1" applyFont="1" applyAlignment="1">
      <alignment horizontal="right"/>
    </xf>
    <xf numFmtId="44" fontId="21" fillId="0" borderId="0" xfId="0" applyNumberFormat="1" applyFont="1" applyAlignment="1">
      <alignment horizontal="right"/>
    </xf>
    <xf numFmtId="165" fontId="19" fillId="0" borderId="0" xfId="2" applyNumberFormat="1" applyFont="1" applyFill="1" applyBorder="1" applyAlignment="1">
      <alignment horizontal="center"/>
    </xf>
    <xf numFmtId="0" fontId="22" fillId="0" borderId="0" xfId="0" applyFont="1" applyAlignment="1">
      <alignment horizontal="center"/>
    </xf>
    <xf numFmtId="0" fontId="21" fillId="0" borderId="0" xfId="0" applyFont="1"/>
    <xf numFmtId="8" fontId="21" fillId="0" borderId="0" xfId="0" applyNumberFormat="1" applyFont="1"/>
    <xf numFmtId="44" fontId="20" fillId="0" borderId="0" xfId="0" applyNumberFormat="1" applyFont="1" applyAlignment="1">
      <alignment horizontal="right"/>
    </xf>
    <xf numFmtId="0" fontId="21" fillId="0" borderId="28" xfId="0" applyFont="1" applyBorder="1"/>
    <xf numFmtId="0" fontId="17" fillId="11" borderId="30" xfId="0" applyFont="1" applyFill="1" applyBorder="1" applyAlignment="1">
      <alignment horizontal="centerContinuous"/>
    </xf>
    <xf numFmtId="0" fontId="17" fillId="11" borderId="31" xfId="0" applyFont="1" applyFill="1" applyBorder="1" applyAlignment="1">
      <alignment horizontal="centerContinuous"/>
    </xf>
    <xf numFmtId="168" fontId="20" fillId="0" borderId="0" xfId="0" applyNumberFormat="1" applyFont="1"/>
    <xf numFmtId="0" fontId="21" fillId="0" borderId="32" xfId="0" applyFont="1" applyBorder="1" applyAlignment="1">
      <alignment horizontal="left"/>
    </xf>
    <xf numFmtId="0" fontId="21" fillId="0" borderId="32" xfId="0" applyFont="1" applyBorder="1" applyAlignment="1">
      <alignment horizontal="left" wrapText="1"/>
    </xf>
    <xf numFmtId="0" fontId="19" fillId="0" borderId="32" xfId="0" applyFont="1" applyBorder="1" applyAlignment="1">
      <alignment horizontal="center"/>
    </xf>
    <xf numFmtId="0" fontId="19" fillId="0" borderId="33" xfId="0" applyFont="1" applyBorder="1" applyAlignment="1">
      <alignment horizontal="center"/>
    </xf>
    <xf numFmtId="0" fontId="19" fillId="0" borderId="34" xfId="0" applyFont="1" applyBorder="1" applyAlignment="1">
      <alignment horizontal="center"/>
    </xf>
    <xf numFmtId="44" fontId="14" fillId="0" borderId="0" xfId="0" applyNumberFormat="1" applyFont="1"/>
    <xf numFmtId="9" fontId="14" fillId="0" borderId="0" xfId="1" applyFont="1" applyFill="1" applyBorder="1"/>
    <xf numFmtId="44" fontId="14" fillId="0" borderId="0" xfId="1" applyNumberFormat="1" applyFont="1" applyFill="1" applyBorder="1"/>
    <xf numFmtId="0" fontId="14" fillId="0" borderId="35" xfId="0" applyFont="1" applyBorder="1"/>
    <xf numFmtId="0" fontId="14" fillId="0" borderId="36" xfId="0" applyFont="1" applyBorder="1"/>
    <xf numFmtId="0" fontId="20" fillId="0" borderId="29" xfId="0" applyFont="1" applyBorder="1"/>
    <xf numFmtId="44" fontId="14" fillId="0" borderId="29" xfId="0" applyNumberFormat="1" applyFont="1" applyBorder="1"/>
    <xf numFmtId="9" fontId="14" fillId="0" borderId="29" xfId="1" applyFont="1" applyFill="1" applyBorder="1"/>
    <xf numFmtId="44" fontId="14" fillId="0" borderId="29" xfId="1" applyNumberFormat="1" applyFont="1" applyFill="1" applyBorder="1"/>
    <xf numFmtId="0" fontId="14" fillId="0" borderId="37" xfId="0" applyFont="1" applyBorder="1"/>
    <xf numFmtId="0" fontId="14" fillId="0" borderId="38" xfId="0" applyFont="1" applyBorder="1"/>
    <xf numFmtId="44" fontId="19" fillId="0" borderId="0" xfId="0" applyNumberFormat="1" applyFont="1"/>
    <xf numFmtId="0" fontId="19" fillId="0" borderId="35" xfId="0" applyFont="1" applyBorder="1"/>
    <xf numFmtId="0" fontId="19" fillId="0" borderId="36" xfId="0" applyFont="1" applyBorder="1"/>
    <xf numFmtId="0" fontId="23" fillId="0" borderId="0" xfId="0" applyFont="1"/>
    <xf numFmtId="8" fontId="23" fillId="0" borderId="35" xfId="0" applyNumberFormat="1" applyFont="1" applyBorder="1"/>
    <xf numFmtId="8" fontId="23" fillId="0" borderId="36" xfId="0" applyNumberFormat="1" applyFont="1" applyBorder="1"/>
    <xf numFmtId="0" fontId="21" fillId="0" borderId="32" xfId="0" applyFont="1" applyBorder="1"/>
    <xf numFmtId="8" fontId="20" fillId="0" borderId="35" xfId="0" applyNumberFormat="1" applyFont="1" applyBorder="1" applyAlignment="1">
      <alignment horizontal="right"/>
    </xf>
    <xf numFmtId="8" fontId="20" fillId="0" borderId="36" xfId="0" applyNumberFormat="1" applyFont="1" applyBorder="1" applyAlignment="1">
      <alignment horizontal="right"/>
    </xf>
    <xf numFmtId="44" fontId="20" fillId="0" borderId="29" xfId="0" applyNumberFormat="1" applyFont="1" applyBorder="1"/>
    <xf numFmtId="44" fontId="21" fillId="0" borderId="0" xfId="0" applyNumberFormat="1" applyFont="1"/>
    <xf numFmtId="8" fontId="21" fillId="0" borderId="35" xfId="0" applyNumberFormat="1" applyFont="1" applyBorder="1" applyAlignment="1">
      <alignment horizontal="right"/>
    </xf>
    <xf numFmtId="8" fontId="21" fillId="0" borderId="36" xfId="0" applyNumberFormat="1" applyFont="1" applyBorder="1" applyAlignment="1">
      <alignment horizontal="right"/>
    </xf>
    <xf numFmtId="0" fontId="0" fillId="0" borderId="0" xfId="0" applyAlignment="1">
      <alignment horizontal="left"/>
    </xf>
    <xf numFmtId="44" fontId="21" fillId="0" borderId="35" xfId="0" applyNumberFormat="1" applyFont="1" applyBorder="1"/>
    <xf numFmtId="44" fontId="21" fillId="0" borderId="36" xfId="0" applyNumberFormat="1" applyFont="1" applyBorder="1"/>
    <xf numFmtId="8" fontId="20" fillId="0" borderId="37" xfId="0" applyNumberFormat="1" applyFont="1" applyBorder="1" applyAlignment="1">
      <alignment horizontal="right"/>
    </xf>
    <xf numFmtId="8" fontId="20" fillId="0" borderId="38" xfId="0" applyNumberFormat="1" applyFont="1" applyBorder="1" applyAlignment="1">
      <alignment horizontal="right"/>
    </xf>
    <xf numFmtId="44" fontId="21" fillId="0" borderId="29" xfId="0" applyNumberFormat="1" applyFont="1" applyBorder="1"/>
    <xf numFmtId="0" fontId="21" fillId="0" borderId="39" xfId="0" applyFont="1" applyBorder="1"/>
    <xf numFmtId="0" fontId="21" fillId="0" borderId="40" xfId="0" applyFont="1" applyBorder="1"/>
    <xf numFmtId="0" fontId="21" fillId="0" borderId="33" xfId="0" applyFont="1" applyBorder="1"/>
    <xf numFmtId="0" fontId="21" fillId="0" borderId="34" xfId="0" applyFont="1" applyBorder="1"/>
    <xf numFmtId="44" fontId="20" fillId="0" borderId="29" xfId="1" applyNumberFormat="1" applyFont="1" applyBorder="1"/>
    <xf numFmtId="10" fontId="20" fillId="0" borderId="29" xfId="1" applyNumberFormat="1" applyFont="1" applyBorder="1"/>
    <xf numFmtId="0" fontId="21" fillId="0" borderId="29" xfId="0" applyFont="1" applyBorder="1"/>
    <xf numFmtId="0" fontId="21" fillId="0" borderId="37" xfId="0" applyFont="1" applyBorder="1"/>
    <xf numFmtId="0" fontId="21" fillId="0" borderId="38" xfId="0" applyFont="1" applyBorder="1"/>
    <xf numFmtId="10" fontId="21" fillId="0" borderId="0" xfId="0" applyNumberFormat="1" applyFont="1"/>
    <xf numFmtId="0" fontId="21" fillId="0" borderId="35" xfId="0" applyFont="1" applyBorder="1"/>
    <xf numFmtId="0" fontId="21" fillId="0" borderId="36" xfId="0" applyFont="1" applyBorder="1"/>
    <xf numFmtId="44" fontId="20" fillId="0" borderId="0" xfId="1" applyNumberFormat="1" applyFont="1"/>
    <xf numFmtId="10" fontId="20" fillId="0" borderId="0" xfId="1" applyNumberFormat="1" applyFont="1"/>
    <xf numFmtId="0" fontId="8" fillId="0" borderId="29" xfId="0" applyFont="1" applyBorder="1"/>
    <xf numFmtId="10" fontId="21" fillId="0" borderId="29" xfId="0" applyNumberFormat="1" applyFont="1" applyBorder="1" applyAlignment="1">
      <alignment wrapText="1"/>
    </xf>
    <xf numFmtId="44" fontId="21" fillId="0" borderId="29" xfId="0" applyNumberFormat="1" applyFont="1" applyBorder="1" applyAlignment="1">
      <alignment wrapText="1"/>
    </xf>
    <xf numFmtId="6" fontId="19" fillId="0" borderId="29" xfId="0" applyNumberFormat="1" applyFont="1" applyBorder="1"/>
    <xf numFmtId="8" fontId="19" fillId="0" borderId="37" xfId="0" applyNumberFormat="1" applyFont="1" applyBorder="1"/>
    <xf numFmtId="8" fontId="19" fillId="0" borderId="38" xfId="0" applyNumberFormat="1" applyFont="1" applyBorder="1"/>
    <xf numFmtId="8" fontId="19" fillId="0" borderId="0" xfId="0" applyNumberFormat="1" applyFont="1"/>
    <xf numFmtId="0" fontId="8" fillId="0" borderId="41" xfId="0" applyFont="1" applyBorder="1"/>
    <xf numFmtId="0" fontId="21" fillId="0" borderId="41" xfId="0" applyFont="1" applyBorder="1"/>
    <xf numFmtId="44" fontId="21" fillId="0" borderId="41" xfId="0" applyNumberFormat="1" applyFont="1" applyBorder="1"/>
    <xf numFmtId="0" fontId="21" fillId="0" borderId="42" xfId="0" applyFont="1" applyBorder="1"/>
    <xf numFmtId="0" fontId="21" fillId="0" borderId="43" xfId="0" applyFont="1" applyBorder="1"/>
    <xf numFmtId="0" fontId="20" fillId="0" borderId="0" xfId="0" applyFont="1" applyAlignment="1">
      <alignment wrapText="1"/>
    </xf>
    <xf numFmtId="8" fontId="14" fillId="0" borderId="35" xfId="0" applyNumberFormat="1" applyFont="1" applyBorder="1"/>
    <xf numFmtId="8" fontId="14" fillId="0" borderId="36" xfId="0" applyNumberFormat="1" applyFont="1" applyBorder="1"/>
    <xf numFmtId="8" fontId="14" fillId="0" borderId="0" xfId="0" applyNumberFormat="1" applyFont="1"/>
    <xf numFmtId="0" fontId="0" fillId="0" borderId="5" xfId="0" applyBorder="1"/>
    <xf numFmtId="0" fontId="0" fillId="0" borderId="5" xfId="0" applyBorder="1" applyAlignment="1">
      <alignment horizontal="left"/>
    </xf>
    <xf numFmtId="0" fontId="0" fillId="0" borderId="5" xfId="0" applyBorder="1" applyAlignment="1">
      <alignment wrapText="1"/>
    </xf>
    <xf numFmtId="0" fontId="20" fillId="0" borderId="5" xfId="0" applyFont="1" applyBorder="1" applyAlignment="1">
      <alignment wrapText="1"/>
    </xf>
    <xf numFmtId="6" fontId="14" fillId="0" borderId="5" xfId="0" applyNumberFormat="1" applyFont="1" applyBorder="1"/>
    <xf numFmtId="8" fontId="14" fillId="0" borderId="44" xfId="0" applyNumberFormat="1" applyFont="1" applyBorder="1"/>
    <xf numFmtId="8" fontId="14" fillId="0" borderId="45" xfId="0" applyNumberFormat="1" applyFont="1" applyBorder="1"/>
    <xf numFmtId="0" fontId="20" fillId="0" borderId="29" xfId="0" applyFont="1" applyBorder="1" applyAlignment="1">
      <alignment wrapText="1"/>
    </xf>
    <xf numFmtId="6" fontId="14" fillId="0" borderId="29" xfId="0" applyNumberFormat="1" applyFont="1" applyBorder="1"/>
    <xf numFmtId="8" fontId="14" fillId="0" borderId="37" xfId="0" applyNumberFormat="1" applyFont="1" applyBorder="1"/>
    <xf numFmtId="8" fontId="14" fillId="0" borderId="38" xfId="0" applyNumberFormat="1" applyFont="1" applyBorder="1"/>
    <xf numFmtId="0" fontId="21" fillId="0" borderId="0" xfId="0" applyFont="1" applyAlignment="1">
      <alignment wrapText="1"/>
    </xf>
    <xf numFmtId="44" fontId="21" fillId="0" borderId="0" xfId="0" applyNumberFormat="1" applyFont="1" applyAlignment="1">
      <alignment wrapText="1"/>
    </xf>
    <xf numFmtId="6" fontId="19" fillId="0" borderId="0" xfId="0" applyNumberFormat="1" applyFont="1"/>
    <xf numFmtId="8" fontId="19" fillId="0" borderId="35" xfId="0" applyNumberFormat="1" applyFont="1" applyBorder="1"/>
    <xf numFmtId="8" fontId="19" fillId="0" borderId="36" xfId="0" applyNumberFormat="1" applyFont="1" applyBorder="1"/>
    <xf numFmtId="0" fontId="8" fillId="0" borderId="0" xfId="0" applyFont="1" applyAlignment="1">
      <alignment horizontal="left" indent="1"/>
    </xf>
    <xf numFmtId="10" fontId="21" fillId="0" borderId="0" xfId="1" applyNumberFormat="1" applyFont="1" applyAlignment="1">
      <alignment wrapText="1"/>
    </xf>
    <xf numFmtId="9" fontId="19" fillId="0" borderId="0" xfId="0" applyNumberFormat="1" applyFont="1"/>
    <xf numFmtId="8" fontId="19" fillId="0" borderId="46" xfId="0" applyNumberFormat="1" applyFont="1" applyBorder="1"/>
    <xf numFmtId="8" fontId="19" fillId="0" borderId="47" xfId="0" applyNumberFormat="1" applyFont="1" applyBorder="1"/>
    <xf numFmtId="44" fontId="20" fillId="0" borderId="0" xfId="2" applyFont="1" applyFill="1" applyBorder="1"/>
    <xf numFmtId="49" fontId="0" fillId="0" borderId="0" xfId="2" applyNumberFormat="1" applyFont="1" applyAlignment="1"/>
    <xf numFmtId="0" fontId="20" fillId="0" borderId="0" xfId="0" applyFont="1" applyAlignment="1">
      <alignment horizontal="left" indent="1"/>
    </xf>
    <xf numFmtId="0" fontId="0" fillId="0" borderId="32" xfId="0" applyBorder="1"/>
    <xf numFmtId="0" fontId="16" fillId="0" borderId="32" xfId="0" applyFont="1" applyBorder="1"/>
    <xf numFmtId="8" fontId="23" fillId="0" borderId="33" xfId="0" applyNumberFormat="1" applyFont="1" applyBorder="1"/>
    <xf numFmtId="8" fontId="23" fillId="0" borderId="34" xfId="0" applyNumberFormat="1" applyFont="1" applyBorder="1"/>
    <xf numFmtId="9" fontId="21" fillId="0" borderId="0" xfId="0" applyNumberFormat="1" applyFont="1"/>
    <xf numFmtId="44" fontId="21" fillId="0" borderId="0" xfId="2" applyFont="1"/>
    <xf numFmtId="44" fontId="21" fillId="0" borderId="0" xfId="2" applyFont="1" applyAlignment="1">
      <alignment wrapText="1"/>
    </xf>
    <xf numFmtId="44" fontId="20" fillId="0" borderId="29" xfId="2" applyFont="1" applyBorder="1"/>
    <xf numFmtId="44" fontId="20" fillId="0" borderId="5" xfId="2" applyFont="1" applyBorder="1"/>
    <xf numFmtId="0" fontId="16" fillId="0" borderId="29" xfId="0" applyFont="1" applyBorder="1"/>
    <xf numFmtId="8" fontId="0" fillId="0" borderId="35" xfId="0" applyNumberFormat="1" applyBorder="1" applyAlignment="1">
      <alignment horizontal="right"/>
    </xf>
    <xf numFmtId="8" fontId="0" fillId="0" borderId="36" xfId="0" applyNumberFormat="1" applyBorder="1" applyAlignment="1">
      <alignment horizontal="right"/>
    </xf>
    <xf numFmtId="0" fontId="8" fillId="0" borderId="32" xfId="0" applyFont="1" applyBorder="1" applyAlignment="1">
      <alignment horizontal="left"/>
    </xf>
    <xf numFmtId="0" fontId="8" fillId="0" borderId="32" xfId="0" applyFont="1" applyBorder="1"/>
    <xf numFmtId="0" fontId="8" fillId="0" borderId="32" xfId="0" applyFont="1" applyBorder="1" applyAlignment="1">
      <alignment horizontal="center"/>
    </xf>
    <xf numFmtId="0" fontId="8" fillId="0" borderId="33" xfId="0" applyFont="1" applyBorder="1" applyAlignment="1">
      <alignment horizontal="center"/>
    </xf>
    <xf numFmtId="0" fontId="8" fillId="0" borderId="34" xfId="0" applyFont="1" applyBorder="1" applyAlignment="1">
      <alignment horizontal="center"/>
    </xf>
    <xf numFmtId="0" fontId="0" fillId="0" borderId="29" xfId="0" applyBorder="1" applyAlignment="1">
      <alignment horizontal="left"/>
    </xf>
    <xf numFmtId="44" fontId="0" fillId="0" borderId="29" xfId="0" applyNumberFormat="1" applyBorder="1"/>
    <xf numFmtId="0" fontId="0" fillId="0" borderId="37" xfId="0" applyBorder="1"/>
    <xf numFmtId="0" fontId="0" fillId="0" borderId="38" xfId="0" applyBorder="1"/>
    <xf numFmtId="0" fontId="8" fillId="0" borderId="0" xfId="0" applyFont="1" applyAlignment="1">
      <alignment horizontal="left"/>
    </xf>
    <xf numFmtId="44" fontId="8" fillId="0" borderId="0" xfId="0" applyNumberFormat="1" applyFont="1"/>
    <xf numFmtId="44" fontId="8" fillId="0" borderId="35" xfId="0" applyNumberFormat="1" applyFont="1" applyBorder="1"/>
    <xf numFmtId="44" fontId="8" fillId="0" borderId="36" xfId="0" applyNumberFormat="1" applyFont="1" applyBorder="1"/>
    <xf numFmtId="8" fontId="0" fillId="0" borderId="35" xfId="0" applyNumberFormat="1" applyBorder="1"/>
    <xf numFmtId="8" fontId="0" fillId="0" borderId="36" xfId="0" applyNumberFormat="1" applyBorder="1"/>
    <xf numFmtId="8" fontId="0" fillId="0" borderId="37" xfId="0" applyNumberFormat="1" applyBorder="1" applyAlignment="1">
      <alignment horizontal="right"/>
    </xf>
    <xf numFmtId="8" fontId="0" fillId="0" borderId="38" xfId="0" applyNumberFormat="1" applyBorder="1" applyAlignment="1">
      <alignment horizontal="right"/>
    </xf>
    <xf numFmtId="0" fontId="8" fillId="0" borderId="29" xfId="0" applyFont="1" applyBorder="1" applyAlignment="1">
      <alignment horizontal="left"/>
    </xf>
    <xf numFmtId="44" fontId="8" fillId="0" borderId="29" xfId="0" applyNumberFormat="1" applyFont="1" applyBorder="1"/>
    <xf numFmtId="44" fontId="8" fillId="0" borderId="37" xfId="0" applyNumberFormat="1" applyFont="1" applyBorder="1"/>
    <xf numFmtId="44" fontId="8" fillId="0" borderId="38" xfId="0" applyNumberFormat="1" applyFont="1" applyBorder="1"/>
    <xf numFmtId="49" fontId="24" fillId="0" borderId="0" xfId="2" applyNumberFormat="1" applyFont="1" applyAlignment="1"/>
    <xf numFmtId="44" fontId="25" fillId="0" borderId="0" xfId="0" applyNumberFormat="1" applyFont="1" applyAlignment="1">
      <alignment horizontal="left"/>
    </xf>
    <xf numFmtId="10" fontId="19" fillId="0" borderId="0" xfId="1" applyNumberFormat="1" applyFont="1"/>
    <xf numFmtId="49" fontId="12" fillId="0" borderId="0" xfId="2" applyNumberFormat="1" applyFont="1" applyAlignment="1"/>
    <xf numFmtId="10" fontId="21" fillId="0" borderId="41" xfId="0" applyNumberFormat="1" applyFont="1" applyBorder="1"/>
    <xf numFmtId="44" fontId="21" fillId="0" borderId="0" xfId="2" applyFont="1" applyAlignment="1">
      <alignment horizontal="right"/>
    </xf>
    <xf numFmtId="44" fontId="0" fillId="0" borderId="0" xfId="2" quotePrefix="1" applyFont="1" applyFill="1"/>
    <xf numFmtId="44" fontId="21" fillId="0" borderId="0" xfId="2" applyFont="1" applyFill="1" applyAlignment="1">
      <alignment horizontal="right"/>
    </xf>
    <xf numFmtId="44" fontId="21" fillId="0" borderId="0" xfId="2" applyFont="1" applyFill="1"/>
    <xf numFmtId="44" fontId="20" fillId="0" borderId="5" xfId="2" applyFont="1" applyFill="1" applyBorder="1"/>
    <xf numFmtId="10" fontId="21" fillId="0" borderId="0" xfId="1" applyNumberFormat="1" applyFont="1" applyFill="1" applyAlignment="1">
      <alignment wrapText="1"/>
    </xf>
    <xf numFmtId="10" fontId="19" fillId="0" borderId="0" xfId="1" applyNumberFormat="1" applyFont="1" applyFill="1"/>
    <xf numFmtId="0" fontId="26" fillId="12" borderId="32" xfId="3" applyBorder="1"/>
    <xf numFmtId="0" fontId="26" fillId="12" borderId="0" xfId="3"/>
    <xf numFmtId="0" fontId="26" fillId="12" borderId="0" xfId="3" applyNumberFormat="1" applyAlignment="1">
      <alignment horizontal="left"/>
    </xf>
    <xf numFmtId="44" fontId="26" fillId="12" borderId="0" xfId="3" applyNumberFormat="1" applyAlignment="1">
      <alignment horizontal="left"/>
    </xf>
    <xf numFmtId="0" fontId="26" fillId="12" borderId="0" xfId="3" applyAlignment="1">
      <alignment horizontal="left"/>
    </xf>
    <xf numFmtId="44" fontId="26" fillId="12" borderId="0" xfId="3" applyNumberFormat="1" applyBorder="1" applyAlignment="1">
      <alignment horizontal="left"/>
    </xf>
    <xf numFmtId="0" fontId="26" fillId="12" borderId="29" xfId="3" applyBorder="1" applyAlignment="1">
      <alignment horizontal="left"/>
    </xf>
    <xf numFmtId="44" fontId="26" fillId="12" borderId="29" xfId="3" applyNumberFormat="1" applyBorder="1" applyAlignment="1">
      <alignment horizontal="left"/>
    </xf>
    <xf numFmtId="44" fontId="26" fillId="12" borderId="29" xfId="3" applyNumberFormat="1" applyBorder="1"/>
    <xf numFmtId="0" fontId="26" fillId="12" borderId="41" xfId="3" applyBorder="1"/>
    <xf numFmtId="44" fontId="26" fillId="12" borderId="41" xfId="3" applyNumberFormat="1" applyBorder="1"/>
    <xf numFmtId="44" fontId="26" fillId="12" borderId="0" xfId="3" applyNumberFormat="1"/>
    <xf numFmtId="0" fontId="26" fillId="12" borderId="29" xfId="3" applyBorder="1"/>
    <xf numFmtId="0" fontId="26" fillId="12" borderId="32" xfId="3" applyBorder="1" applyAlignment="1">
      <alignment horizontal="left"/>
    </xf>
    <xf numFmtId="0" fontId="8" fillId="0" borderId="0" xfId="0" quotePrefix="1" applyFont="1"/>
    <xf numFmtId="10" fontId="20" fillId="0" borderId="0" xfId="1" applyNumberFormat="1" applyFont="1" applyAlignment="1">
      <alignment horizontal="left"/>
    </xf>
    <xf numFmtId="44" fontId="21" fillId="0" borderId="0" xfId="2" applyFont="1" applyBorder="1" applyAlignment="1">
      <alignment horizontal="right"/>
    </xf>
    <xf numFmtId="44" fontId="20" fillId="0" borderId="0" xfId="2" applyFont="1" applyAlignment="1">
      <alignment horizontal="right"/>
    </xf>
    <xf numFmtId="8" fontId="14" fillId="0" borderId="0" xfId="0" applyNumberFormat="1" applyFont="1" applyAlignment="1">
      <alignment horizontal="center"/>
    </xf>
    <xf numFmtId="0" fontId="12" fillId="0" borderId="48" xfId="3" applyFont="1" applyFill="1" applyBorder="1"/>
    <xf numFmtId="44" fontId="12" fillId="0" borderId="48" xfId="3" applyNumberFormat="1" applyFont="1" applyFill="1" applyBorder="1"/>
    <xf numFmtId="10" fontId="16" fillId="0" borderId="29" xfId="1" applyNumberFormat="1" applyFont="1" applyBorder="1"/>
    <xf numFmtId="166" fontId="0" fillId="0" borderId="0" xfId="2" quotePrefix="1" applyNumberFormat="1" applyFont="1"/>
    <xf numFmtId="10" fontId="12" fillId="0" borderId="29" xfId="1" applyNumberFormat="1" applyFont="1" applyBorder="1"/>
    <xf numFmtId="0" fontId="12" fillId="0" borderId="0" xfId="3" applyFont="1" applyFill="1"/>
    <xf numFmtId="44" fontId="12" fillId="0" borderId="0" xfId="3" applyNumberFormat="1" applyFont="1" applyFill="1"/>
    <xf numFmtId="0" fontId="12" fillId="0" borderId="29" xfId="3" applyFont="1" applyFill="1" applyBorder="1"/>
    <xf numFmtId="44" fontId="12" fillId="0" borderId="29" xfId="3" applyNumberFormat="1" applyFont="1" applyFill="1" applyBorder="1"/>
    <xf numFmtId="0" fontId="18" fillId="0" borderId="0" xfId="0" applyFont="1"/>
    <xf numFmtId="10" fontId="0" fillId="0" borderId="0" xfId="1" applyNumberFormat="1" applyFont="1" applyFill="1"/>
    <xf numFmtId="0" fontId="1" fillId="0" borderId="0" xfId="0" applyFont="1" applyAlignment="1">
      <alignment horizontal="center"/>
    </xf>
    <xf numFmtId="168" fontId="3" fillId="0" borderId="0" xfId="0" applyNumberFormat="1" applyFont="1" applyAlignment="1">
      <alignment horizontal="center"/>
    </xf>
    <xf numFmtId="164" fontId="7" fillId="0" borderId="0" xfId="0" applyNumberFormat="1" applyFont="1"/>
    <xf numFmtId="164" fontId="3" fillId="0" borderId="0" xfId="0" applyNumberFormat="1" applyFont="1"/>
    <xf numFmtId="44" fontId="7" fillId="0" borderId="0" xfId="2" applyFont="1" applyFill="1" applyBorder="1"/>
    <xf numFmtId="44" fontId="15" fillId="0" borderId="0" xfId="2" applyFont="1" applyFill="1" applyBorder="1"/>
    <xf numFmtId="168" fontId="15" fillId="0" borderId="0" xfId="0" applyNumberFormat="1" applyFont="1"/>
    <xf numFmtId="10" fontId="15" fillId="0" borderId="0" xfId="1" applyNumberFormat="1" applyFont="1" applyFill="1" applyBorder="1"/>
    <xf numFmtId="166" fontId="15" fillId="0" borderId="0" xfId="1" applyNumberFormat="1" applyFont="1" applyFill="1" applyBorder="1"/>
    <xf numFmtId="166" fontId="15" fillId="0" borderId="0" xfId="0" applyNumberFormat="1" applyFont="1"/>
    <xf numFmtId="164" fontId="15" fillId="0" borderId="0" xfId="0" applyNumberFormat="1" applyFont="1"/>
    <xf numFmtId="165" fontId="14" fillId="0" borderId="0" xfId="0" applyNumberFormat="1" applyFont="1"/>
    <xf numFmtId="166" fontId="15" fillId="3" borderId="49" xfId="1" applyNumberFormat="1" applyFont="1" applyFill="1" applyBorder="1"/>
    <xf numFmtId="0" fontId="0" fillId="0" borderId="50" xfId="0" applyBorder="1"/>
    <xf numFmtId="0" fontId="0" fillId="0" borderId="50" xfId="0" applyBorder="1" applyAlignment="1">
      <alignment horizontal="right"/>
    </xf>
    <xf numFmtId="166" fontId="0" fillId="0" borderId="50" xfId="2" applyNumberFormat="1" applyFont="1" applyBorder="1"/>
    <xf numFmtId="0" fontId="14" fillId="5" borderId="50" xfId="0" applyFont="1" applyFill="1" applyBorder="1"/>
    <xf numFmtId="0" fontId="16" fillId="0" borderId="51" xfId="0" applyFont="1" applyBorder="1"/>
    <xf numFmtId="0" fontId="0" fillId="0" borderId="51" xfId="0" applyBorder="1"/>
    <xf numFmtId="10" fontId="15" fillId="5" borderId="52" xfId="1" applyNumberFormat="1" applyFont="1" applyFill="1" applyBorder="1"/>
    <xf numFmtId="10" fontId="15" fillId="5" borderId="53" xfId="1" applyNumberFormat="1" applyFont="1" applyFill="1" applyBorder="1"/>
    <xf numFmtId="44" fontId="7" fillId="8" borderId="49" xfId="2" applyFont="1" applyFill="1" applyBorder="1"/>
    <xf numFmtId="0" fontId="16" fillId="0" borderId="28" xfId="0" applyFont="1" applyBorder="1"/>
    <xf numFmtId="0" fontId="0" fillId="0" borderId="28" xfId="0" applyBorder="1"/>
    <xf numFmtId="10" fontId="3" fillId="3" borderId="54" xfId="1" applyNumberFormat="1" applyFont="1" applyFill="1" applyBorder="1"/>
    <xf numFmtId="44" fontId="15" fillId="5" borderId="24" xfId="2" applyFont="1" applyFill="1" applyBorder="1"/>
    <xf numFmtId="44" fontId="7" fillId="5" borderId="13" xfId="2" applyFont="1" applyFill="1" applyBorder="1"/>
    <xf numFmtId="44" fontId="7" fillId="5" borderId="54" xfId="2" applyFont="1" applyFill="1" applyBorder="1"/>
    <xf numFmtId="0" fontId="21" fillId="0" borderId="32" xfId="0" applyFont="1" applyBorder="1" applyAlignment="1">
      <alignment wrapText="1"/>
    </xf>
    <xf numFmtId="170" fontId="20" fillId="0" borderId="0" xfId="0" applyNumberFormat="1" applyFont="1" applyAlignment="1">
      <alignment horizontal="left"/>
    </xf>
    <xf numFmtId="170" fontId="20" fillId="0" borderId="29" xfId="0" applyNumberFormat="1" applyFont="1" applyBorder="1" applyAlignment="1">
      <alignment horizontal="left"/>
    </xf>
    <xf numFmtId="0" fontId="20" fillId="0" borderId="48" xfId="0" applyFont="1" applyBorder="1" applyAlignment="1">
      <alignment horizontal="left"/>
    </xf>
    <xf numFmtId="0" fontId="20" fillId="0" borderId="48" xfId="0" applyFont="1" applyBorder="1" applyAlignment="1">
      <alignment horizontal="right"/>
    </xf>
    <xf numFmtId="44" fontId="14" fillId="0" borderId="48" xfId="0" applyNumberFormat="1" applyFont="1" applyBorder="1"/>
    <xf numFmtId="9" fontId="14" fillId="0" borderId="48" xfId="4" applyFont="1" applyFill="1" applyBorder="1"/>
    <xf numFmtId="44" fontId="14" fillId="0" borderId="48" xfId="4" applyNumberFormat="1" applyFont="1" applyFill="1" applyBorder="1"/>
    <xf numFmtId="0" fontId="21" fillId="0" borderId="48" xfId="0" applyFont="1" applyBorder="1"/>
    <xf numFmtId="0" fontId="19" fillId="0" borderId="48" xfId="0" applyFont="1" applyBorder="1" applyAlignment="1">
      <alignment horizontal="center"/>
    </xf>
    <xf numFmtId="0" fontId="19" fillId="0" borderId="55" xfId="0" applyFont="1" applyBorder="1" applyAlignment="1">
      <alignment horizontal="center"/>
    </xf>
    <xf numFmtId="0" fontId="19" fillId="0" borderId="56" xfId="0" applyFont="1" applyBorder="1" applyAlignment="1">
      <alignment horizontal="center"/>
    </xf>
    <xf numFmtId="8" fontId="20" fillId="0" borderId="36" xfId="0" applyNumberFormat="1" applyFont="1" applyBorder="1"/>
    <xf numFmtId="0" fontId="21" fillId="0" borderId="29" xfId="0" applyFont="1" applyBorder="1" applyAlignment="1">
      <alignment horizontal="left"/>
    </xf>
    <xf numFmtId="44" fontId="21" fillId="0" borderId="38" xfId="0" applyNumberFormat="1" applyFont="1" applyBorder="1"/>
    <xf numFmtId="44" fontId="0" fillId="0" borderId="48" xfId="2" applyFont="1" applyFill="1" applyBorder="1" applyAlignment="1">
      <alignment horizontal="left"/>
    </xf>
    <xf numFmtId="44" fontId="20" fillId="0" borderId="48" xfId="0" applyNumberFormat="1" applyFont="1" applyBorder="1"/>
    <xf numFmtId="44" fontId="21" fillId="0" borderId="29" xfId="1" applyNumberFormat="1" applyFont="1" applyFill="1" applyBorder="1"/>
    <xf numFmtId="0" fontId="20" fillId="0" borderId="35" xfId="0" applyFont="1" applyBorder="1" applyAlignment="1">
      <alignment horizontal="right"/>
    </xf>
    <xf numFmtId="0" fontId="8" fillId="0" borderId="36" xfId="0" applyFont="1" applyBorder="1"/>
    <xf numFmtId="44" fontId="20" fillId="0" borderId="37" xfId="0" applyNumberFormat="1" applyFont="1" applyBorder="1" applyAlignment="1">
      <alignment horizontal="right"/>
    </xf>
    <xf numFmtId="0" fontId="14" fillId="0" borderId="38" xfId="0" applyFont="1" applyBorder="1" applyAlignment="1">
      <alignment horizontal="center"/>
    </xf>
    <xf numFmtId="165" fontId="21" fillId="0" borderId="35" xfId="0" applyNumberFormat="1" applyFont="1" applyBorder="1" applyAlignment="1">
      <alignment horizontal="right"/>
    </xf>
    <xf numFmtId="0" fontId="19" fillId="0" borderId="36" xfId="0" applyFont="1" applyBorder="1" applyAlignment="1">
      <alignment horizontal="center"/>
    </xf>
    <xf numFmtId="0" fontId="14" fillId="0" borderId="35" xfId="0" applyFont="1" applyBorder="1" applyAlignment="1">
      <alignment horizontal="center"/>
    </xf>
    <xf numFmtId="0" fontId="14" fillId="0" borderId="36" xfId="0" applyFont="1" applyBorder="1" applyAlignment="1">
      <alignment horizontal="center"/>
    </xf>
    <xf numFmtId="0" fontId="8" fillId="0" borderId="35" xfId="0" applyFont="1" applyBorder="1"/>
    <xf numFmtId="0" fontId="8" fillId="0" borderId="32" xfId="3" applyFont="1" applyFill="1" applyBorder="1"/>
    <xf numFmtId="44" fontId="8" fillId="0" borderId="0" xfId="3" applyNumberFormat="1" applyFont="1" applyFill="1"/>
    <xf numFmtId="0" fontId="12" fillId="0" borderId="0" xfId="3" applyFont="1" applyFill="1" applyAlignment="1">
      <alignment horizontal="left"/>
    </xf>
    <xf numFmtId="49" fontId="21" fillId="0" borderId="32" xfId="0" applyNumberFormat="1" applyFont="1" applyBorder="1" applyAlignment="1">
      <alignment horizontal="left"/>
    </xf>
    <xf numFmtId="44" fontId="20" fillId="0" borderId="32" xfId="0" applyNumberFormat="1" applyFont="1" applyBorder="1" applyAlignment="1">
      <alignment horizontal="left"/>
    </xf>
    <xf numFmtId="44" fontId="20" fillId="0" borderId="32" xfId="0" applyNumberFormat="1" applyFont="1" applyBorder="1" applyAlignment="1">
      <alignment horizontal="right"/>
    </xf>
    <xf numFmtId="8" fontId="19" fillId="0" borderId="32" xfId="0" applyNumberFormat="1" applyFont="1" applyBorder="1" applyAlignment="1">
      <alignment horizontal="center"/>
    </xf>
    <xf numFmtId="165" fontId="14" fillId="0" borderId="32" xfId="2" applyNumberFormat="1" applyFont="1" applyFill="1" applyBorder="1" applyAlignment="1">
      <alignment horizontal="center"/>
    </xf>
    <xf numFmtId="0" fontId="8" fillId="0" borderId="32" xfId="3" applyFont="1" applyFill="1" applyBorder="1" applyAlignment="1">
      <alignment horizontal="left" indent="1"/>
    </xf>
    <xf numFmtId="0" fontId="12" fillId="0" borderId="0" xfId="3" applyFont="1" applyFill="1" applyAlignment="1">
      <alignment horizontal="left" indent="1"/>
    </xf>
    <xf numFmtId="0" fontId="12" fillId="0" borderId="29" xfId="3" applyFont="1" applyFill="1" applyBorder="1" applyAlignment="1">
      <alignment horizontal="left" indent="1"/>
    </xf>
    <xf numFmtId="0" fontId="8" fillId="0" borderId="0" xfId="3" applyFont="1" applyFill="1" applyAlignment="1">
      <alignment horizontal="left" indent="1"/>
    </xf>
    <xf numFmtId="0" fontId="8" fillId="0" borderId="29" xfId="3" applyFont="1" applyFill="1" applyBorder="1" applyAlignment="1">
      <alignment horizontal="left"/>
    </xf>
    <xf numFmtId="44" fontId="8" fillId="0" borderId="29" xfId="3" applyNumberFormat="1" applyFont="1" applyFill="1" applyBorder="1"/>
    <xf numFmtId="8" fontId="21" fillId="0" borderId="37" xfId="0" applyNumberFormat="1" applyFont="1" applyBorder="1" applyAlignment="1">
      <alignment horizontal="right"/>
    </xf>
    <xf numFmtId="8" fontId="21" fillId="0" borderId="38" xfId="0" applyNumberFormat="1" applyFont="1" applyBorder="1" applyAlignment="1">
      <alignment horizontal="right"/>
    </xf>
    <xf numFmtId="0" fontId="12" fillId="0" borderId="32" xfId="3" applyFont="1" applyFill="1" applyBorder="1" applyAlignment="1">
      <alignment horizontal="left" indent="1"/>
    </xf>
    <xf numFmtId="44" fontId="12" fillId="0" borderId="32" xfId="3" applyNumberFormat="1" applyFont="1" applyFill="1" applyBorder="1"/>
    <xf numFmtId="44" fontId="20" fillId="0" borderId="32" xfId="0" applyNumberFormat="1" applyFont="1" applyBorder="1"/>
    <xf numFmtId="8" fontId="20" fillId="0" borderId="33" xfId="0" applyNumberFormat="1" applyFont="1" applyBorder="1" applyAlignment="1">
      <alignment horizontal="right"/>
    </xf>
    <xf numFmtId="8" fontId="20" fillId="0" borderId="34" xfId="0" applyNumberFormat="1" applyFont="1" applyBorder="1" applyAlignment="1">
      <alignment horizontal="right"/>
    </xf>
    <xf numFmtId="0" fontId="8" fillId="0" borderId="48" xfId="3" applyFont="1" applyFill="1" applyBorder="1" applyAlignment="1">
      <alignment horizontal="left" indent="1"/>
    </xf>
    <xf numFmtId="44" fontId="8" fillId="0" borderId="48" xfId="3" applyNumberFormat="1" applyFont="1" applyFill="1" applyBorder="1"/>
    <xf numFmtId="44" fontId="21" fillId="0" borderId="48" xfId="0" applyNumberFormat="1" applyFont="1" applyBorder="1"/>
    <xf numFmtId="0" fontId="14" fillId="0" borderId="37" xfId="0" applyFont="1" applyBorder="1" applyAlignment="1">
      <alignment horizontal="center"/>
    </xf>
    <xf numFmtId="0" fontId="14" fillId="0" borderId="33" xfId="0" applyFont="1" applyBorder="1" applyAlignment="1">
      <alignment horizontal="center"/>
    </xf>
    <xf numFmtId="0" fontId="14" fillId="0" borderId="34" xfId="0" applyFont="1" applyBorder="1" applyAlignment="1">
      <alignment horizontal="center"/>
    </xf>
    <xf numFmtId="8" fontId="21" fillId="0" borderId="55" xfId="0" applyNumberFormat="1" applyFont="1" applyBorder="1" applyAlignment="1">
      <alignment horizontal="right"/>
    </xf>
    <xf numFmtId="8" fontId="21" fillId="0" borderId="56" xfId="0" applyNumberFormat="1" applyFont="1" applyBorder="1" applyAlignment="1">
      <alignment horizontal="right"/>
    </xf>
    <xf numFmtId="0" fontId="19" fillId="0" borderId="35" xfId="0" applyFont="1" applyBorder="1" applyAlignment="1">
      <alignment horizontal="center"/>
    </xf>
    <xf numFmtId="0" fontId="0" fillId="0" borderId="33" xfId="0" applyBorder="1"/>
    <xf numFmtId="0" fontId="16" fillId="0" borderId="34" xfId="0" applyFont="1" applyBorder="1"/>
    <xf numFmtId="0" fontId="22" fillId="13" borderId="10" xfId="0" applyFont="1" applyFill="1" applyBorder="1" applyAlignment="1">
      <alignment horizontal="left"/>
    </xf>
    <xf numFmtId="166" fontId="16" fillId="13" borderId="0" xfId="2" quotePrefix="1" applyNumberFormat="1" applyFont="1" applyFill="1"/>
    <xf numFmtId="44" fontId="16" fillId="13" borderId="0" xfId="0" applyNumberFormat="1" applyFont="1" applyFill="1" applyAlignment="1">
      <alignment horizontal="left"/>
    </xf>
    <xf numFmtId="0" fontId="4" fillId="0" borderId="7" xfId="0" applyFont="1" applyBorder="1" applyAlignment="1">
      <alignment horizontal="left" wrapText="1"/>
    </xf>
    <xf numFmtId="0" fontId="4" fillId="0" borderId="10" xfId="0" applyFont="1" applyBorder="1" applyAlignment="1">
      <alignment horizontal="left" wrapText="1"/>
    </xf>
    <xf numFmtId="0" fontId="4" fillId="0" borderId="4" xfId="0" applyFont="1" applyBorder="1" applyAlignment="1">
      <alignment horizontal="left" wrapText="1"/>
    </xf>
    <xf numFmtId="0" fontId="5" fillId="0" borderId="12" xfId="0" applyFont="1" applyBorder="1" applyAlignment="1">
      <alignment horizontal="left"/>
    </xf>
    <xf numFmtId="0" fontId="13" fillId="2" borderId="9" xfId="0" applyFont="1" applyFill="1" applyBorder="1" applyAlignment="1">
      <alignment horizontal="center" wrapText="1"/>
    </xf>
    <xf numFmtId="0" fontId="13" fillId="2" borderId="5" xfId="0" applyFont="1" applyFill="1" applyBorder="1" applyAlignment="1">
      <alignment horizontal="center" wrapText="1"/>
    </xf>
  </cellXfs>
  <cellStyles count="5">
    <cellStyle name="Currency" xfId="2" builtinId="4"/>
    <cellStyle name="Neutral" xfId="3" builtinId="28"/>
    <cellStyle name="Normal" xfId="0" builtinId="0"/>
    <cellStyle name="Percent" xfId="1" builtinId="5"/>
    <cellStyle name="Percent 2" xfId="4" xr:uid="{D2100DCA-9DAA-4DA9-B67A-FD807BFD2C51}"/>
  </cellStyles>
  <dxfs count="13">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205535</xdr:colOff>
      <xdr:row>5</xdr:row>
      <xdr:rowOff>166097</xdr:rowOff>
    </xdr:from>
    <xdr:ext cx="2509854" cy="1125693"/>
    <xdr:sp macro="" textlink="">
      <xdr:nvSpPr>
        <xdr:cNvPr id="2" name="TextBox 1">
          <a:extLst>
            <a:ext uri="{FF2B5EF4-FFF2-40B4-BE49-F238E27FC236}">
              <a16:creationId xmlns:a16="http://schemas.microsoft.com/office/drawing/2014/main" id="{DB7B78DF-F193-40CC-B046-194B6C68D170}"/>
            </a:ext>
          </a:extLst>
        </xdr:cNvPr>
        <xdr:cNvSpPr txBox="1"/>
      </xdr:nvSpPr>
      <xdr:spPr>
        <a:xfrm>
          <a:off x="9863885" y="1128122"/>
          <a:ext cx="2509854" cy="1125693"/>
        </a:xfrm>
        <a:prstGeom prst="rect">
          <a:avLst/>
        </a:prstGeom>
        <a:solidFill>
          <a:schemeClr val="bg1"/>
        </a:solidFill>
        <a:ln w="2857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effectLst/>
              <a:latin typeface="+mn-lt"/>
              <a:ea typeface="+mn-ea"/>
              <a:cs typeface="+mn-cs"/>
            </a:rPr>
            <a:t>KAIST GLP participant historic numbers:</a:t>
          </a:r>
          <a:endParaRPr lang="en-US">
            <a:effectLst/>
          </a:endParaRPr>
        </a:p>
        <a:p>
          <a:r>
            <a:rPr lang="en-US" sz="1100" b="1">
              <a:solidFill>
                <a:schemeClr val="tx1"/>
              </a:solidFill>
              <a:effectLst/>
              <a:latin typeface="+mn-lt"/>
              <a:ea typeface="+mn-ea"/>
              <a:cs typeface="+mn-cs"/>
            </a:rPr>
            <a:t>2018 – 16</a:t>
          </a:r>
          <a:endParaRPr lang="en-US">
            <a:effectLst/>
          </a:endParaRPr>
        </a:p>
        <a:p>
          <a:r>
            <a:rPr lang="en-US" sz="1100" b="1">
              <a:solidFill>
                <a:schemeClr val="tx1"/>
              </a:solidFill>
              <a:effectLst/>
              <a:latin typeface="+mn-lt"/>
              <a:ea typeface="+mn-ea"/>
              <a:cs typeface="+mn-cs"/>
            </a:rPr>
            <a:t>2019 – 13</a:t>
          </a:r>
          <a:endParaRPr lang="en-US">
            <a:effectLst/>
          </a:endParaRPr>
        </a:p>
        <a:p>
          <a:r>
            <a:rPr lang="en-US" sz="1100" b="1">
              <a:solidFill>
                <a:schemeClr val="tx1"/>
              </a:solidFill>
              <a:effectLst/>
              <a:latin typeface="+mn-lt"/>
              <a:ea typeface="+mn-ea"/>
              <a:cs typeface="+mn-cs"/>
            </a:rPr>
            <a:t>2020 – 8</a:t>
          </a:r>
          <a:endParaRPr lang="en-US">
            <a:effectLst/>
          </a:endParaRPr>
        </a:p>
        <a:p>
          <a:r>
            <a:rPr lang="en-US" sz="1100" b="1">
              <a:solidFill>
                <a:schemeClr val="tx1"/>
              </a:solidFill>
              <a:effectLst/>
              <a:latin typeface="+mn-lt"/>
              <a:ea typeface="+mn-ea"/>
              <a:cs typeface="+mn-cs"/>
            </a:rPr>
            <a:t>2021 – 14</a:t>
          </a:r>
          <a:endParaRPr lang="en-US">
            <a:effectLst/>
          </a:endParaRPr>
        </a:p>
        <a:p>
          <a:r>
            <a:rPr lang="en-US" sz="1100" b="1">
              <a:solidFill>
                <a:schemeClr val="tx1"/>
              </a:solidFill>
              <a:effectLst/>
              <a:latin typeface="+mn-lt"/>
              <a:ea typeface="+mn-ea"/>
              <a:cs typeface="+mn-cs"/>
            </a:rPr>
            <a:t>2022 – 16</a:t>
          </a:r>
          <a:endParaRPr lang="en-US" sz="1100" b="1"/>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291260</xdr:colOff>
      <xdr:row>4</xdr:row>
      <xdr:rowOff>70847</xdr:rowOff>
    </xdr:from>
    <xdr:ext cx="2509854" cy="1125693"/>
    <xdr:sp macro="" textlink="">
      <xdr:nvSpPr>
        <xdr:cNvPr id="2" name="TextBox 1">
          <a:extLst>
            <a:ext uri="{FF2B5EF4-FFF2-40B4-BE49-F238E27FC236}">
              <a16:creationId xmlns:a16="http://schemas.microsoft.com/office/drawing/2014/main" id="{EB0F8A78-6CE9-42C6-962E-643528A38810}"/>
            </a:ext>
          </a:extLst>
        </xdr:cNvPr>
        <xdr:cNvSpPr txBox="1"/>
      </xdr:nvSpPr>
      <xdr:spPr>
        <a:xfrm>
          <a:off x="8816135" y="842372"/>
          <a:ext cx="2509854" cy="1125693"/>
        </a:xfrm>
        <a:prstGeom prst="rect">
          <a:avLst/>
        </a:prstGeom>
        <a:solidFill>
          <a:schemeClr val="bg1"/>
        </a:solidFill>
        <a:ln w="2857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effectLst/>
              <a:latin typeface="+mn-lt"/>
              <a:ea typeface="+mn-ea"/>
              <a:cs typeface="+mn-cs"/>
            </a:rPr>
            <a:t>KAIST GLP participant historic numbers:</a:t>
          </a:r>
          <a:endParaRPr lang="en-US">
            <a:effectLst/>
          </a:endParaRPr>
        </a:p>
        <a:p>
          <a:r>
            <a:rPr lang="en-US" sz="1100" b="1">
              <a:solidFill>
                <a:schemeClr val="tx1"/>
              </a:solidFill>
              <a:effectLst/>
              <a:latin typeface="+mn-lt"/>
              <a:ea typeface="+mn-ea"/>
              <a:cs typeface="+mn-cs"/>
            </a:rPr>
            <a:t>2018 – 16</a:t>
          </a:r>
          <a:endParaRPr lang="en-US">
            <a:effectLst/>
          </a:endParaRPr>
        </a:p>
        <a:p>
          <a:r>
            <a:rPr lang="en-US" sz="1100" b="1">
              <a:solidFill>
                <a:schemeClr val="tx1"/>
              </a:solidFill>
              <a:effectLst/>
              <a:latin typeface="+mn-lt"/>
              <a:ea typeface="+mn-ea"/>
              <a:cs typeface="+mn-cs"/>
            </a:rPr>
            <a:t>2019 – 13</a:t>
          </a:r>
          <a:endParaRPr lang="en-US">
            <a:effectLst/>
          </a:endParaRPr>
        </a:p>
        <a:p>
          <a:r>
            <a:rPr lang="en-US" sz="1100" b="1">
              <a:solidFill>
                <a:schemeClr val="tx1"/>
              </a:solidFill>
              <a:effectLst/>
              <a:latin typeface="+mn-lt"/>
              <a:ea typeface="+mn-ea"/>
              <a:cs typeface="+mn-cs"/>
            </a:rPr>
            <a:t>2020 – 8</a:t>
          </a:r>
          <a:endParaRPr lang="en-US">
            <a:effectLst/>
          </a:endParaRPr>
        </a:p>
        <a:p>
          <a:r>
            <a:rPr lang="en-US" sz="1100" b="1">
              <a:solidFill>
                <a:schemeClr val="tx1"/>
              </a:solidFill>
              <a:effectLst/>
              <a:latin typeface="+mn-lt"/>
              <a:ea typeface="+mn-ea"/>
              <a:cs typeface="+mn-cs"/>
            </a:rPr>
            <a:t>2021 – 14</a:t>
          </a:r>
          <a:endParaRPr lang="en-US">
            <a:effectLst/>
          </a:endParaRPr>
        </a:p>
        <a:p>
          <a:r>
            <a:rPr lang="en-US" sz="1100" b="1">
              <a:solidFill>
                <a:schemeClr val="tx1"/>
              </a:solidFill>
              <a:effectLst/>
              <a:latin typeface="+mn-lt"/>
              <a:ea typeface="+mn-ea"/>
              <a:cs typeface="+mn-cs"/>
            </a:rPr>
            <a:t>2022 – 16</a:t>
          </a:r>
          <a:endParaRPr lang="en-US" sz="1100" b="1"/>
        </a:p>
      </xdr:txBody>
    </xdr:sp>
    <xdr:clientData/>
  </xdr:oneCellAnchor>
  <xdr:oneCellAnchor>
    <xdr:from>
      <xdr:col>1</xdr:col>
      <xdr:colOff>2990850</xdr:colOff>
      <xdr:row>16</xdr:row>
      <xdr:rowOff>38100</xdr:rowOff>
    </xdr:from>
    <xdr:ext cx="9972666" cy="1469890"/>
    <xdr:sp macro="" textlink="">
      <xdr:nvSpPr>
        <xdr:cNvPr id="3" name="TextBox 2">
          <a:extLst>
            <a:ext uri="{FF2B5EF4-FFF2-40B4-BE49-F238E27FC236}">
              <a16:creationId xmlns:a16="http://schemas.microsoft.com/office/drawing/2014/main" id="{6F4B022A-2B2A-EA62-FBE4-8C23797B8534}"/>
            </a:ext>
          </a:extLst>
        </xdr:cNvPr>
        <xdr:cNvSpPr txBox="1"/>
      </xdr:nvSpPr>
      <xdr:spPr>
        <a:xfrm>
          <a:off x="3200400" y="3133725"/>
          <a:ext cx="9972666" cy="146989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4400" b="1">
              <a:solidFill>
                <a:srgbClr val="FF0000"/>
              </a:solidFill>
            </a:rPr>
            <a:t>Add</a:t>
          </a:r>
          <a:r>
            <a:rPr lang="en-US" sz="4400" b="1" baseline="0">
              <a:solidFill>
                <a:srgbClr val="FF0000"/>
              </a:solidFill>
            </a:rPr>
            <a:t> Contra Revenue (from DCE Expenses)</a:t>
          </a:r>
        </a:p>
        <a:p>
          <a:r>
            <a:rPr lang="en-US" sz="4400" b="1" baseline="0">
              <a:solidFill>
                <a:srgbClr val="FF0000"/>
              </a:solidFill>
            </a:rPr>
            <a:t>Move DCE expesnses up near Revenue </a:t>
          </a:r>
          <a:endParaRPr lang="en-US" sz="4400" b="1">
            <a:solidFill>
              <a:srgbClr val="FF0000"/>
            </a:solidFill>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6</xdr:col>
      <xdr:colOff>291260</xdr:colOff>
      <xdr:row>4</xdr:row>
      <xdr:rowOff>70847</xdr:rowOff>
    </xdr:from>
    <xdr:ext cx="2509854" cy="1125693"/>
    <xdr:sp macro="" textlink="">
      <xdr:nvSpPr>
        <xdr:cNvPr id="2" name="TextBox 1">
          <a:extLst>
            <a:ext uri="{FF2B5EF4-FFF2-40B4-BE49-F238E27FC236}">
              <a16:creationId xmlns:a16="http://schemas.microsoft.com/office/drawing/2014/main" id="{4531DBE6-CF7B-4EF8-A805-86C162245C88}"/>
            </a:ext>
          </a:extLst>
        </xdr:cNvPr>
        <xdr:cNvSpPr txBox="1"/>
      </xdr:nvSpPr>
      <xdr:spPr>
        <a:xfrm>
          <a:off x="8816135" y="842372"/>
          <a:ext cx="2509854" cy="1125693"/>
        </a:xfrm>
        <a:prstGeom prst="rect">
          <a:avLst/>
        </a:prstGeom>
        <a:solidFill>
          <a:schemeClr val="bg1"/>
        </a:solidFill>
        <a:ln w="2857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effectLst/>
              <a:latin typeface="+mn-lt"/>
              <a:ea typeface="+mn-ea"/>
              <a:cs typeface="+mn-cs"/>
            </a:rPr>
            <a:t>KAIST GLP participant historic numbers:</a:t>
          </a:r>
          <a:endParaRPr lang="en-US">
            <a:effectLst/>
          </a:endParaRPr>
        </a:p>
        <a:p>
          <a:r>
            <a:rPr lang="en-US" sz="1100" b="1">
              <a:solidFill>
                <a:schemeClr val="tx1"/>
              </a:solidFill>
              <a:effectLst/>
              <a:latin typeface="+mn-lt"/>
              <a:ea typeface="+mn-ea"/>
              <a:cs typeface="+mn-cs"/>
            </a:rPr>
            <a:t>2018 – 16</a:t>
          </a:r>
          <a:endParaRPr lang="en-US">
            <a:effectLst/>
          </a:endParaRPr>
        </a:p>
        <a:p>
          <a:r>
            <a:rPr lang="en-US" sz="1100" b="1">
              <a:solidFill>
                <a:schemeClr val="tx1"/>
              </a:solidFill>
              <a:effectLst/>
              <a:latin typeface="+mn-lt"/>
              <a:ea typeface="+mn-ea"/>
              <a:cs typeface="+mn-cs"/>
            </a:rPr>
            <a:t>2019 – 13</a:t>
          </a:r>
          <a:endParaRPr lang="en-US">
            <a:effectLst/>
          </a:endParaRPr>
        </a:p>
        <a:p>
          <a:r>
            <a:rPr lang="en-US" sz="1100" b="1">
              <a:solidFill>
                <a:schemeClr val="tx1"/>
              </a:solidFill>
              <a:effectLst/>
              <a:latin typeface="+mn-lt"/>
              <a:ea typeface="+mn-ea"/>
              <a:cs typeface="+mn-cs"/>
            </a:rPr>
            <a:t>2020 – 8</a:t>
          </a:r>
          <a:endParaRPr lang="en-US">
            <a:effectLst/>
          </a:endParaRPr>
        </a:p>
        <a:p>
          <a:r>
            <a:rPr lang="en-US" sz="1100" b="1">
              <a:solidFill>
                <a:schemeClr val="tx1"/>
              </a:solidFill>
              <a:effectLst/>
              <a:latin typeface="+mn-lt"/>
              <a:ea typeface="+mn-ea"/>
              <a:cs typeface="+mn-cs"/>
            </a:rPr>
            <a:t>2021 – 14</a:t>
          </a:r>
          <a:endParaRPr lang="en-US">
            <a:effectLst/>
          </a:endParaRPr>
        </a:p>
        <a:p>
          <a:r>
            <a:rPr lang="en-US" sz="1100" b="1">
              <a:solidFill>
                <a:schemeClr val="tx1"/>
              </a:solidFill>
              <a:effectLst/>
              <a:latin typeface="+mn-lt"/>
              <a:ea typeface="+mn-ea"/>
              <a:cs typeface="+mn-cs"/>
            </a:rPr>
            <a:t>2022 – 16</a:t>
          </a:r>
          <a:endParaRPr lang="en-US" sz="1100" b="1"/>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6</xdr:col>
      <xdr:colOff>291260</xdr:colOff>
      <xdr:row>4</xdr:row>
      <xdr:rowOff>70847</xdr:rowOff>
    </xdr:from>
    <xdr:ext cx="2509854" cy="1125693"/>
    <xdr:sp macro="" textlink="">
      <xdr:nvSpPr>
        <xdr:cNvPr id="2" name="TextBox 1">
          <a:extLst>
            <a:ext uri="{FF2B5EF4-FFF2-40B4-BE49-F238E27FC236}">
              <a16:creationId xmlns:a16="http://schemas.microsoft.com/office/drawing/2014/main" id="{1A0B1367-CDF3-4967-97FE-2B23CBAC62AD}"/>
            </a:ext>
          </a:extLst>
        </xdr:cNvPr>
        <xdr:cNvSpPr txBox="1"/>
      </xdr:nvSpPr>
      <xdr:spPr>
        <a:xfrm>
          <a:off x="8824400" y="834421"/>
          <a:ext cx="2509854" cy="1125693"/>
        </a:xfrm>
        <a:prstGeom prst="rect">
          <a:avLst/>
        </a:prstGeom>
        <a:solidFill>
          <a:schemeClr val="bg1"/>
        </a:solidFill>
        <a:ln w="2857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effectLst/>
              <a:latin typeface="+mn-lt"/>
              <a:ea typeface="+mn-ea"/>
              <a:cs typeface="+mn-cs"/>
            </a:rPr>
            <a:t>KAIST GLP participant historic numbers:</a:t>
          </a:r>
          <a:endParaRPr lang="en-US">
            <a:effectLst/>
          </a:endParaRPr>
        </a:p>
        <a:p>
          <a:r>
            <a:rPr lang="en-US" sz="1100" b="1">
              <a:solidFill>
                <a:schemeClr val="tx1"/>
              </a:solidFill>
              <a:effectLst/>
              <a:latin typeface="+mn-lt"/>
              <a:ea typeface="+mn-ea"/>
              <a:cs typeface="+mn-cs"/>
            </a:rPr>
            <a:t>2018 – 16</a:t>
          </a:r>
          <a:endParaRPr lang="en-US">
            <a:effectLst/>
          </a:endParaRPr>
        </a:p>
        <a:p>
          <a:r>
            <a:rPr lang="en-US" sz="1100" b="1">
              <a:solidFill>
                <a:schemeClr val="tx1"/>
              </a:solidFill>
              <a:effectLst/>
              <a:latin typeface="+mn-lt"/>
              <a:ea typeface="+mn-ea"/>
              <a:cs typeface="+mn-cs"/>
            </a:rPr>
            <a:t>2019 – 13</a:t>
          </a:r>
          <a:endParaRPr lang="en-US">
            <a:effectLst/>
          </a:endParaRPr>
        </a:p>
        <a:p>
          <a:r>
            <a:rPr lang="en-US" sz="1100" b="1">
              <a:solidFill>
                <a:schemeClr val="tx1"/>
              </a:solidFill>
              <a:effectLst/>
              <a:latin typeface="+mn-lt"/>
              <a:ea typeface="+mn-ea"/>
              <a:cs typeface="+mn-cs"/>
            </a:rPr>
            <a:t>2020 – 8</a:t>
          </a:r>
          <a:endParaRPr lang="en-US">
            <a:effectLst/>
          </a:endParaRPr>
        </a:p>
        <a:p>
          <a:r>
            <a:rPr lang="en-US" sz="1100" b="1">
              <a:solidFill>
                <a:schemeClr val="tx1"/>
              </a:solidFill>
              <a:effectLst/>
              <a:latin typeface="+mn-lt"/>
              <a:ea typeface="+mn-ea"/>
              <a:cs typeface="+mn-cs"/>
            </a:rPr>
            <a:t>2021 – 14</a:t>
          </a:r>
          <a:endParaRPr lang="en-US">
            <a:effectLst/>
          </a:endParaRPr>
        </a:p>
        <a:p>
          <a:r>
            <a:rPr lang="en-US" sz="1100" b="1">
              <a:solidFill>
                <a:schemeClr val="tx1"/>
              </a:solidFill>
              <a:effectLst/>
              <a:latin typeface="+mn-lt"/>
              <a:ea typeface="+mn-ea"/>
              <a:cs typeface="+mn-cs"/>
            </a:rPr>
            <a:t>2022 – 16</a:t>
          </a:r>
          <a:endParaRPr lang="en-US" sz="1100" b="1"/>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18</xdr:col>
      <xdr:colOff>419100</xdr:colOff>
      <xdr:row>10</xdr:row>
      <xdr:rowOff>0</xdr:rowOff>
    </xdr:from>
    <xdr:to>
      <xdr:col>29</xdr:col>
      <xdr:colOff>582111</xdr:colOff>
      <xdr:row>32</xdr:row>
      <xdr:rowOff>157550</xdr:rowOff>
    </xdr:to>
    <xdr:pic>
      <xdr:nvPicPr>
        <xdr:cNvPr id="2" name="Picture 1">
          <a:extLst>
            <a:ext uri="{FF2B5EF4-FFF2-40B4-BE49-F238E27FC236}">
              <a16:creationId xmlns:a16="http://schemas.microsoft.com/office/drawing/2014/main" id="{AFDC09E6-791A-4380-A9D7-E974621444CC}"/>
            </a:ext>
          </a:extLst>
        </xdr:cNvPr>
        <xdr:cNvPicPr>
          <a:picLocks noChangeAspect="1"/>
        </xdr:cNvPicPr>
      </xdr:nvPicPr>
      <xdr:blipFill>
        <a:blip xmlns:r="http://schemas.openxmlformats.org/officeDocument/2006/relationships" r:embed="rId1"/>
        <a:stretch>
          <a:fillRect/>
        </a:stretch>
      </xdr:blipFill>
      <xdr:spPr>
        <a:xfrm>
          <a:off x="17154525" y="1990725"/>
          <a:ext cx="7783011" cy="4601243"/>
        </a:xfrm>
        <a:prstGeom prst="rect">
          <a:avLst/>
        </a:prstGeom>
        <a:ln w="38100">
          <a:solidFill>
            <a:schemeClr val="tx1"/>
          </a:solid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99955-9094-4B0E-A708-8F0F79DE8F60}">
  <sheetPr>
    <tabColor theme="4"/>
  </sheetPr>
  <dimension ref="A1:R329"/>
  <sheetViews>
    <sheetView tabSelected="1" workbookViewId="0">
      <pane ySplit="5" topLeftCell="A69" activePane="bottomLeft" state="frozen"/>
      <selection pane="bottomLeft" activeCell="G94" sqref="G94"/>
    </sheetView>
  </sheetViews>
  <sheetFormatPr defaultRowHeight="14.5" outlineLevelRow="2" x14ac:dyDescent="0.35"/>
  <cols>
    <col min="1" max="1" width="3.1796875" customWidth="1"/>
    <col min="2" max="2" width="54.1796875" customWidth="1"/>
    <col min="3" max="3" width="19.7265625" customWidth="1"/>
    <col min="4" max="4" width="16.81640625" customWidth="1"/>
    <col min="5" max="12" width="17" customWidth="1"/>
    <col min="13" max="13" width="13.7265625" bestFit="1" customWidth="1"/>
    <col min="14" max="14" width="17.81640625" bestFit="1" customWidth="1"/>
    <col min="15" max="15" width="11.453125" bestFit="1" customWidth="1"/>
    <col min="17" max="18" width="10.81640625" bestFit="1" customWidth="1"/>
    <col min="19" max="19" width="11.81640625" bestFit="1" customWidth="1"/>
  </cols>
  <sheetData>
    <row r="1" spans="1:17" x14ac:dyDescent="0.35">
      <c r="A1" s="198" t="s">
        <v>0</v>
      </c>
      <c r="B1" s="199"/>
      <c r="C1" s="199"/>
      <c r="D1" s="199"/>
      <c r="E1" s="199"/>
      <c r="F1" s="199"/>
      <c r="G1" s="199"/>
      <c r="H1" s="199"/>
      <c r="I1" s="199"/>
      <c r="J1" s="199"/>
      <c r="K1" s="199"/>
      <c r="L1" s="199"/>
    </row>
    <row r="2" spans="1:17" ht="15" thickBot="1" x14ac:dyDescent="0.4">
      <c r="A2" s="184" t="s">
        <v>1</v>
      </c>
      <c r="B2" s="184"/>
      <c r="C2" s="184"/>
      <c r="D2" s="184"/>
      <c r="E2" s="184"/>
      <c r="F2" s="184"/>
      <c r="G2" s="184"/>
      <c r="H2" s="184"/>
      <c r="I2" s="184"/>
      <c r="J2" s="184"/>
      <c r="K2" s="184"/>
      <c r="L2" s="184"/>
      <c r="M2" s="185"/>
      <c r="N2" s="185"/>
      <c r="O2" s="186"/>
      <c r="P2" s="186"/>
      <c r="Q2" s="186"/>
    </row>
    <row r="3" spans="1:17" outlineLevel="1" x14ac:dyDescent="0.35">
      <c r="B3" s="187" t="s">
        <v>2</v>
      </c>
      <c r="C3" s="188" t="s">
        <v>3</v>
      </c>
      <c r="D3" s="187" t="s">
        <v>4</v>
      </c>
      <c r="E3" s="187" t="s">
        <v>5</v>
      </c>
      <c r="F3" s="187" t="s">
        <v>6</v>
      </c>
      <c r="G3" s="187" t="s">
        <v>7</v>
      </c>
      <c r="H3" s="189" t="s">
        <v>8</v>
      </c>
      <c r="I3" s="189" t="s">
        <v>9</v>
      </c>
      <c r="J3" s="189" t="s">
        <v>10</v>
      </c>
      <c r="K3" s="189" t="s">
        <v>11</v>
      </c>
      <c r="L3" s="189" t="s">
        <v>12</v>
      </c>
      <c r="M3" s="190"/>
      <c r="N3" s="186"/>
      <c r="O3" s="186"/>
      <c r="P3" s="186"/>
    </row>
    <row r="4" spans="1:17" outlineLevel="1" x14ac:dyDescent="0.35">
      <c r="B4" s="191">
        <f>G15</f>
        <v>14</v>
      </c>
      <c r="C4" s="192">
        <f>G16</f>
        <v>14171.77</v>
      </c>
      <c r="D4" s="193">
        <f>G35</f>
        <v>268684.78000000003</v>
      </c>
      <c r="E4" s="194">
        <f>G73</f>
        <v>39588</v>
      </c>
      <c r="F4" s="194">
        <f>G87</f>
        <v>229096.78000000003</v>
      </c>
      <c r="G4" s="363">
        <f>G77</f>
        <v>107473.91200000001</v>
      </c>
      <c r="H4" s="170">
        <f>G88</f>
        <v>121622.86800000002</v>
      </c>
      <c r="I4" s="170">
        <f>G81</f>
        <v>50148.111992000006</v>
      </c>
      <c r="J4" s="170">
        <f>G82</f>
        <v>8361.7050172608015</v>
      </c>
      <c r="K4" s="170">
        <f>F4-G4-I4-J4</f>
        <v>63113.050990739212</v>
      </c>
      <c r="L4" s="195">
        <f>K4/D4</f>
        <v>0.2348962639072418</v>
      </c>
      <c r="M4" s="196"/>
      <c r="N4" s="186"/>
      <c r="O4" s="186"/>
      <c r="P4" s="197"/>
    </row>
    <row r="5" spans="1:17" x14ac:dyDescent="0.35">
      <c r="B5" s="211"/>
      <c r="C5" s="192"/>
      <c r="D5" s="201"/>
      <c r="E5" s="202"/>
      <c r="F5" s="203"/>
      <c r="G5" s="204"/>
      <c r="H5" s="204"/>
      <c r="I5" s="204"/>
      <c r="J5" s="205"/>
      <c r="K5" s="206"/>
      <c r="L5" s="206"/>
      <c r="M5" s="207"/>
      <c r="N5" s="196"/>
      <c r="O5" s="186"/>
      <c r="P5" s="208"/>
      <c r="Q5" s="186"/>
    </row>
    <row r="6" spans="1:17" ht="15" thickBot="1" x14ac:dyDescent="0.4">
      <c r="A6" s="184" t="s">
        <v>13</v>
      </c>
      <c r="B6" s="184"/>
      <c r="C6" s="184"/>
      <c r="D6" s="184"/>
      <c r="E6" s="184"/>
      <c r="F6" s="184"/>
      <c r="G6" s="184"/>
      <c r="H6" s="184"/>
      <c r="I6" s="184"/>
      <c r="J6" s="184"/>
      <c r="K6" s="184"/>
      <c r="L6" s="184"/>
      <c r="M6" s="185"/>
      <c r="N6" s="185"/>
      <c r="O6" s="186"/>
      <c r="P6" s="186"/>
      <c r="Q6" s="186"/>
    </row>
    <row r="7" spans="1:17" outlineLevel="1" x14ac:dyDescent="0.35">
      <c r="A7" s="212"/>
      <c r="B7" s="187" t="s">
        <v>14</v>
      </c>
      <c r="C7" s="486" t="s">
        <v>15</v>
      </c>
      <c r="D7" s="187" t="s">
        <v>16</v>
      </c>
      <c r="E7" s="188" t="s">
        <v>17</v>
      </c>
      <c r="F7" s="187" t="s">
        <v>18</v>
      </c>
      <c r="G7" s="187"/>
      <c r="H7" s="189"/>
      <c r="I7" s="189"/>
      <c r="J7" s="189"/>
      <c r="K7" s="189"/>
      <c r="L7" s="189"/>
      <c r="M7" s="185"/>
      <c r="N7" s="185"/>
      <c r="O7" s="186"/>
      <c r="P7" s="186"/>
      <c r="Q7" s="186"/>
    </row>
    <row r="8" spans="1:17" outlineLevel="1" x14ac:dyDescent="0.35">
      <c r="A8" s="212"/>
      <c r="B8" s="360" t="s">
        <v>19</v>
      </c>
      <c r="C8" s="487">
        <v>17289.12</v>
      </c>
      <c r="D8" s="195">
        <v>1.4E-2</v>
      </c>
      <c r="E8" s="391">
        <f>C8+(C8*D8)</f>
        <v>17531.167679999999</v>
      </c>
      <c r="F8" s="383"/>
      <c r="G8" s="383"/>
      <c r="H8" s="212"/>
      <c r="I8" s="212"/>
      <c r="J8" s="212"/>
      <c r="K8" s="212"/>
      <c r="L8" s="212"/>
      <c r="M8" s="185"/>
      <c r="N8" s="185"/>
      <c r="O8" s="186"/>
      <c r="P8" s="186"/>
      <c r="Q8" s="186"/>
    </row>
    <row r="9" spans="1:17" outlineLevel="1" x14ac:dyDescent="0.35">
      <c r="B9" s="360" t="s">
        <v>20</v>
      </c>
      <c r="C9" s="488">
        <v>14414</v>
      </c>
      <c r="D9" s="195">
        <v>0.03</v>
      </c>
      <c r="E9" s="391">
        <f>C9+(C9*D9)</f>
        <v>14846.42</v>
      </c>
      <c r="F9" s="194">
        <f>E9-C9</f>
        <v>432.42000000000007</v>
      </c>
      <c r="G9" s="363"/>
      <c r="H9" s="170"/>
      <c r="I9" s="170"/>
      <c r="J9" s="170"/>
      <c r="K9" s="170"/>
      <c r="L9" s="195"/>
      <c r="M9" s="207"/>
      <c r="N9" s="196"/>
      <c r="O9" s="186"/>
      <c r="P9" s="208"/>
      <c r="Q9" s="186"/>
    </row>
    <row r="10" spans="1:17" outlineLevel="1" x14ac:dyDescent="0.35">
      <c r="B10" s="322" t="s">
        <v>21</v>
      </c>
      <c r="C10" s="488">
        <v>13759</v>
      </c>
      <c r="D10" s="195">
        <v>0.03</v>
      </c>
      <c r="E10" s="391">
        <f>C10+(C10*D10)</f>
        <v>14171.77</v>
      </c>
      <c r="F10" s="194">
        <f t="shared" ref="F10:F11" si="0">E10-C10</f>
        <v>412.77000000000044</v>
      </c>
      <c r="G10" s="363"/>
      <c r="H10" s="170"/>
      <c r="I10" s="170"/>
      <c r="J10" s="170"/>
      <c r="K10" s="170"/>
      <c r="L10" s="195"/>
      <c r="M10" s="207"/>
      <c r="N10" s="196"/>
      <c r="O10" s="186"/>
      <c r="P10" s="208"/>
      <c r="Q10" s="186"/>
    </row>
    <row r="11" spans="1:17" outlineLevel="1" x14ac:dyDescent="0.35">
      <c r="B11" s="322" t="s">
        <v>22</v>
      </c>
      <c r="C11" s="488">
        <v>12759</v>
      </c>
      <c r="D11" s="195">
        <v>0.05</v>
      </c>
      <c r="E11" s="391">
        <f t="shared" ref="E11" si="1">C11+(C11*D11)</f>
        <v>13396.95</v>
      </c>
      <c r="F11" s="194">
        <f t="shared" si="0"/>
        <v>637.95000000000073</v>
      </c>
      <c r="G11" s="363"/>
      <c r="H11" s="170"/>
      <c r="I11" s="170"/>
      <c r="J11" s="170"/>
      <c r="K11" s="170"/>
      <c r="L11" s="195"/>
      <c r="M11" s="207"/>
      <c r="N11" s="196"/>
      <c r="O11" s="186"/>
      <c r="P11" s="208"/>
      <c r="Q11" s="186"/>
    </row>
    <row r="12" spans="1:17" s="212" customFormat="1" ht="15" thickBot="1" x14ac:dyDescent="0.4">
      <c r="B12" s="221"/>
      <c r="C12" s="222"/>
      <c r="D12" s="223"/>
      <c r="E12" s="224"/>
      <c r="F12" s="225"/>
      <c r="G12" s="225"/>
      <c r="H12" s="225"/>
      <c r="I12" s="204"/>
      <c r="J12" s="226"/>
      <c r="K12" s="196"/>
      <c r="L12" s="196"/>
      <c r="M12" s="227"/>
      <c r="N12" s="196"/>
      <c r="O12" s="228"/>
      <c r="P12" s="229"/>
      <c r="Q12" s="228"/>
    </row>
    <row r="13" spans="1:17" ht="15.5" thickTop="1" thickBot="1" x14ac:dyDescent="0.4">
      <c r="A13" s="184" t="s">
        <v>23</v>
      </c>
      <c r="B13" s="184"/>
      <c r="C13" s="184"/>
      <c r="D13" s="184"/>
      <c r="E13" s="184"/>
      <c r="F13" s="184"/>
      <c r="G13" s="184"/>
      <c r="H13" s="184"/>
      <c r="I13" s="184"/>
      <c r="J13" s="184"/>
      <c r="K13" s="232" t="s">
        <v>24</v>
      </c>
      <c r="L13" s="233"/>
      <c r="M13" s="185"/>
      <c r="N13" s="185"/>
      <c r="O13" s="186"/>
      <c r="P13" s="186"/>
      <c r="Q13" s="186"/>
    </row>
    <row r="14" spans="1:17" x14ac:dyDescent="0.35">
      <c r="A14" s="212"/>
      <c r="B14" s="189" t="s">
        <v>23</v>
      </c>
      <c r="C14" s="189"/>
      <c r="D14" s="189"/>
      <c r="E14" s="189"/>
      <c r="F14" s="189"/>
      <c r="G14" s="189"/>
      <c r="H14" s="189"/>
      <c r="I14" s="189"/>
      <c r="J14" s="189"/>
      <c r="K14" s="238" t="s">
        <v>25</v>
      </c>
      <c r="L14" s="239" t="s">
        <v>26</v>
      </c>
      <c r="M14" s="185"/>
      <c r="N14" s="185"/>
      <c r="O14" s="186"/>
      <c r="P14" s="186"/>
      <c r="Q14" s="186"/>
    </row>
    <row r="15" spans="1:17" outlineLevel="1" x14ac:dyDescent="0.35">
      <c r="A15" s="212"/>
      <c r="B15" t="s">
        <v>27</v>
      </c>
      <c r="C15" s="212"/>
      <c r="D15" s="212"/>
      <c r="E15" s="202">
        <v>8</v>
      </c>
      <c r="F15">
        <v>10</v>
      </c>
      <c r="G15">
        <v>14</v>
      </c>
      <c r="H15">
        <v>20</v>
      </c>
      <c r="I15" s="212"/>
      <c r="J15" s="212"/>
      <c r="K15" s="453"/>
      <c r="L15" s="446"/>
      <c r="M15" s="185"/>
      <c r="N15" s="185"/>
      <c r="O15" s="186"/>
      <c r="P15" s="186"/>
      <c r="Q15" s="186"/>
    </row>
    <row r="16" spans="1:17" ht="15" outlineLevel="1" thickBot="1" x14ac:dyDescent="0.4">
      <c r="B16" s="214" t="s">
        <v>28</v>
      </c>
      <c r="C16" s="215"/>
      <c r="D16" s="215"/>
      <c r="E16" s="217">
        <f>E8</f>
        <v>17531.167679999999</v>
      </c>
      <c r="F16" s="217">
        <f>E9</f>
        <v>14846.42</v>
      </c>
      <c r="G16" s="217">
        <f>E10</f>
        <v>14171.77</v>
      </c>
      <c r="H16" s="217">
        <f>E11</f>
        <v>13396.95</v>
      </c>
      <c r="I16" s="218"/>
      <c r="J16" s="219"/>
      <c r="K16" s="478"/>
      <c r="L16" s="448"/>
      <c r="M16" s="207"/>
      <c r="N16" s="196"/>
      <c r="O16" s="186"/>
      <c r="P16" s="208"/>
      <c r="Q16" s="186"/>
    </row>
    <row r="17" spans="2:17" ht="15" outlineLevel="1" thickTop="1" x14ac:dyDescent="0.35">
      <c r="B17" s="221" t="s">
        <v>29</v>
      </c>
      <c r="C17" s="192"/>
      <c r="D17" s="192"/>
      <c r="E17" s="362">
        <f>E15*E16</f>
        <v>140249.34143999999</v>
      </c>
      <c r="F17" s="362">
        <f t="shared" ref="F17:H17" si="2">F15*F16</f>
        <v>148464.20000000001</v>
      </c>
      <c r="G17" s="362">
        <f>G15*G16</f>
        <v>198404.78</v>
      </c>
      <c r="H17" s="362">
        <f t="shared" si="2"/>
        <v>267939</v>
      </c>
      <c r="I17" s="204" t="s">
        <v>30</v>
      </c>
      <c r="J17" s="205"/>
      <c r="K17" s="451"/>
      <c r="L17" s="452"/>
      <c r="M17" s="207"/>
      <c r="N17" s="196"/>
      <c r="O17" s="186"/>
      <c r="P17" s="208"/>
      <c r="Q17" s="186"/>
    </row>
    <row r="18" spans="2:17" outlineLevel="1" x14ac:dyDescent="0.35">
      <c r="B18" s="211"/>
      <c r="C18" s="192"/>
      <c r="D18" s="192"/>
      <c r="E18" s="362"/>
      <c r="F18" s="362"/>
      <c r="G18" s="362"/>
      <c r="H18" s="362"/>
      <c r="I18" s="204"/>
      <c r="J18" s="205"/>
      <c r="K18" s="451"/>
      <c r="L18" s="452"/>
      <c r="M18" s="207"/>
      <c r="N18" s="196"/>
      <c r="O18" s="186"/>
      <c r="P18" s="208"/>
      <c r="Q18" s="186"/>
    </row>
    <row r="19" spans="2:17" outlineLevel="1" x14ac:dyDescent="0.35">
      <c r="B19" s="457" t="s">
        <v>31</v>
      </c>
      <c r="C19" s="458"/>
      <c r="D19" s="458"/>
      <c r="E19" s="459"/>
      <c r="F19" s="459"/>
      <c r="G19" s="459"/>
      <c r="H19" s="459"/>
      <c r="I19" s="460"/>
      <c r="J19" s="461"/>
      <c r="K19" s="479"/>
      <c r="L19" s="480"/>
      <c r="M19" s="207"/>
      <c r="N19" s="196"/>
      <c r="O19" s="186"/>
      <c r="P19" s="208"/>
      <c r="Q19" s="186"/>
    </row>
    <row r="20" spans="2:17" outlineLevel="1" x14ac:dyDescent="0.35">
      <c r="B20" s="462" t="s">
        <v>32</v>
      </c>
      <c r="C20" s="454" t="s">
        <v>33</v>
      </c>
      <c r="D20" s="454" t="s">
        <v>34</v>
      </c>
      <c r="E20" s="454" t="str">
        <f>_xlfn.CONCAT("Total Cost for ",E$15)</f>
        <v>Total Cost for 8</v>
      </c>
      <c r="F20" s="454" t="str">
        <f>_xlfn.CONCAT("Total Cost for ",F$15)</f>
        <v>Total Cost for 10</v>
      </c>
      <c r="G20" s="454" t="str">
        <f>_xlfn.CONCAT("Total Cost for ",G$15)</f>
        <v>Total Cost for 14</v>
      </c>
      <c r="H20" s="454" t="str">
        <f>_xlfn.CONCAT("Total Cost for ",H$15)</f>
        <v>Total Cost for 20</v>
      </c>
      <c r="I20" s="257"/>
      <c r="J20" s="237"/>
      <c r="K20" s="238"/>
      <c r="L20" s="239"/>
      <c r="M20" s="13"/>
      <c r="N20" s="186"/>
      <c r="O20" s="186"/>
    </row>
    <row r="21" spans="2:17" outlineLevel="2" x14ac:dyDescent="0.35">
      <c r="B21" s="463" t="s">
        <v>35</v>
      </c>
      <c r="C21" s="394">
        <v>0</v>
      </c>
      <c r="D21" s="394">
        <v>3600</v>
      </c>
      <c r="E21" s="394">
        <f>($C21+$D21)*E$15</f>
        <v>28800</v>
      </c>
      <c r="F21" s="394">
        <f t="shared" ref="E21:H24" si="3">$C21+$D21*F$15</f>
        <v>36000</v>
      </c>
      <c r="G21" s="394">
        <f>$C21+$D21*G$15</f>
        <v>50400</v>
      </c>
      <c r="H21" s="394">
        <f t="shared" si="3"/>
        <v>72000</v>
      </c>
      <c r="I21" s="203"/>
      <c r="J21" s="240"/>
      <c r="K21" s="243"/>
      <c r="L21" s="244"/>
      <c r="M21" s="13"/>
      <c r="N21" s="186"/>
      <c r="O21" s="186"/>
    </row>
    <row r="22" spans="2:17" outlineLevel="2" x14ac:dyDescent="0.35">
      <c r="B22" s="463" t="s">
        <v>36</v>
      </c>
      <c r="C22" s="394">
        <v>0</v>
      </c>
      <c r="D22" s="394"/>
      <c r="E22" s="394">
        <f t="shared" si="3"/>
        <v>0</v>
      </c>
      <c r="F22" s="394">
        <f>$C22+$D22*F$15</f>
        <v>0</v>
      </c>
      <c r="G22" s="394">
        <f t="shared" si="3"/>
        <v>0</v>
      </c>
      <c r="H22" s="394">
        <f t="shared" si="3"/>
        <v>0</v>
      </c>
      <c r="I22" s="203"/>
      <c r="J22" s="203"/>
      <c r="K22" s="258"/>
      <c r="L22" s="259"/>
      <c r="M22" s="13"/>
      <c r="N22" s="186"/>
      <c r="O22" s="186"/>
    </row>
    <row r="23" spans="2:17" outlineLevel="2" x14ac:dyDescent="0.35">
      <c r="B23" s="463" t="s">
        <v>37</v>
      </c>
      <c r="C23" s="394">
        <v>0</v>
      </c>
      <c r="D23" s="394">
        <v>325</v>
      </c>
      <c r="E23" s="394">
        <f t="shared" si="3"/>
        <v>2600</v>
      </c>
      <c r="F23" s="394">
        <f t="shared" si="3"/>
        <v>3250</v>
      </c>
      <c r="G23" s="394">
        <f t="shared" si="3"/>
        <v>4550</v>
      </c>
      <c r="H23" s="394">
        <f t="shared" si="3"/>
        <v>6500</v>
      </c>
      <c r="I23" s="203"/>
      <c r="J23" s="240"/>
      <c r="K23" s="243"/>
      <c r="L23" s="244"/>
      <c r="M23" s="13"/>
      <c r="N23" s="186"/>
      <c r="O23" s="186"/>
    </row>
    <row r="24" spans="2:17" ht="15" outlineLevel="2" thickBot="1" x14ac:dyDescent="0.4">
      <c r="B24" s="464" t="s">
        <v>38</v>
      </c>
      <c r="C24" s="396">
        <v>0</v>
      </c>
      <c r="D24" s="396">
        <v>0</v>
      </c>
      <c r="E24" s="396">
        <f t="shared" si="3"/>
        <v>0</v>
      </c>
      <c r="F24" s="396">
        <f t="shared" si="3"/>
        <v>0</v>
      </c>
      <c r="G24" s="396">
        <f t="shared" si="3"/>
        <v>0</v>
      </c>
      <c r="H24" s="396">
        <f t="shared" si="3"/>
        <v>0</v>
      </c>
      <c r="I24" s="260"/>
      <c r="J24" s="260"/>
      <c r="K24" s="267"/>
      <c r="L24" s="268"/>
      <c r="M24" s="13"/>
      <c r="N24" s="186"/>
      <c r="O24" s="186"/>
    </row>
    <row r="25" spans="2:17" s="212" customFormat="1" ht="15" outlineLevel="1" thickTop="1" x14ac:dyDescent="0.35">
      <c r="B25" s="465" t="s">
        <v>39</v>
      </c>
      <c r="C25" s="455">
        <f t="shared" ref="C25:H25" si="4">SUM(C21:C24)</f>
        <v>0</v>
      </c>
      <c r="D25" s="455">
        <f t="shared" si="4"/>
        <v>3925</v>
      </c>
      <c r="E25" s="455">
        <f>SUM(E21:E24)</f>
        <v>31400</v>
      </c>
      <c r="F25" s="455">
        <f t="shared" si="4"/>
        <v>39250</v>
      </c>
      <c r="G25" s="455">
        <f>SUM(G21:G24)</f>
        <v>54950</v>
      </c>
      <c r="H25" s="455">
        <f t="shared" si="4"/>
        <v>78500</v>
      </c>
      <c r="I25" s="261"/>
      <c r="J25" s="261"/>
      <c r="K25" s="262"/>
      <c r="L25" s="263"/>
      <c r="M25" s="185"/>
      <c r="N25" s="228"/>
      <c r="O25" s="228"/>
    </row>
    <row r="26" spans="2:17" s="212" customFormat="1" outlineLevel="1" x14ac:dyDescent="0.35">
      <c r="B26" s="456"/>
      <c r="C26" s="394"/>
      <c r="D26" s="394"/>
      <c r="E26" s="394"/>
      <c r="F26" s="394"/>
      <c r="G26" s="394"/>
      <c r="H26" s="394"/>
      <c r="I26" s="261"/>
      <c r="J26" s="261"/>
      <c r="K26" s="262"/>
      <c r="L26" s="263"/>
      <c r="M26" s="185"/>
      <c r="N26" s="228"/>
      <c r="O26" s="228"/>
    </row>
    <row r="27" spans="2:17" outlineLevel="1" x14ac:dyDescent="0.35">
      <c r="B27" s="462" t="s">
        <v>40</v>
      </c>
      <c r="C27" s="454" t="s">
        <v>33</v>
      </c>
      <c r="D27" s="454" t="s">
        <v>34</v>
      </c>
      <c r="E27" s="454" t="str">
        <f>_xlfn.CONCAT("Total Cost for ",E$15)</f>
        <v>Total Cost for 8</v>
      </c>
      <c r="F27" s="454" t="str">
        <f>_xlfn.CONCAT("Total Cost for ",F$15)</f>
        <v>Total Cost for 10</v>
      </c>
      <c r="G27" s="454" t="str">
        <f>_xlfn.CONCAT("Total Cost for ",G$15)</f>
        <v>Total Cost for 14</v>
      </c>
      <c r="H27" s="454" t="str">
        <f>_xlfn.CONCAT("Total Cost for ",H$15)</f>
        <v>Total Cost for 20</v>
      </c>
      <c r="I27" s="257"/>
      <c r="J27" s="237"/>
      <c r="K27" s="238"/>
      <c r="L27" s="239"/>
      <c r="M27" s="13"/>
      <c r="N27" s="186"/>
      <c r="O27" s="186"/>
    </row>
    <row r="28" spans="2:17" outlineLevel="2" x14ac:dyDescent="0.35">
      <c r="B28" s="463" t="s">
        <v>41</v>
      </c>
      <c r="C28" s="394">
        <v>0</v>
      </c>
      <c r="D28" s="394"/>
      <c r="E28" s="394">
        <f t="shared" ref="E28:H32" si="5">$C28+$D28*E$15</f>
        <v>0</v>
      </c>
      <c r="F28" s="394">
        <f t="shared" si="5"/>
        <v>0</v>
      </c>
      <c r="G28" s="394">
        <f>$C28+$D28*G$15</f>
        <v>0</v>
      </c>
      <c r="H28" s="394">
        <f t="shared" si="5"/>
        <v>0</v>
      </c>
      <c r="I28" s="203"/>
      <c r="J28" s="203"/>
      <c r="K28" s="258"/>
      <c r="L28" s="259"/>
      <c r="M28" s="13"/>
      <c r="N28" s="186"/>
      <c r="O28" s="186"/>
    </row>
    <row r="29" spans="2:17" outlineLevel="2" x14ac:dyDescent="0.35">
      <c r="B29" s="463" t="s">
        <v>42</v>
      </c>
      <c r="C29" s="394">
        <v>0</v>
      </c>
      <c r="D29" s="394">
        <f>135*2</f>
        <v>270</v>
      </c>
      <c r="E29" s="394">
        <f t="shared" si="5"/>
        <v>2160</v>
      </c>
      <c r="F29" s="394">
        <f t="shared" si="5"/>
        <v>2700</v>
      </c>
      <c r="G29" s="394">
        <f>$C29+$D29*G$15</f>
        <v>3780</v>
      </c>
      <c r="H29" s="394">
        <f t="shared" si="5"/>
        <v>5400</v>
      </c>
      <c r="I29" s="203"/>
      <c r="J29" s="203"/>
      <c r="K29" s="258"/>
      <c r="L29" s="259"/>
      <c r="M29" s="13"/>
      <c r="N29" s="186"/>
      <c r="O29" s="186"/>
    </row>
    <row r="30" spans="2:17" outlineLevel="2" x14ac:dyDescent="0.35">
      <c r="B30" s="463" t="s">
        <v>43</v>
      </c>
      <c r="C30" s="394">
        <v>7000</v>
      </c>
      <c r="D30" s="394">
        <v>0</v>
      </c>
      <c r="E30" s="394">
        <f t="shared" si="5"/>
        <v>7000</v>
      </c>
      <c r="F30" s="394">
        <f t="shared" si="5"/>
        <v>7000</v>
      </c>
      <c r="G30" s="394">
        <f t="shared" si="5"/>
        <v>7000</v>
      </c>
      <c r="H30" s="394">
        <f t="shared" si="5"/>
        <v>7000</v>
      </c>
      <c r="I30" s="92"/>
      <c r="J30" s="92"/>
      <c r="K30" s="334"/>
      <c r="L30" s="335"/>
    </row>
    <row r="31" spans="2:17" outlineLevel="2" x14ac:dyDescent="0.35">
      <c r="B31" s="463" t="s">
        <v>37</v>
      </c>
      <c r="C31" s="394">
        <v>0</v>
      </c>
      <c r="D31" s="394">
        <v>325</v>
      </c>
      <c r="E31" s="394">
        <f t="shared" si="5"/>
        <v>2600</v>
      </c>
      <c r="F31" s="394">
        <f t="shared" si="5"/>
        <v>3250</v>
      </c>
      <c r="G31" s="394">
        <f t="shared" si="5"/>
        <v>4550</v>
      </c>
      <c r="H31" s="394">
        <f t="shared" si="5"/>
        <v>6500</v>
      </c>
      <c r="I31" s="203"/>
      <c r="J31" s="240"/>
      <c r="K31" s="243"/>
      <c r="L31" s="244"/>
      <c r="M31" s="13"/>
      <c r="N31" s="186"/>
      <c r="O31" s="186"/>
    </row>
    <row r="32" spans="2:17" outlineLevel="2" x14ac:dyDescent="0.35">
      <c r="B32" s="470" t="s">
        <v>38</v>
      </c>
      <c r="C32" s="471">
        <v>0</v>
      </c>
      <c r="D32" s="471">
        <v>0</v>
      </c>
      <c r="E32" s="471">
        <f t="shared" si="5"/>
        <v>0</v>
      </c>
      <c r="F32" s="471">
        <f t="shared" si="5"/>
        <v>0</v>
      </c>
      <c r="G32" s="471">
        <f t="shared" si="5"/>
        <v>0</v>
      </c>
      <c r="H32" s="471">
        <f t="shared" si="5"/>
        <v>0</v>
      </c>
      <c r="I32" s="472"/>
      <c r="J32" s="472"/>
      <c r="K32" s="473"/>
      <c r="L32" s="474"/>
      <c r="M32" s="13"/>
      <c r="N32" s="186"/>
      <c r="O32" s="186"/>
    </row>
    <row r="33" spans="1:17" s="212" customFormat="1" ht="15" outlineLevel="1" thickBot="1" x14ac:dyDescent="0.4">
      <c r="B33" s="475" t="s">
        <v>44</v>
      </c>
      <c r="C33" s="476">
        <f t="shared" ref="C33:D33" si="6">SUM(C28:C32)</f>
        <v>7000</v>
      </c>
      <c r="D33" s="476">
        <f t="shared" si="6"/>
        <v>595</v>
      </c>
      <c r="E33" s="476">
        <f>SUM(E28:E32)</f>
        <v>11760</v>
      </c>
      <c r="F33" s="476">
        <f t="shared" ref="F33:H33" si="7">SUM(F28:F32)</f>
        <v>12950</v>
      </c>
      <c r="G33" s="476">
        <f>SUM(G28:G32)</f>
        <v>15330</v>
      </c>
      <c r="H33" s="476">
        <f t="shared" si="7"/>
        <v>18900</v>
      </c>
      <c r="I33" s="477"/>
      <c r="J33" s="477"/>
      <c r="K33" s="481"/>
      <c r="L33" s="482"/>
      <c r="M33" s="185"/>
      <c r="N33" s="228"/>
      <c r="O33" s="228"/>
    </row>
    <row r="34" spans="1:17" s="212" customFormat="1" ht="15.5" outlineLevel="1" thickTop="1" thickBot="1" x14ac:dyDescent="0.4">
      <c r="A34" s="284"/>
      <c r="B34" s="466" t="s">
        <v>45</v>
      </c>
      <c r="C34" s="467"/>
      <c r="D34" s="467"/>
      <c r="E34" s="467">
        <f>E25+E33</f>
        <v>43160</v>
      </c>
      <c r="F34" s="467">
        <f t="shared" ref="F34:H34" si="8">F25+F33</f>
        <v>52200</v>
      </c>
      <c r="G34" s="467">
        <f>G25+G33</f>
        <v>70280</v>
      </c>
      <c r="H34" s="467">
        <f t="shared" si="8"/>
        <v>97400</v>
      </c>
      <c r="I34" s="269"/>
      <c r="J34" s="269"/>
      <c r="K34" s="468"/>
      <c r="L34" s="469"/>
      <c r="M34" s="185"/>
      <c r="N34" s="228"/>
      <c r="O34" s="228"/>
    </row>
    <row r="35" spans="1:17" s="212" customFormat="1" ht="15" thickTop="1" x14ac:dyDescent="0.35">
      <c r="A35" s="212" t="s">
        <v>29</v>
      </c>
      <c r="B35" s="221"/>
      <c r="C35" s="222"/>
      <c r="D35" s="222"/>
      <c r="E35" s="362">
        <f>+E17+E34</f>
        <v>183409.34143999999</v>
      </c>
      <c r="F35" s="362">
        <f t="shared" ref="F35:H35" si="9">+F17+F34</f>
        <v>200664.2</v>
      </c>
      <c r="G35" s="362">
        <f>+G17+G34</f>
        <v>268684.78000000003</v>
      </c>
      <c r="H35" s="362">
        <f t="shared" si="9"/>
        <v>365339</v>
      </c>
      <c r="I35" s="204"/>
      <c r="J35" s="226"/>
      <c r="K35" s="483"/>
      <c r="L35" s="450"/>
      <c r="M35" s="227"/>
      <c r="N35" s="196"/>
      <c r="O35" s="228"/>
      <c r="P35" s="229"/>
      <c r="Q35" s="228"/>
    </row>
    <row r="36" spans="1:17" x14ac:dyDescent="0.35">
      <c r="B36" s="211"/>
      <c r="C36" s="192"/>
      <c r="D36" s="201"/>
      <c r="E36" s="230"/>
      <c r="F36" s="203"/>
      <c r="G36" s="204"/>
      <c r="H36" s="204"/>
      <c r="I36" s="204"/>
      <c r="J36" s="205"/>
      <c r="K36" s="451"/>
      <c r="L36" s="452"/>
      <c r="M36" s="207"/>
      <c r="N36" s="196"/>
      <c r="O36" s="186"/>
      <c r="P36" s="208"/>
      <c r="Q36" s="186"/>
    </row>
    <row r="37" spans="1:17" ht="15" thickBot="1" x14ac:dyDescent="0.4">
      <c r="A37" s="184" t="s">
        <v>46</v>
      </c>
      <c r="B37" s="231"/>
      <c r="C37" s="231"/>
      <c r="D37" s="231"/>
      <c r="E37" s="231"/>
      <c r="F37" s="231"/>
      <c r="G37" s="231"/>
      <c r="H37" s="231"/>
      <c r="I37" s="231"/>
      <c r="J37" s="231"/>
      <c r="K37" s="270"/>
      <c r="L37" s="271"/>
      <c r="M37" s="228"/>
      <c r="N37" s="228"/>
      <c r="O37" s="186"/>
      <c r="P37" s="186"/>
      <c r="Q37" s="234"/>
    </row>
    <row r="38" spans="1:17" outlineLevel="1" x14ac:dyDescent="0.35">
      <c r="B38" s="235" t="s">
        <v>47</v>
      </c>
      <c r="C38" s="236" t="s">
        <v>48</v>
      </c>
      <c r="D38" s="237" t="s">
        <v>49</v>
      </c>
      <c r="E38" s="237" t="s">
        <v>50</v>
      </c>
      <c r="F38" s="237" t="s">
        <v>51</v>
      </c>
      <c r="G38" s="237" t="s">
        <v>52</v>
      </c>
      <c r="H38" s="324"/>
      <c r="I38" s="324"/>
      <c r="J38" s="325"/>
      <c r="K38" s="484"/>
      <c r="L38" s="485"/>
    </row>
    <row r="39" spans="1:17" ht="15" customHeight="1" outlineLevel="2" x14ac:dyDescent="0.35">
      <c r="B39" t="s">
        <v>53</v>
      </c>
      <c r="C39" s="186" t="s">
        <v>54</v>
      </c>
      <c r="D39" s="240">
        <f>10000</f>
        <v>10000</v>
      </c>
      <c r="E39" s="241">
        <v>0.33</v>
      </c>
      <c r="F39" s="242">
        <f>D39*E39</f>
        <v>3300</v>
      </c>
      <c r="G39" s="240">
        <f>D39+F39</f>
        <v>13300</v>
      </c>
      <c r="J39" s="129"/>
      <c r="K39" s="243"/>
      <c r="L39" s="244"/>
      <c r="P39" s="125"/>
    </row>
    <row r="40" spans="1:17" ht="15" customHeight="1" outlineLevel="2" thickBot="1" x14ac:dyDescent="0.4">
      <c r="B40" s="213" t="s">
        <v>55</v>
      </c>
      <c r="C40" s="245" t="s">
        <v>56</v>
      </c>
      <c r="D40" s="246">
        <f>10000</f>
        <v>10000</v>
      </c>
      <c r="E40" s="247">
        <v>0.33</v>
      </c>
      <c r="F40" s="248">
        <f>D40*E40</f>
        <v>3300</v>
      </c>
      <c r="G40" s="246">
        <f>D40+F40</f>
        <v>13300</v>
      </c>
      <c r="H40" s="213"/>
      <c r="I40" s="213"/>
      <c r="J40" s="333"/>
      <c r="K40" s="249"/>
      <c r="L40" s="250"/>
    </row>
    <row r="41" spans="1:17" s="212" customFormat="1" ht="15" outlineLevel="1" thickTop="1" x14ac:dyDescent="0.35">
      <c r="B41" s="223" t="s">
        <v>57</v>
      </c>
      <c r="C41" s="223"/>
      <c r="D41" s="329">
        <f>SUM(D39:D40)</f>
        <v>20000</v>
      </c>
      <c r="E41" s="328"/>
      <c r="F41" s="329">
        <f>SUM(F39:F40)</f>
        <v>6600</v>
      </c>
      <c r="G41" s="365">
        <f>SUM(G39:G40)</f>
        <v>26600</v>
      </c>
      <c r="H41" s="185"/>
      <c r="I41" s="251"/>
      <c r="J41" s="251"/>
      <c r="K41" s="252"/>
      <c r="L41" s="253"/>
      <c r="M41" s="185"/>
      <c r="N41" s="228"/>
      <c r="O41" s="228"/>
    </row>
    <row r="42" spans="1:17" s="212" customFormat="1" outlineLevel="1" x14ac:dyDescent="0.35">
      <c r="B42" s="223"/>
      <c r="C42" s="223"/>
      <c r="D42" s="228"/>
      <c r="E42" s="228"/>
      <c r="F42" s="251"/>
      <c r="G42" s="251"/>
      <c r="H42" s="185"/>
      <c r="I42" s="251"/>
      <c r="J42" s="251"/>
      <c r="K42" s="252"/>
      <c r="L42" s="253"/>
      <c r="M42" s="185"/>
      <c r="N42" s="228"/>
      <c r="O42" s="228"/>
    </row>
    <row r="43" spans="1:17" outlineLevel="1" x14ac:dyDescent="0.35">
      <c r="B43" s="235" t="s">
        <v>58</v>
      </c>
      <c r="C43" s="257" t="s">
        <v>33</v>
      </c>
      <c r="D43" s="257" t="s">
        <v>34</v>
      </c>
      <c r="E43" s="257" t="str">
        <f>_xlfn.CONCAT("Total Cost for ",E$15)</f>
        <v>Total Cost for 8</v>
      </c>
      <c r="F43" s="257" t="str">
        <f>_xlfn.CONCAT("Total Cost for ",F$15)</f>
        <v>Total Cost for 10</v>
      </c>
      <c r="G43" s="257" t="str">
        <f>_xlfn.CONCAT("Total Cost for ",G$15)</f>
        <v>Total Cost for 14</v>
      </c>
      <c r="H43" s="257" t="str">
        <f>_xlfn.CONCAT("Total Cost for ",H$15)</f>
        <v>Total Cost for 20</v>
      </c>
      <c r="I43" s="257"/>
      <c r="J43" s="237"/>
      <c r="K43" s="238"/>
      <c r="L43" s="239"/>
      <c r="M43" s="13"/>
      <c r="N43" s="186"/>
      <c r="O43" s="186"/>
    </row>
    <row r="44" spans="1:17" outlineLevel="2" x14ac:dyDescent="0.35">
      <c r="B44" t="s">
        <v>59</v>
      </c>
      <c r="C44" s="203">
        <v>0</v>
      </c>
      <c r="D44" s="203">
        <v>0</v>
      </c>
      <c r="E44" s="203">
        <f t="shared" ref="E44:H48" si="10">$C44+$D44*E$15</f>
        <v>0</v>
      </c>
      <c r="F44" s="203">
        <f t="shared" si="10"/>
        <v>0</v>
      </c>
      <c r="G44" s="203">
        <f t="shared" si="10"/>
        <v>0</v>
      </c>
      <c r="H44" s="203">
        <f t="shared" si="10"/>
        <v>0</v>
      </c>
      <c r="I44" s="203"/>
      <c r="J44" s="240"/>
      <c r="K44" s="243"/>
      <c r="L44" s="244"/>
      <c r="M44" s="13"/>
      <c r="N44" s="186"/>
      <c r="O44" s="186"/>
    </row>
    <row r="45" spans="1:17" outlineLevel="2" x14ac:dyDescent="0.35">
      <c r="B45" t="s">
        <v>60</v>
      </c>
      <c r="C45" s="203">
        <v>0</v>
      </c>
      <c r="D45" s="203">
        <v>0</v>
      </c>
      <c r="E45" s="203">
        <f t="shared" si="10"/>
        <v>0</v>
      </c>
      <c r="F45" s="203">
        <f t="shared" si="10"/>
        <v>0</v>
      </c>
      <c r="G45" s="203">
        <f t="shared" si="10"/>
        <v>0</v>
      </c>
      <c r="H45" s="203">
        <f t="shared" si="10"/>
        <v>0</v>
      </c>
      <c r="I45" s="203"/>
      <c r="J45" s="203"/>
      <c r="K45" s="258"/>
      <c r="L45" s="259"/>
      <c r="M45" s="13"/>
      <c r="N45" s="186"/>
      <c r="O45" s="186"/>
    </row>
    <row r="46" spans="1:17" outlineLevel="2" x14ac:dyDescent="0.35">
      <c r="B46" t="s">
        <v>61</v>
      </c>
      <c r="C46" s="203">
        <v>0</v>
      </c>
      <c r="D46" s="203">
        <v>0</v>
      </c>
      <c r="E46" s="203">
        <f t="shared" si="10"/>
        <v>0</v>
      </c>
      <c r="F46" s="203">
        <f t="shared" si="10"/>
        <v>0</v>
      </c>
      <c r="G46" s="203">
        <f t="shared" si="10"/>
        <v>0</v>
      </c>
      <c r="H46" s="203">
        <f t="shared" si="10"/>
        <v>0</v>
      </c>
      <c r="I46" s="203"/>
      <c r="J46" s="240"/>
      <c r="K46" s="243"/>
      <c r="L46" s="244"/>
      <c r="M46" s="13"/>
      <c r="N46" s="186"/>
      <c r="O46" s="186"/>
    </row>
    <row r="47" spans="1:17" outlineLevel="2" x14ac:dyDescent="0.35">
      <c r="B47" t="s">
        <v>62</v>
      </c>
      <c r="C47" s="203">
        <v>0</v>
      </c>
      <c r="D47" s="203">
        <v>0</v>
      </c>
      <c r="E47" s="203">
        <f t="shared" si="10"/>
        <v>0</v>
      </c>
      <c r="F47" s="203">
        <f t="shared" si="10"/>
        <v>0</v>
      </c>
      <c r="G47" s="203">
        <f t="shared" si="10"/>
        <v>0</v>
      </c>
      <c r="H47" s="203">
        <f t="shared" si="10"/>
        <v>0</v>
      </c>
      <c r="I47" s="203"/>
      <c r="J47" s="203"/>
      <c r="K47" s="258"/>
      <c r="L47" s="259"/>
      <c r="M47" s="13"/>
      <c r="N47" s="186"/>
      <c r="O47" s="186"/>
    </row>
    <row r="48" spans="1:17" ht="15" outlineLevel="2" thickBot="1" x14ac:dyDescent="0.4">
      <c r="B48" s="213" t="s">
        <v>63</v>
      </c>
      <c r="C48" s="260">
        <v>0</v>
      </c>
      <c r="D48" s="260">
        <v>0</v>
      </c>
      <c r="E48" s="260">
        <f t="shared" si="10"/>
        <v>0</v>
      </c>
      <c r="F48" s="260">
        <f t="shared" si="10"/>
        <v>0</v>
      </c>
      <c r="G48" s="260">
        <f t="shared" si="10"/>
        <v>0</v>
      </c>
      <c r="H48" s="260">
        <f t="shared" si="10"/>
        <v>0</v>
      </c>
      <c r="I48" s="260"/>
      <c r="J48" s="246"/>
      <c r="K48" s="249"/>
      <c r="L48" s="250"/>
      <c r="M48" s="240"/>
      <c r="N48" s="186"/>
      <c r="O48" s="186"/>
    </row>
    <row r="49" spans="2:15" s="212" customFormat="1" ht="15" outlineLevel="1" thickTop="1" x14ac:dyDescent="0.35">
      <c r="B49" s="223" t="s">
        <v>64</v>
      </c>
      <c r="C49" s="261">
        <f t="shared" ref="C49:H49" si="11">SUM(C44:C48)</f>
        <v>0</v>
      </c>
      <c r="D49" s="261">
        <f t="shared" si="11"/>
        <v>0</v>
      </c>
      <c r="E49" s="261">
        <f t="shared" si="11"/>
        <v>0</v>
      </c>
      <c r="F49" s="261">
        <f>SUM(F44:F48)</f>
        <v>0</v>
      </c>
      <c r="G49" s="261">
        <f t="shared" si="11"/>
        <v>0</v>
      </c>
      <c r="H49" s="261">
        <f t="shared" si="11"/>
        <v>0</v>
      </c>
      <c r="I49" s="261"/>
      <c r="J49" s="261"/>
      <c r="K49" s="262"/>
      <c r="L49" s="263"/>
      <c r="M49" s="185"/>
      <c r="N49" s="228"/>
      <c r="O49" s="228"/>
    </row>
    <row r="50" spans="2:15" s="212" customFormat="1" outlineLevel="1" x14ac:dyDescent="0.35">
      <c r="B50" s="223"/>
      <c r="C50" s="261"/>
      <c r="D50" s="261"/>
      <c r="E50" s="261"/>
      <c r="F50" s="261"/>
      <c r="G50" s="261"/>
      <c r="H50" s="261"/>
      <c r="I50" s="261"/>
      <c r="J50" s="261"/>
      <c r="K50" s="262"/>
      <c r="L50" s="263"/>
      <c r="M50" s="185"/>
      <c r="N50" s="228"/>
      <c r="O50" s="228"/>
    </row>
    <row r="51" spans="2:15" outlineLevel="1" x14ac:dyDescent="0.35">
      <c r="B51" s="336" t="s">
        <v>65</v>
      </c>
      <c r="C51" s="337" t="s">
        <v>33</v>
      </c>
      <c r="D51" s="337" t="s">
        <v>34</v>
      </c>
      <c r="E51" s="337" t="str">
        <f>_xlfn.CONCAT("Total Cost for ",E$15)</f>
        <v>Total Cost for 8</v>
      </c>
      <c r="F51" s="337" t="str">
        <f>_xlfn.CONCAT("Total Cost for ",F$15)</f>
        <v>Total Cost for 10</v>
      </c>
      <c r="G51" s="337" t="str">
        <f>_xlfn.CONCAT("Total Cost for ",G$15)</f>
        <v>Total Cost for 14</v>
      </c>
      <c r="H51" s="337" t="str">
        <f>_xlfn.CONCAT("Total Cost for ",H$15)</f>
        <v>Total Cost for 20</v>
      </c>
      <c r="I51" s="337"/>
      <c r="J51" s="338"/>
      <c r="K51" s="339"/>
      <c r="L51" s="340"/>
    </row>
    <row r="52" spans="2:15" outlineLevel="2" x14ac:dyDescent="0.35">
      <c r="B52" s="393" t="s">
        <v>66</v>
      </c>
      <c r="C52" s="394">
        <v>0</v>
      </c>
      <c r="D52" s="394">
        <v>400</v>
      </c>
      <c r="E52" s="394">
        <f t="shared" ref="E52:H53" si="12">$C52+$D52*E$15</f>
        <v>3200</v>
      </c>
      <c r="F52" s="394">
        <f t="shared" si="12"/>
        <v>4000</v>
      </c>
      <c r="G52" s="394">
        <f>$C52+$D52*G$15</f>
        <v>5600</v>
      </c>
      <c r="H52" s="394">
        <f t="shared" si="12"/>
        <v>8000</v>
      </c>
      <c r="I52" s="92"/>
      <c r="J52" s="92"/>
      <c r="K52" s="334">
        <v>3514.67</v>
      </c>
      <c r="L52" s="335"/>
    </row>
    <row r="53" spans="2:15" ht="15" outlineLevel="2" thickBot="1" x14ac:dyDescent="0.4">
      <c r="B53" s="213" t="s">
        <v>67</v>
      </c>
      <c r="C53" s="342">
        <v>0</v>
      </c>
      <c r="D53" s="342">
        <v>0</v>
      </c>
      <c r="E53" s="342">
        <f t="shared" si="12"/>
        <v>0</v>
      </c>
      <c r="F53" s="342">
        <f t="shared" si="12"/>
        <v>0</v>
      </c>
      <c r="G53" s="342">
        <f t="shared" si="12"/>
        <v>0</v>
      </c>
      <c r="H53" s="342">
        <f t="shared" si="12"/>
        <v>0</v>
      </c>
      <c r="I53" s="342"/>
      <c r="J53" s="342"/>
      <c r="K53" s="343"/>
      <c r="L53" s="344"/>
    </row>
    <row r="54" spans="2:15" ht="15" outlineLevel="1" thickTop="1" x14ac:dyDescent="0.35">
      <c r="B54" s="345" t="s">
        <v>68</v>
      </c>
      <c r="C54" s="346">
        <f t="shared" ref="C54:G54" si="13">SUM(C52:C53)</f>
        <v>0</v>
      </c>
      <c r="D54" s="346">
        <f t="shared" si="13"/>
        <v>400</v>
      </c>
      <c r="E54" s="346">
        <f t="shared" si="13"/>
        <v>3200</v>
      </c>
      <c r="F54" s="346">
        <f>SUM(F52:F53)</f>
        <v>4000</v>
      </c>
      <c r="G54" s="346">
        <f t="shared" si="13"/>
        <v>5600</v>
      </c>
      <c r="H54" s="346">
        <f>SUM(H52:H53)</f>
        <v>8000</v>
      </c>
      <c r="I54" s="346"/>
      <c r="J54" s="346"/>
      <c r="K54" s="347"/>
      <c r="L54" s="348"/>
    </row>
    <row r="55" spans="2:15" outlineLevel="1" x14ac:dyDescent="0.35">
      <c r="B55" s="264"/>
      <c r="J55" s="212"/>
      <c r="K55" s="349"/>
      <c r="L55" s="350"/>
    </row>
    <row r="56" spans="2:15" outlineLevel="1" x14ac:dyDescent="0.35">
      <c r="B56" s="336" t="s">
        <v>69</v>
      </c>
      <c r="C56" s="337" t="s">
        <v>33</v>
      </c>
      <c r="D56" s="337" t="s">
        <v>34</v>
      </c>
      <c r="E56" s="337" t="str">
        <f>_xlfn.CONCAT("Total Cost for ",E$15)</f>
        <v>Total Cost for 8</v>
      </c>
      <c r="F56" s="337" t="str">
        <f>_xlfn.CONCAT("Total Cost for ",F$15)</f>
        <v>Total Cost for 10</v>
      </c>
      <c r="G56" s="337" t="str">
        <f>_xlfn.CONCAT("Total Cost for ",G$15)</f>
        <v>Total Cost for 14</v>
      </c>
      <c r="H56" s="337" t="str">
        <f>_xlfn.CONCAT("Total Cost for ",H$15)</f>
        <v>Total Cost for 20</v>
      </c>
      <c r="I56" s="337"/>
      <c r="J56" s="338"/>
      <c r="K56" s="339"/>
      <c r="L56" s="340"/>
    </row>
    <row r="57" spans="2:15" ht="15" outlineLevel="2" thickBot="1" x14ac:dyDescent="0.4">
      <c r="B57" s="388" t="s">
        <v>70</v>
      </c>
      <c r="C57" s="389">
        <v>0</v>
      </c>
      <c r="D57" s="389">
        <v>25</v>
      </c>
      <c r="E57" s="389">
        <f>$C57+$D57*E$15</f>
        <v>200</v>
      </c>
      <c r="F57" s="389">
        <f>$C57+$D57*F$15</f>
        <v>250</v>
      </c>
      <c r="G57" s="389">
        <f>$C57+$D57*G$15</f>
        <v>350</v>
      </c>
      <c r="H57" s="389">
        <f>$C57+$D57*H$15</f>
        <v>500</v>
      </c>
      <c r="I57" s="92"/>
      <c r="J57" s="92"/>
      <c r="K57" s="334"/>
      <c r="L57" s="335"/>
    </row>
    <row r="58" spans="2:15" ht="15" outlineLevel="1" thickTop="1" x14ac:dyDescent="0.35">
      <c r="B58" s="345" t="s">
        <v>71</v>
      </c>
      <c r="C58" s="346">
        <f t="shared" ref="C58:H58" si="14">SUM(C57:C57)</f>
        <v>0</v>
      </c>
      <c r="D58" s="346">
        <f>SUM(D57:D57)</f>
        <v>25</v>
      </c>
      <c r="E58" s="346">
        <f t="shared" si="14"/>
        <v>200</v>
      </c>
      <c r="F58" s="346">
        <f>SUM(F57:F57)</f>
        <v>250</v>
      </c>
      <c r="G58" s="346">
        <f t="shared" si="14"/>
        <v>350</v>
      </c>
      <c r="H58" s="346">
        <f t="shared" si="14"/>
        <v>500</v>
      </c>
      <c r="I58" s="346"/>
      <c r="J58" s="346"/>
      <c r="K58" s="347"/>
      <c r="L58" s="348"/>
    </row>
    <row r="59" spans="2:15" outlineLevel="1" x14ac:dyDescent="0.35">
      <c r="B59" s="264"/>
      <c r="J59" s="212"/>
      <c r="K59" s="349"/>
      <c r="L59" s="350"/>
    </row>
    <row r="60" spans="2:15" outlineLevel="1" x14ac:dyDescent="0.35">
      <c r="B60" s="336" t="s">
        <v>72</v>
      </c>
      <c r="C60" s="337" t="s">
        <v>33</v>
      </c>
      <c r="D60" s="337" t="s">
        <v>34</v>
      </c>
      <c r="E60" s="337" t="str">
        <f>_xlfn.CONCAT("Total Cost for ",E$15)</f>
        <v>Total Cost for 8</v>
      </c>
      <c r="F60" s="337" t="str">
        <f>_xlfn.CONCAT("Total Cost for ",F$15)</f>
        <v>Total Cost for 10</v>
      </c>
      <c r="G60" s="337" t="str">
        <f>_xlfn.CONCAT("Total Cost for ",G$15)</f>
        <v>Total Cost for 14</v>
      </c>
      <c r="H60" s="337" t="str">
        <f>_xlfn.CONCAT("Total Cost for ",H$15)</f>
        <v>Total Cost for 20</v>
      </c>
      <c r="I60" s="337"/>
      <c r="J60" s="338"/>
      <c r="K60" s="339"/>
      <c r="L60" s="340"/>
    </row>
    <row r="61" spans="2:15" outlineLevel="2" x14ac:dyDescent="0.35">
      <c r="B61" s="264" t="s">
        <v>73</v>
      </c>
      <c r="C61" s="92">
        <v>0</v>
      </c>
      <c r="D61" s="92">
        <v>0</v>
      </c>
      <c r="E61" s="92">
        <f t="shared" ref="E61:H63" si="15">$C61+$D61*E$15</f>
        <v>0</v>
      </c>
      <c r="F61" s="92">
        <f t="shared" si="15"/>
        <v>0</v>
      </c>
      <c r="G61" s="92">
        <f t="shared" si="15"/>
        <v>0</v>
      </c>
      <c r="H61" s="92">
        <f t="shared" si="15"/>
        <v>0</v>
      </c>
      <c r="I61" s="92"/>
      <c r="J61" s="92"/>
      <c r="K61" s="334"/>
      <c r="L61" s="335"/>
    </row>
    <row r="62" spans="2:15" outlineLevel="2" x14ac:dyDescent="0.35">
      <c r="B62" s="264" t="s">
        <v>74</v>
      </c>
      <c r="C62" s="92">
        <v>0</v>
      </c>
      <c r="D62" s="92">
        <v>0</v>
      </c>
      <c r="E62" s="92">
        <f t="shared" si="15"/>
        <v>0</v>
      </c>
      <c r="F62" s="92">
        <f t="shared" si="15"/>
        <v>0</v>
      </c>
      <c r="G62" s="92">
        <f t="shared" si="15"/>
        <v>0</v>
      </c>
      <c r="H62" s="92">
        <f t="shared" si="15"/>
        <v>0</v>
      </c>
      <c r="I62" s="92"/>
      <c r="J62" s="92"/>
      <c r="K62" s="334"/>
      <c r="L62" s="335"/>
    </row>
    <row r="63" spans="2:15" ht="15" outlineLevel="2" thickBot="1" x14ac:dyDescent="0.4">
      <c r="B63" s="395" t="s">
        <v>75</v>
      </c>
      <c r="C63" s="396">
        <v>0</v>
      </c>
      <c r="D63" s="396">
        <f>216*2</f>
        <v>432</v>
      </c>
      <c r="E63" s="396">
        <f t="shared" si="15"/>
        <v>3456</v>
      </c>
      <c r="F63" s="396">
        <f t="shared" si="15"/>
        <v>4320</v>
      </c>
      <c r="G63" s="396">
        <f t="shared" si="15"/>
        <v>6048</v>
      </c>
      <c r="H63" s="396">
        <f t="shared" si="15"/>
        <v>8640</v>
      </c>
      <c r="I63" s="342"/>
      <c r="J63" s="342"/>
      <c r="K63" s="351"/>
      <c r="L63" s="352"/>
    </row>
    <row r="64" spans="2:15" ht="15" outlineLevel="1" thickTop="1" x14ac:dyDescent="0.35">
      <c r="B64" s="345" t="s">
        <v>76</v>
      </c>
      <c r="C64" s="346">
        <f t="shared" ref="C64:H64" si="16">SUM(C61:C63)</f>
        <v>0</v>
      </c>
      <c r="D64" s="346">
        <f t="shared" si="16"/>
        <v>432</v>
      </c>
      <c r="E64" s="346">
        <f t="shared" si="16"/>
        <v>3456</v>
      </c>
      <c r="F64" s="346">
        <f>SUM(F61:F63)</f>
        <v>4320</v>
      </c>
      <c r="G64" s="346">
        <f t="shared" si="16"/>
        <v>6048</v>
      </c>
      <c r="H64" s="346">
        <f t="shared" si="16"/>
        <v>8640</v>
      </c>
      <c r="I64" s="346"/>
      <c r="J64" s="346"/>
      <c r="K64" s="347"/>
      <c r="L64" s="348"/>
    </row>
    <row r="65" spans="1:17" outlineLevel="1" x14ac:dyDescent="0.35">
      <c r="B65" s="345"/>
      <c r="C65" s="346"/>
      <c r="D65" s="346"/>
      <c r="E65" s="346"/>
      <c r="F65" s="346"/>
      <c r="G65" s="346"/>
      <c r="H65" s="346"/>
      <c r="I65" s="346"/>
      <c r="J65" s="346"/>
      <c r="K65" s="347"/>
      <c r="L65" s="348"/>
    </row>
    <row r="66" spans="1:17" outlineLevel="1" x14ac:dyDescent="0.35">
      <c r="B66" s="336" t="s">
        <v>77</v>
      </c>
      <c r="C66" s="337" t="s">
        <v>33</v>
      </c>
      <c r="D66" s="337" t="s">
        <v>34</v>
      </c>
      <c r="E66" s="337" t="str">
        <f>_xlfn.CONCAT("Total Cost for ",E$15)</f>
        <v>Total Cost for 8</v>
      </c>
      <c r="F66" s="337" t="str">
        <f>_xlfn.CONCAT("Total Cost for ",F$15)</f>
        <v>Total Cost for 10</v>
      </c>
      <c r="G66" s="337" t="str">
        <f>_xlfn.CONCAT("Total Cost for ",G$15)</f>
        <v>Total Cost for 14</v>
      </c>
      <c r="H66" s="337" t="str">
        <f>_xlfn.CONCAT("Total Cost for ",H$15)</f>
        <v>Total Cost for 20</v>
      </c>
      <c r="I66" s="337"/>
      <c r="J66" s="338"/>
      <c r="K66" s="339"/>
      <c r="L66" s="340"/>
    </row>
    <row r="67" spans="1:17" outlineLevel="2" x14ac:dyDescent="0.35">
      <c r="B67" t="s">
        <v>78</v>
      </c>
      <c r="C67" s="92">
        <v>0</v>
      </c>
      <c r="D67" s="92">
        <v>15</v>
      </c>
      <c r="E67" s="92">
        <f t="shared" ref="E67:H71" si="17">$C67+$D67*E$15</f>
        <v>120</v>
      </c>
      <c r="F67" s="92">
        <f t="shared" si="17"/>
        <v>150</v>
      </c>
      <c r="G67" s="92">
        <f t="shared" si="17"/>
        <v>210</v>
      </c>
      <c r="H67" s="92">
        <f t="shared" si="17"/>
        <v>300</v>
      </c>
      <c r="I67" s="92"/>
      <c r="J67" s="92"/>
      <c r="K67" s="334"/>
      <c r="L67" s="335"/>
    </row>
    <row r="68" spans="1:17" outlineLevel="2" x14ac:dyDescent="0.35">
      <c r="B68" s="393" t="s">
        <v>79</v>
      </c>
      <c r="C68" s="394">
        <v>0</v>
      </c>
      <c r="D68" s="394">
        <v>20</v>
      </c>
      <c r="E68" s="394">
        <f t="shared" si="17"/>
        <v>160</v>
      </c>
      <c r="F68" s="394">
        <f t="shared" si="17"/>
        <v>200</v>
      </c>
      <c r="G68" s="394">
        <f t="shared" si="17"/>
        <v>280</v>
      </c>
      <c r="H68" s="394">
        <f t="shared" si="17"/>
        <v>400</v>
      </c>
      <c r="I68" s="92"/>
      <c r="J68" s="92"/>
      <c r="K68" s="334"/>
      <c r="L68" s="335"/>
    </row>
    <row r="69" spans="1:17" outlineLevel="2" x14ac:dyDescent="0.35">
      <c r="B69" t="s">
        <v>80</v>
      </c>
      <c r="C69" s="92">
        <v>0</v>
      </c>
      <c r="D69" s="92">
        <v>0</v>
      </c>
      <c r="E69" s="92">
        <f t="shared" si="17"/>
        <v>0</v>
      </c>
      <c r="F69" s="92">
        <f t="shared" si="17"/>
        <v>0</v>
      </c>
      <c r="G69" s="92">
        <f t="shared" si="17"/>
        <v>0</v>
      </c>
      <c r="H69" s="92">
        <f t="shared" si="17"/>
        <v>0</v>
      </c>
      <c r="I69" s="92"/>
      <c r="J69" s="92"/>
      <c r="K69" s="334"/>
      <c r="L69" s="335"/>
    </row>
    <row r="70" spans="1:17" outlineLevel="2" x14ac:dyDescent="0.35">
      <c r="B70" t="s">
        <v>81</v>
      </c>
      <c r="C70" s="92">
        <v>500</v>
      </c>
      <c r="D70" s="92">
        <v>0</v>
      </c>
      <c r="E70" s="92">
        <f t="shared" si="17"/>
        <v>500</v>
      </c>
      <c r="F70" s="92">
        <f t="shared" si="17"/>
        <v>500</v>
      </c>
      <c r="G70" s="92">
        <f t="shared" si="17"/>
        <v>500</v>
      </c>
      <c r="H70" s="92">
        <f t="shared" si="17"/>
        <v>500</v>
      </c>
      <c r="I70" s="92"/>
      <c r="J70" s="92"/>
      <c r="K70" s="334"/>
      <c r="L70" s="335"/>
    </row>
    <row r="71" spans="1:17" ht="15" outlineLevel="2" thickBot="1" x14ac:dyDescent="0.4">
      <c r="B71" s="213" t="s">
        <v>82</v>
      </c>
      <c r="C71" s="342">
        <v>0</v>
      </c>
      <c r="D71" s="342">
        <v>0</v>
      </c>
      <c r="E71" s="342">
        <f t="shared" si="17"/>
        <v>0</v>
      </c>
      <c r="F71" s="342">
        <f t="shared" si="17"/>
        <v>0</v>
      </c>
      <c r="G71" s="342">
        <f t="shared" si="17"/>
        <v>0</v>
      </c>
      <c r="H71" s="342">
        <f t="shared" si="17"/>
        <v>0</v>
      </c>
      <c r="I71" s="342"/>
      <c r="J71" s="342"/>
      <c r="K71" s="343"/>
      <c r="L71" s="344"/>
    </row>
    <row r="72" spans="1:17" ht="15.5" outlineLevel="1" thickTop="1" thickBot="1" x14ac:dyDescent="0.4">
      <c r="A72" s="213"/>
      <c r="B72" s="353" t="s">
        <v>83</v>
      </c>
      <c r="C72" s="354">
        <f t="shared" ref="C72:H72" si="18">SUM(C67:C71)</f>
        <v>500</v>
      </c>
      <c r="D72" s="354">
        <f t="shared" si="18"/>
        <v>35</v>
      </c>
      <c r="E72" s="354">
        <f t="shared" si="18"/>
        <v>780</v>
      </c>
      <c r="F72" s="354">
        <f t="shared" si="18"/>
        <v>850</v>
      </c>
      <c r="G72" s="354">
        <f t="shared" si="18"/>
        <v>990</v>
      </c>
      <c r="H72" s="354">
        <f t="shared" si="18"/>
        <v>1200</v>
      </c>
      <c r="I72" s="354"/>
      <c r="J72" s="354"/>
      <c r="K72" s="355"/>
      <c r="L72" s="356"/>
    </row>
    <row r="73" spans="1:17" ht="15" thickTop="1" x14ac:dyDescent="0.35">
      <c r="A73" s="212" t="s">
        <v>84</v>
      </c>
      <c r="B73" s="223"/>
      <c r="C73" s="261">
        <f>SUM(C72)</f>
        <v>500</v>
      </c>
      <c r="D73" s="261">
        <f>SUM(D72)</f>
        <v>35</v>
      </c>
      <c r="E73" s="261">
        <f>$G$41+E49+E54+E58+E64+E72</f>
        <v>34236</v>
      </c>
      <c r="F73" s="261">
        <f t="shared" ref="F73:H73" si="19">$G$41+F49+F54+F58+F64+F72</f>
        <v>36020</v>
      </c>
      <c r="G73" s="261">
        <f>$G$41+G49+G54+G58+G64+G72</f>
        <v>39588</v>
      </c>
      <c r="H73" s="261">
        <f t="shared" si="19"/>
        <v>44940</v>
      </c>
      <c r="I73" s="261"/>
      <c r="J73" s="261"/>
      <c r="K73" s="265"/>
      <c r="L73" s="266"/>
      <c r="M73" s="13"/>
      <c r="N73" s="186"/>
      <c r="O73" s="186"/>
      <c r="P73" s="186"/>
      <c r="Q73" s="186"/>
    </row>
    <row r="74" spans="1:17" x14ac:dyDescent="0.35">
      <c r="A74" s="212"/>
      <c r="B74" s="223"/>
      <c r="C74" s="261"/>
      <c r="D74" s="261"/>
      <c r="E74" s="261"/>
      <c r="F74" s="261"/>
      <c r="G74" s="261"/>
      <c r="H74" s="261"/>
      <c r="I74" s="261"/>
      <c r="J74" s="261"/>
      <c r="K74" s="265"/>
      <c r="L74" s="266"/>
      <c r="M74" s="13"/>
      <c r="N74" s="186"/>
      <c r="O74" s="186"/>
      <c r="P74" s="186"/>
      <c r="Q74" s="186"/>
    </row>
    <row r="75" spans="1:17" ht="15" thickBot="1" x14ac:dyDescent="0.4">
      <c r="A75" s="184" t="s">
        <v>85</v>
      </c>
      <c r="B75" s="231"/>
      <c r="C75" s="231"/>
      <c r="D75" s="231"/>
      <c r="E75" s="231"/>
      <c r="F75" s="231"/>
      <c r="G75" s="231"/>
      <c r="H75" s="231"/>
      <c r="I75" s="231"/>
      <c r="J75" s="231"/>
      <c r="K75" s="270"/>
      <c r="L75" s="271"/>
      <c r="M75" s="13"/>
      <c r="N75" s="186"/>
      <c r="O75" s="186"/>
    </row>
    <row r="76" spans="1:17" outlineLevel="1" x14ac:dyDescent="0.35">
      <c r="A76" s="212"/>
      <c r="B76" s="235" t="s">
        <v>86</v>
      </c>
      <c r="C76" s="257" t="s">
        <v>33</v>
      </c>
      <c r="D76" s="257" t="s">
        <v>34</v>
      </c>
      <c r="E76" s="257" t="str">
        <f>_xlfn.CONCAT("Total Cost for ",E$15)</f>
        <v>Total Cost for 8</v>
      </c>
      <c r="F76" s="257" t="str">
        <f>_xlfn.CONCAT("Total Cost for ",F$15)</f>
        <v>Total Cost for 10</v>
      </c>
      <c r="G76" s="257" t="str">
        <f>_xlfn.CONCAT("Total Cost for ",G$15)</f>
        <v>Total Cost for 14</v>
      </c>
      <c r="H76" s="257" t="str">
        <f>_xlfn.CONCAT("Total Cost for ",H$15)</f>
        <v>Total Cost for 20</v>
      </c>
      <c r="I76" s="257"/>
      <c r="J76" s="257"/>
      <c r="K76" s="272"/>
      <c r="L76" s="273"/>
      <c r="M76" s="13"/>
      <c r="N76" s="186"/>
      <c r="O76" s="186"/>
    </row>
    <row r="77" spans="1:17" ht="15" outlineLevel="2" thickBot="1" x14ac:dyDescent="0.4">
      <c r="A77" s="212"/>
      <c r="B77" s="216" t="s">
        <v>7</v>
      </c>
      <c r="C77" s="274">
        <v>0</v>
      </c>
      <c r="D77" s="392">
        <v>0.4</v>
      </c>
      <c r="E77" s="260">
        <f>$D77*E$35</f>
        <v>73363.736575999996</v>
      </c>
      <c r="F77" s="260">
        <f>$D77*F$35</f>
        <v>80265.680000000008</v>
      </c>
      <c r="G77" s="260">
        <f>$D77*G$35</f>
        <v>107473.91200000001</v>
      </c>
      <c r="H77" s="260">
        <f>$D77*H$35</f>
        <v>146135.6</v>
      </c>
      <c r="I77" s="276"/>
      <c r="J77" s="276"/>
      <c r="K77" s="277"/>
      <c r="L77" s="278"/>
      <c r="M77" s="13"/>
      <c r="N77" s="186"/>
      <c r="O77" s="186"/>
    </row>
    <row r="78" spans="1:17" ht="15" outlineLevel="1" thickTop="1" x14ac:dyDescent="0.35">
      <c r="A78" s="212"/>
      <c r="B78" s="223" t="s">
        <v>87</v>
      </c>
      <c r="C78" s="261">
        <f>SUM(C77)</f>
        <v>0</v>
      </c>
      <c r="D78" s="279">
        <f>SUM(D77)</f>
        <v>0.4</v>
      </c>
      <c r="E78" s="261">
        <f>SUM(E77)</f>
        <v>73363.736575999996</v>
      </c>
      <c r="F78" s="261">
        <f t="shared" ref="F78:H78" si="20">SUM(F77)</f>
        <v>80265.680000000008</v>
      </c>
      <c r="G78" s="261">
        <f>SUM(G77)</f>
        <v>107473.91200000001</v>
      </c>
      <c r="H78" s="261">
        <f t="shared" si="20"/>
        <v>146135.6</v>
      </c>
      <c r="I78" s="228"/>
      <c r="J78" s="228"/>
      <c r="K78" s="280"/>
      <c r="L78" s="281"/>
      <c r="M78" s="13"/>
      <c r="N78" s="186"/>
      <c r="O78" s="186"/>
    </row>
    <row r="79" spans="1:17" outlineLevel="1" x14ac:dyDescent="0.35">
      <c r="A79" s="212"/>
      <c r="B79" s="228"/>
      <c r="C79" s="228"/>
      <c r="D79" s="228"/>
      <c r="E79" s="228"/>
      <c r="F79" s="228"/>
      <c r="G79" s="228"/>
      <c r="H79" s="228"/>
      <c r="I79" s="228"/>
      <c r="J79" s="228"/>
      <c r="K79" s="280"/>
      <c r="L79" s="281"/>
      <c r="M79" s="13"/>
      <c r="N79" s="186"/>
      <c r="O79" s="186"/>
    </row>
    <row r="80" spans="1:17" outlineLevel="1" x14ac:dyDescent="0.35">
      <c r="A80" s="212"/>
      <c r="B80" s="257" t="s">
        <v>88</v>
      </c>
      <c r="C80" s="257" t="s">
        <v>33</v>
      </c>
      <c r="D80" s="257" t="s">
        <v>34</v>
      </c>
      <c r="E80" s="257" t="str">
        <f>_xlfn.CONCAT("Total Cost for ",E$15)</f>
        <v>Total Cost for 8</v>
      </c>
      <c r="F80" s="257" t="str">
        <f>_xlfn.CONCAT("Total Cost for ",F$15)</f>
        <v>Total Cost for 10</v>
      </c>
      <c r="G80" s="257" t="str">
        <f>_xlfn.CONCAT("Total Cost for ",G$15)</f>
        <v>Total Cost for 14</v>
      </c>
      <c r="H80" s="257" t="str">
        <f>_xlfn.CONCAT("Total Cost for ",H$15)</f>
        <v>Total Cost for 20</v>
      </c>
      <c r="I80" s="257"/>
      <c r="J80" s="257"/>
      <c r="K80" s="272"/>
      <c r="L80" s="273"/>
      <c r="M80" s="13"/>
      <c r="N80" s="186"/>
      <c r="O80" s="186"/>
    </row>
    <row r="81" spans="1:18" outlineLevel="2" x14ac:dyDescent="0.35">
      <c r="A81" s="212"/>
      <c r="B81" s="264" t="s">
        <v>89</v>
      </c>
      <c r="C81" s="282">
        <v>0</v>
      </c>
      <c r="D81" s="283">
        <v>0.34100000000000003</v>
      </c>
      <c r="E81" s="203">
        <f>$D81*(E73+E$77)</f>
        <v>36691.510172415998</v>
      </c>
      <c r="F81" s="203">
        <f t="shared" ref="F81:H81" si="21">$D81*(F73+F$77)</f>
        <v>39653.416880000004</v>
      </c>
      <c r="G81" s="203">
        <f>$D81*(G73+G$77)</f>
        <v>50148.111992000006</v>
      </c>
      <c r="H81" s="203">
        <f t="shared" si="21"/>
        <v>65156.779600000009</v>
      </c>
      <c r="I81" s="203"/>
      <c r="J81" s="203"/>
      <c r="K81" s="258"/>
      <c r="L81" s="259"/>
      <c r="M81" s="228"/>
      <c r="N81" s="228"/>
      <c r="O81" s="186"/>
      <c r="P81" s="186"/>
      <c r="Q81" s="234"/>
    </row>
    <row r="82" spans="1:18" ht="15" outlineLevel="2" thickBot="1" x14ac:dyDescent="0.4">
      <c r="B82" s="216" t="s">
        <v>90</v>
      </c>
      <c r="C82" s="274">
        <v>0</v>
      </c>
      <c r="D82" s="275">
        <v>4.24E-2</v>
      </c>
      <c r="E82" s="260">
        <f>$D82*(E73+E$78+E81)</f>
        <v>6117.9488621328383</v>
      </c>
      <c r="F82" s="260">
        <f t="shared" ref="F82:H82" si="22">$D82*(F73+F$78+F81)</f>
        <v>6611.8177077120008</v>
      </c>
      <c r="G82" s="260">
        <f>$D82*(G73+G$78+G81)</f>
        <v>8361.7050172608015</v>
      </c>
      <c r="H82" s="260">
        <f t="shared" si="22"/>
        <v>10864.252895040001</v>
      </c>
      <c r="I82" s="260"/>
      <c r="J82" s="246"/>
      <c r="K82" s="249"/>
      <c r="L82" s="250"/>
      <c r="M82" s="13"/>
      <c r="N82" s="186"/>
      <c r="O82" s="186"/>
      <c r="P82" s="186"/>
      <c r="Q82" s="186"/>
    </row>
    <row r="83" spans="1:18" s="212" customFormat="1" ht="15.5" outlineLevel="1" thickTop="1" thickBot="1" x14ac:dyDescent="0.4">
      <c r="A83" s="284"/>
      <c r="B83" s="276" t="s">
        <v>91</v>
      </c>
      <c r="C83" s="269">
        <f>SUM(C81:C82)</f>
        <v>0</v>
      </c>
      <c r="D83" s="285">
        <f>SUM(D81:D82)</f>
        <v>0.38340000000000002</v>
      </c>
      <c r="E83" s="286">
        <f>SUM(E81:E82)</f>
        <v>42809.45903454884</v>
      </c>
      <c r="F83" s="286">
        <f t="shared" ref="F83:G83" si="23">SUM(F81:F82)</f>
        <v>46265.234587712002</v>
      </c>
      <c r="G83" s="286">
        <f t="shared" si="23"/>
        <v>58509.817009260805</v>
      </c>
      <c r="H83" s="286">
        <f>SUM(H81:H82)</f>
        <v>76021.03249504001</v>
      </c>
      <c r="I83" s="287"/>
      <c r="J83" s="287"/>
      <c r="K83" s="288"/>
      <c r="L83" s="289"/>
      <c r="M83" s="290"/>
      <c r="N83" s="228"/>
      <c r="O83" s="228"/>
      <c r="P83" s="228"/>
      <c r="Q83" s="228"/>
    </row>
    <row r="84" spans="1:18" ht="15" thickTop="1" x14ac:dyDescent="0.35">
      <c r="A84" s="291" t="s">
        <v>92</v>
      </c>
      <c r="B84" s="292"/>
      <c r="C84" s="293">
        <f>SUM(C83)</f>
        <v>0</v>
      </c>
      <c r="D84" s="361">
        <f>SUM(D83)</f>
        <v>0.38340000000000002</v>
      </c>
      <c r="E84" s="293">
        <f>E$83+E$78</f>
        <v>116173.19561054884</v>
      </c>
      <c r="F84" s="293">
        <f>F$83+F$78</f>
        <v>126530.914587712</v>
      </c>
      <c r="G84" s="293">
        <f>G$83+G$78</f>
        <v>165983.72900926083</v>
      </c>
      <c r="H84" s="293">
        <f>H$83+H$78</f>
        <v>222156.63249504002</v>
      </c>
      <c r="I84" s="292"/>
      <c r="J84" s="292"/>
      <c r="K84" s="294"/>
      <c r="L84" s="295"/>
      <c r="M84" s="13"/>
      <c r="N84" s="186"/>
      <c r="O84" s="186"/>
    </row>
    <row r="85" spans="1:18" x14ac:dyDescent="0.35">
      <c r="B85" s="186"/>
      <c r="C85" s="296"/>
      <c r="D85" s="296"/>
      <c r="E85" s="296"/>
      <c r="F85" s="13"/>
      <c r="G85" s="13"/>
      <c r="H85" s="13"/>
      <c r="I85" s="13"/>
      <c r="J85" s="94"/>
      <c r="K85" s="297"/>
      <c r="L85" s="298"/>
      <c r="M85" s="299"/>
      <c r="N85" s="186"/>
      <c r="O85" s="186"/>
      <c r="P85" s="186"/>
      <c r="Q85" s="186"/>
    </row>
    <row r="86" spans="1:18" ht="15" thickBot="1" x14ac:dyDescent="0.4">
      <c r="A86" s="184" t="s">
        <v>93</v>
      </c>
      <c r="B86" s="231"/>
      <c r="C86" s="231"/>
      <c r="D86" s="231"/>
      <c r="E86" s="231" t="str">
        <f>_xlfn.CONCAT("Total Profit for ",E$15)</f>
        <v>Total Profit for 8</v>
      </c>
      <c r="F86" s="231" t="str">
        <f>_xlfn.CONCAT("Total Profit for ",F$15)</f>
        <v>Total Profit for 10</v>
      </c>
      <c r="G86" s="231" t="str">
        <f>_xlfn.CONCAT("Total Profit for ",G$15)</f>
        <v>Total Profit for 14</v>
      </c>
      <c r="H86" s="231" t="str">
        <f>_xlfn.CONCAT("Total Profit for ",H$15)</f>
        <v>Total Profit for 20</v>
      </c>
      <c r="I86" s="231"/>
      <c r="J86" s="231"/>
      <c r="K86" s="270"/>
      <c r="L86" s="271"/>
      <c r="M86" s="13"/>
      <c r="N86" s="186"/>
      <c r="O86" s="186"/>
    </row>
    <row r="87" spans="1:18" outlineLevel="1" x14ac:dyDescent="0.35">
      <c r="A87" s="300"/>
      <c r="B87" s="301" t="s">
        <v>94</v>
      </c>
      <c r="C87" s="302"/>
      <c r="D87" s="303"/>
      <c r="E87" s="332">
        <f>E$35-E$73</f>
        <v>149173.34143999999</v>
      </c>
      <c r="F87" s="332">
        <f>F$35-F$73</f>
        <v>164644.20000000001</v>
      </c>
      <c r="G87" s="366">
        <f>G$35-G$73</f>
        <v>229096.78000000003</v>
      </c>
      <c r="H87" s="332">
        <f>H$35-H$73</f>
        <v>320399</v>
      </c>
      <c r="I87" s="304"/>
      <c r="J87" s="304"/>
      <c r="K87" s="305"/>
      <c r="L87" s="306"/>
      <c r="M87" s="299"/>
      <c r="N87" s="186"/>
      <c r="O87" s="186"/>
      <c r="P87" s="186"/>
      <c r="Q87" s="186"/>
    </row>
    <row r="88" spans="1:18" ht="15" outlineLevel="1" thickBot="1" x14ac:dyDescent="0.4">
      <c r="A88" s="213"/>
      <c r="B88" s="245" t="s">
        <v>95</v>
      </c>
      <c r="C88" s="307"/>
      <c r="D88" s="307"/>
      <c r="E88" s="331">
        <f>E$35-E$73-E$78</f>
        <v>75809.604863999994</v>
      </c>
      <c r="F88" s="260">
        <f>F$35-F$73-F$78</f>
        <v>84378.52</v>
      </c>
      <c r="G88" s="260">
        <f>G$35-G$73-G$78</f>
        <v>121622.86800000002</v>
      </c>
      <c r="H88" s="260">
        <f>H$35-H$73-H$78</f>
        <v>174263.4</v>
      </c>
      <c r="I88" s="308"/>
      <c r="J88" s="308"/>
      <c r="K88" s="309"/>
      <c r="L88" s="310"/>
      <c r="M88" s="13"/>
      <c r="N88" s="186"/>
      <c r="O88" s="186"/>
      <c r="P88" s="186"/>
      <c r="Q88" s="186"/>
    </row>
    <row r="89" spans="1:18" s="212" customFormat="1" ht="15" thickTop="1" x14ac:dyDescent="0.35">
      <c r="A89" s="212" t="s">
        <v>11</v>
      </c>
      <c r="B89" s="228"/>
      <c r="C89" s="311"/>
      <c r="D89" s="311"/>
      <c r="E89" s="330">
        <f>E88-E83</f>
        <v>33000.145829451154</v>
      </c>
      <c r="F89" s="312">
        <f>F87-F84</f>
        <v>38113.285412288009</v>
      </c>
      <c r="G89" s="312">
        <f>G87-G84</f>
        <v>63113.050990739197</v>
      </c>
      <c r="H89" s="312">
        <f t="shared" ref="H89" si="24">H87-H84</f>
        <v>98242.367504959984</v>
      </c>
      <c r="I89" s="313"/>
      <c r="J89" s="313"/>
      <c r="K89" s="314"/>
      <c r="L89" s="315"/>
      <c r="M89" s="190"/>
      <c r="N89" s="190"/>
      <c r="O89" s="228"/>
      <c r="P89" s="228"/>
      <c r="Q89" s="228"/>
    </row>
    <row r="90" spans="1:18" s="212" customFormat="1" ht="15" thickBot="1" x14ac:dyDescent="0.4">
      <c r="A90" s="316"/>
      <c r="B90" s="228" t="s">
        <v>96</v>
      </c>
      <c r="C90" s="311"/>
      <c r="D90" s="311"/>
      <c r="E90" s="317">
        <f>E$89/E$35</f>
        <v>0.17992619988904288</v>
      </c>
      <c r="F90" s="317">
        <f>F$89/F$35</f>
        <v>0.18993565076524865</v>
      </c>
      <c r="G90" s="367">
        <f>G$89/G$35</f>
        <v>0.23489626390724175</v>
      </c>
      <c r="H90" s="317">
        <f>H$89/H$35</f>
        <v>0.26890741887660496</v>
      </c>
      <c r="I90" s="318"/>
      <c r="J90" s="185"/>
      <c r="K90" s="319"/>
      <c r="L90" s="320"/>
      <c r="M90" s="290"/>
      <c r="N90" s="228"/>
      <c r="O90" s="229"/>
      <c r="P90" s="228"/>
      <c r="Q90" s="228"/>
    </row>
    <row r="91" spans="1:18" ht="15" thickTop="1" x14ac:dyDescent="0.35">
      <c r="B91" s="296"/>
      <c r="C91" s="296"/>
      <c r="D91" s="296"/>
      <c r="E91" s="317"/>
      <c r="F91" s="359"/>
      <c r="G91" s="368"/>
      <c r="H91" s="359"/>
      <c r="I91" s="13"/>
      <c r="J91" s="13"/>
      <c r="K91" s="13"/>
      <c r="L91" s="13"/>
      <c r="M91" s="299"/>
      <c r="N91" s="186"/>
      <c r="O91" s="186"/>
      <c r="P91" s="186"/>
      <c r="Q91" s="186"/>
      <c r="R91" s="125"/>
    </row>
    <row r="92" spans="1:18" x14ac:dyDescent="0.35">
      <c r="B92" s="186"/>
      <c r="C92" s="186"/>
      <c r="D92" s="186"/>
      <c r="E92" s="186"/>
      <c r="F92" s="186"/>
      <c r="G92" s="186"/>
      <c r="H92" s="186"/>
      <c r="I92" s="186"/>
      <c r="J92" s="186"/>
      <c r="K92" s="186"/>
      <c r="L92" s="186"/>
      <c r="M92" s="234"/>
      <c r="N92" s="186"/>
      <c r="O92" s="186"/>
      <c r="P92" s="186"/>
      <c r="Q92" s="186"/>
    </row>
    <row r="93" spans="1:18" x14ac:dyDescent="0.35">
      <c r="B93" s="186"/>
      <c r="C93" s="186"/>
      <c r="D93" s="321"/>
      <c r="E93" s="186"/>
      <c r="F93" s="186"/>
      <c r="G93" s="186"/>
      <c r="H93" s="186"/>
      <c r="I93" s="186"/>
      <c r="J93" s="186"/>
      <c r="K93" s="186"/>
      <c r="L93" s="186"/>
      <c r="M93" s="234"/>
      <c r="N93" s="186"/>
      <c r="O93" s="186"/>
      <c r="P93" s="186"/>
      <c r="Q93" s="186"/>
    </row>
    <row r="94" spans="1:18" x14ac:dyDescent="0.35">
      <c r="B94" s="186"/>
      <c r="C94" s="186"/>
      <c r="D94" s="186"/>
      <c r="E94" s="186"/>
      <c r="F94" s="186"/>
      <c r="G94" s="186"/>
      <c r="H94" s="186"/>
      <c r="I94" s="186"/>
      <c r="J94" s="186"/>
      <c r="K94" s="186"/>
      <c r="L94" s="186"/>
      <c r="M94" s="234"/>
      <c r="N94" s="186"/>
      <c r="O94" s="186"/>
      <c r="P94" s="186"/>
      <c r="Q94" s="186"/>
    </row>
    <row r="95" spans="1:18" x14ac:dyDescent="0.35">
      <c r="B95" s="186"/>
      <c r="C95" s="186"/>
      <c r="D95" s="234"/>
      <c r="E95" s="186"/>
      <c r="F95" s="186"/>
      <c r="G95" s="186"/>
      <c r="H95" s="186"/>
      <c r="I95" s="186"/>
      <c r="J95" s="186"/>
      <c r="K95" s="234"/>
      <c r="L95" s="234"/>
      <c r="M95" s="234"/>
      <c r="N95" s="186"/>
      <c r="O95" s="186"/>
      <c r="P95" s="186"/>
      <c r="Q95" s="186"/>
    </row>
    <row r="96" spans="1:18" x14ac:dyDescent="0.35">
      <c r="B96" s="186"/>
      <c r="C96" s="186"/>
      <c r="D96" s="234"/>
      <c r="E96" s="186"/>
      <c r="F96" s="186"/>
      <c r="G96" s="186"/>
      <c r="H96" s="186"/>
      <c r="I96" s="186"/>
      <c r="J96" s="186"/>
      <c r="K96" s="234"/>
      <c r="L96" s="234"/>
      <c r="M96" s="234"/>
      <c r="N96" s="186"/>
      <c r="O96" s="186"/>
      <c r="P96" s="186"/>
      <c r="Q96" s="186"/>
    </row>
    <row r="97" spans="2:17" x14ac:dyDescent="0.35">
      <c r="B97" s="186"/>
      <c r="C97" s="186"/>
      <c r="D97" s="234"/>
      <c r="E97" s="186"/>
      <c r="F97" s="186"/>
      <c r="G97" s="186"/>
      <c r="H97" s="186"/>
      <c r="I97" s="186"/>
      <c r="J97" s="186"/>
      <c r="K97" s="234"/>
      <c r="L97" s="234"/>
      <c r="M97" s="186"/>
      <c r="N97" s="186"/>
      <c r="O97" s="186"/>
      <c r="P97" s="186"/>
      <c r="Q97" s="186"/>
    </row>
    <row r="98" spans="2:17" x14ac:dyDescent="0.35">
      <c r="B98" s="186"/>
      <c r="C98" s="186"/>
      <c r="D98" s="186"/>
      <c r="E98" s="186"/>
      <c r="F98" s="186"/>
      <c r="G98" s="186"/>
      <c r="H98" s="186"/>
      <c r="I98" s="186"/>
      <c r="J98" s="186"/>
      <c r="K98" s="234"/>
      <c r="L98" s="234"/>
      <c r="M98" s="186"/>
      <c r="N98" s="186"/>
      <c r="O98" s="186"/>
      <c r="P98" s="186"/>
      <c r="Q98" s="186"/>
    </row>
    <row r="99" spans="2:17" x14ac:dyDescent="0.35">
      <c r="B99" s="186"/>
      <c r="C99" s="186"/>
      <c r="D99" s="186"/>
      <c r="E99" s="186"/>
      <c r="F99" s="186"/>
      <c r="G99" s="186"/>
      <c r="H99" s="186"/>
      <c r="I99" s="186"/>
      <c r="J99" s="186"/>
      <c r="K99" s="234"/>
      <c r="L99" s="234"/>
      <c r="M99" s="186"/>
      <c r="N99" s="186"/>
      <c r="O99" s="186"/>
      <c r="P99" s="186"/>
      <c r="Q99" s="186"/>
    </row>
    <row r="100" spans="2:17" x14ac:dyDescent="0.35">
      <c r="B100" s="186"/>
      <c r="C100" s="186"/>
      <c r="D100" s="186"/>
      <c r="E100" s="186"/>
      <c r="F100" s="186"/>
      <c r="G100" s="186"/>
      <c r="H100" s="186"/>
      <c r="I100" s="186"/>
      <c r="J100" s="186"/>
      <c r="K100" s="234"/>
      <c r="L100" s="234"/>
      <c r="M100" s="186"/>
      <c r="N100" s="186"/>
      <c r="O100" s="186"/>
      <c r="P100" s="186"/>
      <c r="Q100" s="186"/>
    </row>
    <row r="101" spans="2:17" x14ac:dyDescent="0.35">
      <c r="B101" s="186"/>
      <c r="C101" s="186"/>
      <c r="D101" s="186"/>
      <c r="E101" s="186"/>
      <c r="F101" s="186"/>
      <c r="G101" s="186"/>
      <c r="H101" s="186"/>
      <c r="I101" s="186"/>
      <c r="J101" s="186"/>
      <c r="K101" s="234"/>
      <c r="L101" s="234"/>
      <c r="M101" s="186"/>
      <c r="N101" s="186"/>
      <c r="O101" s="186"/>
      <c r="P101" s="186"/>
      <c r="Q101" s="186"/>
    </row>
    <row r="102" spans="2:17" x14ac:dyDescent="0.35">
      <c r="B102" s="186"/>
      <c r="C102" s="186"/>
      <c r="D102" s="186"/>
      <c r="E102" s="186"/>
      <c r="F102" s="186"/>
      <c r="G102" s="186"/>
      <c r="H102" s="186"/>
      <c r="I102" s="186"/>
      <c r="J102" s="186"/>
      <c r="K102" s="186"/>
      <c r="L102" s="186"/>
      <c r="M102" s="186"/>
      <c r="N102" s="186"/>
      <c r="O102" s="186"/>
      <c r="P102" s="186"/>
      <c r="Q102" s="186"/>
    </row>
    <row r="103" spans="2:17" x14ac:dyDescent="0.35">
      <c r="B103" s="186"/>
      <c r="C103" s="186"/>
      <c r="D103" s="186"/>
      <c r="E103" s="186"/>
      <c r="F103" s="186"/>
      <c r="G103" s="186"/>
      <c r="H103" s="186"/>
      <c r="I103" s="186"/>
      <c r="J103" s="186"/>
      <c r="K103" s="186"/>
      <c r="L103" s="186"/>
      <c r="M103" s="186"/>
      <c r="N103" s="186"/>
      <c r="O103" s="186"/>
      <c r="P103" s="186"/>
      <c r="Q103" s="186"/>
    </row>
    <row r="104" spans="2:17" x14ac:dyDescent="0.35">
      <c r="B104" s="186"/>
      <c r="C104" s="186"/>
      <c r="D104" s="186"/>
      <c r="E104" s="186"/>
      <c r="F104" s="186"/>
      <c r="G104" s="186"/>
      <c r="H104" s="186"/>
      <c r="I104" s="186"/>
      <c r="J104" s="186"/>
      <c r="K104" s="186"/>
      <c r="L104" s="186"/>
      <c r="M104" s="186"/>
      <c r="N104" s="186"/>
      <c r="O104" s="186"/>
      <c r="P104" s="186"/>
      <c r="Q104" s="186"/>
    </row>
    <row r="105" spans="2:17" x14ac:dyDescent="0.35">
      <c r="B105" s="186"/>
      <c r="C105" s="186"/>
      <c r="D105" s="186"/>
      <c r="E105" s="186"/>
      <c r="F105" s="186"/>
      <c r="G105" s="186"/>
      <c r="H105" s="186"/>
      <c r="I105" s="186"/>
      <c r="J105" s="186"/>
      <c r="K105" s="186"/>
      <c r="L105" s="186"/>
      <c r="M105" s="186"/>
      <c r="N105" s="186"/>
      <c r="O105" s="186"/>
      <c r="P105" s="186"/>
      <c r="Q105" s="186"/>
    </row>
    <row r="106" spans="2:17" x14ac:dyDescent="0.35">
      <c r="B106" s="186"/>
      <c r="C106" s="186"/>
      <c r="D106" s="186"/>
      <c r="E106" s="186"/>
      <c r="F106" s="186"/>
      <c r="G106" s="186"/>
      <c r="H106" s="186"/>
      <c r="I106" s="186"/>
      <c r="J106" s="186"/>
      <c r="K106" s="186"/>
      <c r="L106" s="186"/>
      <c r="M106" s="186"/>
      <c r="N106" s="186"/>
      <c r="O106" s="186"/>
      <c r="P106" s="186"/>
      <c r="Q106" s="186"/>
    </row>
    <row r="107" spans="2:17" x14ac:dyDescent="0.35">
      <c r="B107" s="186"/>
      <c r="C107" s="186"/>
      <c r="D107" s="186"/>
      <c r="E107" s="186"/>
      <c r="F107" s="186"/>
      <c r="G107" s="186"/>
      <c r="H107" s="186"/>
      <c r="I107" s="186"/>
      <c r="J107" s="186"/>
      <c r="K107" s="186"/>
      <c r="L107" s="186"/>
      <c r="M107" s="186"/>
      <c r="N107" s="186"/>
      <c r="O107" s="186"/>
      <c r="P107" s="186"/>
      <c r="Q107" s="186"/>
    </row>
    <row r="108" spans="2:17" x14ac:dyDescent="0.35">
      <c r="B108" s="186"/>
      <c r="C108" s="186"/>
      <c r="D108" s="186"/>
      <c r="E108" s="186"/>
      <c r="F108" s="186"/>
      <c r="G108" s="186"/>
      <c r="H108" s="186"/>
      <c r="I108" s="186"/>
      <c r="J108" s="186"/>
      <c r="K108" s="186"/>
      <c r="L108" s="186"/>
      <c r="M108" s="186"/>
      <c r="N108" s="186"/>
      <c r="O108" s="186"/>
      <c r="P108" s="186"/>
      <c r="Q108" s="186"/>
    </row>
    <row r="109" spans="2:17" x14ac:dyDescent="0.35">
      <c r="B109" s="186"/>
      <c r="C109" s="186"/>
      <c r="D109" s="186"/>
      <c r="E109" s="186"/>
      <c r="F109" s="186"/>
      <c r="G109" s="186"/>
      <c r="H109" s="186"/>
      <c r="I109" s="186"/>
      <c r="J109" s="186"/>
      <c r="K109" s="186"/>
      <c r="L109" s="186"/>
      <c r="M109" s="186"/>
      <c r="N109" s="186"/>
      <c r="O109" s="186"/>
      <c r="P109" s="186"/>
      <c r="Q109" s="186"/>
    </row>
    <row r="110" spans="2:17" x14ac:dyDescent="0.35">
      <c r="B110" s="186"/>
      <c r="C110" s="186"/>
      <c r="D110" s="186"/>
      <c r="E110" s="186"/>
      <c r="F110" s="186"/>
      <c r="G110" s="186"/>
      <c r="H110" s="186"/>
      <c r="I110" s="186"/>
      <c r="J110" s="186"/>
      <c r="K110" s="186"/>
      <c r="L110" s="186"/>
      <c r="M110" s="186"/>
      <c r="N110" s="186"/>
      <c r="O110" s="186"/>
      <c r="P110" s="186"/>
      <c r="Q110" s="186"/>
    </row>
    <row r="111" spans="2:17" x14ac:dyDescent="0.35">
      <c r="B111" s="186"/>
      <c r="C111" s="186"/>
      <c r="D111" s="186"/>
      <c r="E111" s="186"/>
      <c r="F111" s="186"/>
      <c r="G111" s="186"/>
      <c r="H111" s="186"/>
      <c r="I111" s="186"/>
      <c r="J111" s="186"/>
      <c r="K111" s="186"/>
      <c r="L111" s="186"/>
      <c r="M111" s="186"/>
      <c r="N111" s="186"/>
      <c r="O111" s="186"/>
      <c r="P111" s="186"/>
      <c r="Q111" s="186"/>
    </row>
    <row r="112" spans="2:17" x14ac:dyDescent="0.35">
      <c r="B112" s="186"/>
      <c r="C112" s="186"/>
      <c r="D112" s="186"/>
      <c r="E112" s="186"/>
      <c r="F112" s="186"/>
      <c r="G112" s="186"/>
      <c r="H112" s="186"/>
      <c r="I112" s="186"/>
      <c r="J112" s="186"/>
      <c r="K112" s="186"/>
      <c r="L112" s="186"/>
      <c r="M112" s="186"/>
      <c r="N112" s="186"/>
      <c r="O112" s="186"/>
      <c r="P112" s="186"/>
      <c r="Q112" s="186"/>
    </row>
    <row r="113" spans="2:17" x14ac:dyDescent="0.35">
      <c r="B113" s="186"/>
      <c r="C113" s="186"/>
      <c r="D113" s="186"/>
      <c r="E113" s="186"/>
      <c r="F113" s="186"/>
      <c r="G113" s="186"/>
      <c r="H113" s="186"/>
      <c r="I113" s="186"/>
      <c r="J113" s="186"/>
      <c r="K113" s="186"/>
      <c r="L113" s="186"/>
      <c r="M113" s="186"/>
      <c r="N113" s="186"/>
      <c r="O113" s="186"/>
      <c r="P113" s="186"/>
      <c r="Q113" s="186"/>
    </row>
    <row r="114" spans="2:17" x14ac:dyDescent="0.35">
      <c r="B114" s="186"/>
      <c r="C114" s="186"/>
      <c r="D114" s="186"/>
      <c r="E114" s="186"/>
      <c r="F114" s="186"/>
      <c r="G114" s="186"/>
      <c r="H114" s="186"/>
      <c r="I114" s="186"/>
      <c r="J114" s="186"/>
      <c r="K114" s="186"/>
      <c r="L114" s="186"/>
      <c r="M114" s="186"/>
      <c r="N114" s="186"/>
      <c r="O114" s="186"/>
      <c r="P114" s="186"/>
      <c r="Q114" s="186"/>
    </row>
    <row r="115" spans="2:17" x14ac:dyDescent="0.35">
      <c r="B115" s="186"/>
      <c r="C115" s="186"/>
      <c r="D115" s="186"/>
      <c r="E115" s="186"/>
      <c r="F115" s="186"/>
      <c r="G115" s="186"/>
      <c r="H115" s="186"/>
      <c r="I115" s="186"/>
      <c r="J115" s="186"/>
      <c r="K115" s="186"/>
      <c r="L115" s="186"/>
      <c r="M115" s="186"/>
      <c r="N115" s="186"/>
      <c r="O115" s="186"/>
      <c r="P115" s="186"/>
      <c r="Q115" s="186"/>
    </row>
    <row r="116" spans="2:17" x14ac:dyDescent="0.35">
      <c r="B116" s="186"/>
      <c r="C116" s="186"/>
      <c r="D116" s="186"/>
      <c r="E116" s="186"/>
      <c r="F116" s="186"/>
      <c r="G116" s="186"/>
      <c r="H116" s="186"/>
      <c r="I116" s="186"/>
      <c r="J116" s="186"/>
      <c r="K116" s="186"/>
      <c r="L116" s="186"/>
      <c r="M116" s="186"/>
      <c r="N116" s="186"/>
      <c r="O116" s="186"/>
      <c r="P116" s="186"/>
      <c r="Q116" s="186"/>
    </row>
    <row r="117" spans="2:17" x14ac:dyDescent="0.35">
      <c r="B117" s="186"/>
      <c r="C117" s="186"/>
      <c r="D117" s="186"/>
      <c r="E117" s="186"/>
      <c r="F117" s="186"/>
      <c r="G117" s="186"/>
      <c r="H117" s="186"/>
      <c r="I117" s="186"/>
      <c r="J117" s="186"/>
      <c r="K117" s="186"/>
      <c r="L117" s="186"/>
      <c r="M117" s="186"/>
      <c r="N117" s="186"/>
      <c r="O117" s="186"/>
      <c r="P117" s="186"/>
      <c r="Q117" s="186"/>
    </row>
    <row r="118" spans="2:17" x14ac:dyDescent="0.35">
      <c r="B118" s="186"/>
      <c r="C118" s="186"/>
      <c r="D118" s="186"/>
      <c r="E118" s="186"/>
      <c r="F118" s="186"/>
      <c r="G118" s="186"/>
      <c r="H118" s="186"/>
      <c r="I118" s="186"/>
      <c r="J118" s="186"/>
      <c r="K118" s="186"/>
      <c r="L118" s="186"/>
      <c r="M118" s="186"/>
      <c r="N118" s="186"/>
      <c r="O118" s="186"/>
      <c r="P118" s="186"/>
      <c r="Q118" s="186"/>
    </row>
    <row r="119" spans="2:17" x14ac:dyDescent="0.35">
      <c r="B119" s="186"/>
      <c r="C119" s="186"/>
      <c r="D119" s="186"/>
      <c r="E119" s="186"/>
      <c r="F119" s="186"/>
      <c r="G119" s="186"/>
      <c r="H119" s="186"/>
      <c r="I119" s="186"/>
      <c r="J119" s="186"/>
      <c r="K119" s="186"/>
      <c r="L119" s="186"/>
      <c r="M119" s="186"/>
      <c r="N119" s="186"/>
      <c r="O119" s="186"/>
      <c r="P119" s="186"/>
      <c r="Q119" s="186"/>
    </row>
    <row r="120" spans="2:17" x14ac:dyDescent="0.35">
      <c r="B120" s="186"/>
      <c r="C120" s="186"/>
      <c r="D120" s="186"/>
      <c r="E120" s="186"/>
      <c r="F120" s="186"/>
      <c r="G120" s="186"/>
      <c r="H120" s="186"/>
      <c r="I120" s="186"/>
      <c r="J120" s="186"/>
      <c r="K120" s="186"/>
      <c r="L120" s="186"/>
      <c r="M120" s="186"/>
      <c r="N120" s="186"/>
      <c r="O120" s="186"/>
      <c r="P120" s="186"/>
      <c r="Q120" s="186"/>
    </row>
    <row r="121" spans="2:17" x14ac:dyDescent="0.35">
      <c r="B121" s="186"/>
      <c r="C121" s="186"/>
      <c r="D121" s="186"/>
      <c r="E121" s="186"/>
      <c r="F121" s="186"/>
      <c r="G121" s="186"/>
      <c r="H121" s="186"/>
      <c r="I121" s="186"/>
      <c r="J121" s="186"/>
      <c r="K121" s="186"/>
      <c r="L121" s="186"/>
      <c r="M121" s="186"/>
      <c r="N121" s="186"/>
      <c r="O121" s="186"/>
      <c r="P121" s="186"/>
      <c r="Q121" s="186"/>
    </row>
    <row r="122" spans="2:17" x14ac:dyDescent="0.35">
      <c r="B122" s="186"/>
      <c r="C122" s="186"/>
      <c r="D122" s="186"/>
      <c r="E122" s="186"/>
      <c r="F122" s="186"/>
      <c r="G122" s="186"/>
      <c r="H122" s="186"/>
      <c r="I122" s="186"/>
      <c r="J122" s="186"/>
      <c r="K122" s="186"/>
      <c r="L122" s="186"/>
      <c r="M122" s="186"/>
      <c r="N122" s="186"/>
      <c r="O122" s="186"/>
      <c r="P122" s="186"/>
      <c r="Q122" s="186"/>
    </row>
    <row r="123" spans="2:17" x14ac:dyDescent="0.35">
      <c r="B123" s="186"/>
      <c r="C123" s="186"/>
      <c r="D123" s="186"/>
      <c r="E123" s="186"/>
      <c r="F123" s="186"/>
      <c r="G123" s="186"/>
      <c r="H123" s="186"/>
      <c r="I123" s="186"/>
      <c r="J123" s="186"/>
      <c r="K123" s="186"/>
      <c r="L123" s="186"/>
      <c r="M123" s="186"/>
      <c r="N123" s="186"/>
      <c r="O123" s="186"/>
      <c r="P123" s="186"/>
      <c r="Q123" s="186"/>
    </row>
    <row r="124" spans="2:17" x14ac:dyDescent="0.35">
      <c r="B124" s="186"/>
      <c r="C124" s="186"/>
      <c r="D124" s="186"/>
      <c r="E124" s="186"/>
      <c r="F124" s="186"/>
      <c r="G124" s="186"/>
      <c r="H124" s="186"/>
      <c r="I124" s="186"/>
      <c r="J124" s="186"/>
      <c r="K124" s="186"/>
      <c r="L124" s="186"/>
      <c r="M124" s="186"/>
      <c r="N124" s="186"/>
      <c r="O124" s="186"/>
      <c r="P124" s="186"/>
      <c r="Q124" s="186"/>
    </row>
    <row r="125" spans="2:17" x14ac:dyDescent="0.35">
      <c r="B125" s="186"/>
      <c r="C125" s="186"/>
      <c r="D125" s="186"/>
      <c r="E125" s="186"/>
      <c r="F125" s="186"/>
      <c r="G125" s="186"/>
      <c r="H125" s="186"/>
      <c r="I125" s="186"/>
      <c r="J125" s="186"/>
      <c r="K125" s="186"/>
      <c r="L125" s="186"/>
      <c r="M125" s="186"/>
      <c r="N125" s="186"/>
      <c r="O125" s="186"/>
      <c r="P125" s="186"/>
      <c r="Q125" s="186"/>
    </row>
    <row r="126" spans="2:17" x14ac:dyDescent="0.35">
      <c r="B126" s="186"/>
      <c r="C126" s="186"/>
      <c r="D126" s="186"/>
      <c r="E126" s="186"/>
      <c r="F126" s="186"/>
      <c r="G126" s="186"/>
      <c r="H126" s="186"/>
      <c r="I126" s="186"/>
      <c r="J126" s="186"/>
      <c r="K126" s="186"/>
      <c r="L126" s="186"/>
      <c r="M126" s="186"/>
      <c r="N126" s="186"/>
      <c r="O126" s="186"/>
      <c r="P126" s="186"/>
      <c r="Q126" s="186"/>
    </row>
    <row r="127" spans="2:17" x14ac:dyDescent="0.35">
      <c r="B127" s="186"/>
      <c r="C127" s="186"/>
      <c r="D127" s="186"/>
      <c r="E127" s="186"/>
      <c r="F127" s="186"/>
      <c r="G127" s="186"/>
      <c r="H127" s="186"/>
      <c r="I127" s="186"/>
      <c r="J127" s="186"/>
      <c r="K127" s="186"/>
      <c r="L127" s="186"/>
      <c r="M127" s="186"/>
      <c r="N127" s="186"/>
      <c r="O127" s="186"/>
      <c r="P127" s="186"/>
      <c r="Q127" s="186"/>
    </row>
    <row r="128" spans="2:17" x14ac:dyDescent="0.35">
      <c r="B128" s="186"/>
      <c r="C128" s="186"/>
      <c r="D128" s="186"/>
      <c r="E128" s="186"/>
      <c r="F128" s="186"/>
      <c r="G128" s="186"/>
      <c r="H128" s="186"/>
      <c r="I128" s="186"/>
      <c r="J128" s="186"/>
      <c r="K128" s="186"/>
      <c r="L128" s="186"/>
      <c r="M128" s="186"/>
      <c r="N128" s="186"/>
      <c r="O128" s="186"/>
      <c r="P128" s="186"/>
      <c r="Q128" s="186"/>
    </row>
    <row r="129" spans="2:17" x14ac:dyDescent="0.35">
      <c r="B129" s="186"/>
      <c r="C129" s="186"/>
      <c r="D129" s="186"/>
      <c r="E129" s="186"/>
      <c r="F129" s="186"/>
      <c r="G129" s="186"/>
      <c r="H129" s="186"/>
      <c r="I129" s="186"/>
      <c r="J129" s="186"/>
      <c r="K129" s="186"/>
      <c r="L129" s="186"/>
      <c r="M129" s="186"/>
      <c r="N129" s="186"/>
      <c r="O129" s="186"/>
      <c r="P129" s="186"/>
      <c r="Q129" s="186"/>
    </row>
    <row r="130" spans="2:17" x14ac:dyDescent="0.35">
      <c r="B130" s="186"/>
      <c r="C130" s="186"/>
      <c r="D130" s="186"/>
      <c r="E130" s="186"/>
      <c r="F130" s="186"/>
      <c r="G130" s="186"/>
      <c r="H130" s="186"/>
      <c r="I130" s="186"/>
      <c r="J130" s="186"/>
      <c r="K130" s="186"/>
      <c r="L130" s="186"/>
      <c r="M130" s="186"/>
      <c r="N130" s="186"/>
      <c r="O130" s="186"/>
      <c r="P130" s="186"/>
      <c r="Q130" s="186"/>
    </row>
    <row r="131" spans="2:17" x14ac:dyDescent="0.35">
      <c r="B131" s="186"/>
      <c r="C131" s="186"/>
      <c r="D131" s="186"/>
      <c r="E131" s="186"/>
      <c r="F131" s="186"/>
      <c r="G131" s="186"/>
      <c r="H131" s="186"/>
      <c r="I131" s="186"/>
      <c r="J131" s="186"/>
      <c r="K131" s="186"/>
      <c r="L131" s="186"/>
      <c r="M131" s="186"/>
      <c r="N131" s="186"/>
      <c r="O131" s="186"/>
      <c r="P131" s="186"/>
      <c r="Q131" s="186"/>
    </row>
    <row r="132" spans="2:17" x14ac:dyDescent="0.35">
      <c r="B132" s="186"/>
      <c r="C132" s="186"/>
      <c r="D132" s="186"/>
      <c r="E132" s="186"/>
      <c r="F132" s="186"/>
      <c r="G132" s="186"/>
      <c r="H132" s="186"/>
      <c r="I132" s="186"/>
      <c r="J132" s="186"/>
      <c r="K132" s="186"/>
      <c r="L132" s="186"/>
      <c r="M132" s="186"/>
      <c r="N132" s="186"/>
      <c r="O132" s="186"/>
      <c r="P132" s="186"/>
      <c r="Q132" s="186"/>
    </row>
    <row r="133" spans="2:17" x14ac:dyDescent="0.35">
      <c r="B133" s="186"/>
      <c r="C133" s="186"/>
      <c r="D133" s="186"/>
      <c r="E133" s="186"/>
      <c r="F133" s="186"/>
      <c r="G133" s="186"/>
      <c r="H133" s="186"/>
      <c r="I133" s="186"/>
      <c r="J133" s="186"/>
      <c r="K133" s="186"/>
      <c r="L133" s="186"/>
      <c r="M133" s="186"/>
      <c r="N133" s="186"/>
      <c r="O133" s="186"/>
      <c r="P133" s="186"/>
      <c r="Q133" s="186"/>
    </row>
    <row r="134" spans="2:17" x14ac:dyDescent="0.35">
      <c r="B134" s="186"/>
      <c r="C134" s="186"/>
      <c r="D134" s="186"/>
      <c r="E134" s="186"/>
      <c r="F134" s="186"/>
      <c r="G134" s="186"/>
      <c r="H134" s="186"/>
      <c r="I134" s="186"/>
      <c r="J134" s="186"/>
      <c r="K134" s="186"/>
      <c r="L134" s="186"/>
      <c r="M134" s="186"/>
      <c r="N134" s="186"/>
      <c r="O134" s="186"/>
      <c r="P134" s="186"/>
      <c r="Q134" s="186"/>
    </row>
    <row r="135" spans="2:17" x14ac:dyDescent="0.35">
      <c r="B135" s="186"/>
      <c r="C135" s="186"/>
      <c r="D135" s="186"/>
      <c r="E135" s="186"/>
      <c r="F135" s="186"/>
      <c r="G135" s="186"/>
      <c r="H135" s="186"/>
      <c r="I135" s="186"/>
      <c r="J135" s="186"/>
      <c r="K135" s="186"/>
      <c r="L135" s="186"/>
      <c r="M135" s="186"/>
      <c r="N135" s="186"/>
      <c r="O135" s="186"/>
      <c r="P135" s="186"/>
      <c r="Q135" s="186"/>
    </row>
    <row r="136" spans="2:17" x14ac:dyDescent="0.35">
      <c r="B136" s="186"/>
      <c r="C136" s="186"/>
      <c r="D136" s="186"/>
      <c r="E136" s="186"/>
      <c r="F136" s="186"/>
      <c r="G136" s="186"/>
      <c r="H136" s="186"/>
      <c r="I136" s="186"/>
      <c r="J136" s="186"/>
      <c r="K136" s="186"/>
      <c r="L136" s="186"/>
      <c r="M136" s="186"/>
      <c r="N136" s="186"/>
      <c r="O136" s="186"/>
      <c r="P136" s="186"/>
      <c r="Q136" s="186"/>
    </row>
    <row r="137" spans="2:17" x14ac:dyDescent="0.35">
      <c r="B137" s="186"/>
      <c r="C137" s="186"/>
      <c r="D137" s="186"/>
      <c r="E137" s="186"/>
      <c r="F137" s="186"/>
      <c r="G137" s="186"/>
      <c r="H137" s="186"/>
      <c r="I137" s="186"/>
      <c r="J137" s="186"/>
      <c r="K137" s="186"/>
      <c r="L137" s="186"/>
      <c r="M137" s="186"/>
      <c r="N137" s="186"/>
      <c r="O137" s="186"/>
      <c r="P137" s="186"/>
      <c r="Q137" s="186"/>
    </row>
    <row r="138" spans="2:17" x14ac:dyDescent="0.35">
      <c r="B138" s="186"/>
      <c r="C138" s="186"/>
      <c r="D138" s="186"/>
      <c r="E138" s="186"/>
      <c r="F138" s="186"/>
      <c r="G138" s="186"/>
      <c r="H138" s="186"/>
      <c r="I138" s="186"/>
      <c r="J138" s="186"/>
      <c r="K138" s="186"/>
      <c r="L138" s="186"/>
      <c r="M138" s="186"/>
      <c r="N138" s="186"/>
      <c r="O138" s="186"/>
      <c r="P138" s="186"/>
      <c r="Q138" s="186"/>
    </row>
    <row r="139" spans="2:17" x14ac:dyDescent="0.35">
      <c r="B139" s="186"/>
      <c r="C139" s="186"/>
      <c r="D139" s="186"/>
      <c r="E139" s="186"/>
      <c r="F139" s="186"/>
      <c r="G139" s="186"/>
      <c r="H139" s="186"/>
      <c r="I139" s="186"/>
      <c r="J139" s="186"/>
      <c r="K139" s="186"/>
      <c r="L139" s="186"/>
      <c r="M139" s="186"/>
      <c r="N139" s="186"/>
      <c r="O139" s="186"/>
      <c r="P139" s="186"/>
      <c r="Q139" s="186"/>
    </row>
    <row r="140" spans="2:17" x14ac:dyDescent="0.35">
      <c r="B140" s="186"/>
      <c r="C140" s="186"/>
      <c r="D140" s="186"/>
      <c r="E140" s="186"/>
      <c r="F140" s="186"/>
      <c r="G140" s="186"/>
      <c r="H140" s="186"/>
      <c r="I140" s="186"/>
      <c r="J140" s="186"/>
      <c r="K140" s="186"/>
      <c r="L140" s="186"/>
      <c r="M140" s="186"/>
      <c r="N140" s="186"/>
      <c r="O140" s="186"/>
      <c r="P140" s="186"/>
      <c r="Q140" s="186"/>
    </row>
    <row r="141" spans="2:17" x14ac:dyDescent="0.35">
      <c r="B141" s="186"/>
      <c r="C141" s="186"/>
      <c r="D141" s="186"/>
      <c r="E141" s="186"/>
      <c r="F141" s="186"/>
      <c r="G141" s="186"/>
      <c r="H141" s="186"/>
      <c r="I141" s="186"/>
      <c r="J141" s="186"/>
      <c r="K141" s="186"/>
      <c r="L141" s="186"/>
      <c r="M141" s="186"/>
      <c r="N141" s="186"/>
      <c r="O141" s="186"/>
      <c r="P141" s="186"/>
      <c r="Q141" s="186"/>
    </row>
    <row r="142" spans="2:17" x14ac:dyDescent="0.35">
      <c r="B142" s="186"/>
      <c r="C142" s="186"/>
      <c r="D142" s="186"/>
      <c r="E142" s="186"/>
      <c r="F142" s="186"/>
      <c r="G142" s="186"/>
      <c r="H142" s="186"/>
      <c r="I142" s="186"/>
      <c r="J142" s="186"/>
      <c r="K142" s="186"/>
      <c r="L142" s="186"/>
      <c r="M142" s="186"/>
      <c r="N142" s="186"/>
      <c r="O142" s="186"/>
      <c r="P142" s="186"/>
      <c r="Q142" s="186"/>
    </row>
    <row r="143" spans="2:17" x14ac:dyDescent="0.35">
      <c r="B143" s="186"/>
      <c r="C143" s="186"/>
      <c r="D143" s="186"/>
      <c r="E143" s="186"/>
      <c r="F143" s="186"/>
      <c r="G143" s="186"/>
      <c r="H143" s="186"/>
      <c r="I143" s="186"/>
      <c r="J143" s="186"/>
      <c r="K143" s="186"/>
      <c r="L143" s="186"/>
      <c r="M143" s="186"/>
      <c r="N143" s="186"/>
      <c r="O143" s="186"/>
      <c r="P143" s="186"/>
      <c r="Q143" s="186"/>
    </row>
    <row r="144" spans="2:17" x14ac:dyDescent="0.35">
      <c r="B144" s="186"/>
      <c r="C144" s="186"/>
      <c r="D144" s="186"/>
      <c r="E144" s="186"/>
      <c r="F144" s="186"/>
      <c r="G144" s="186"/>
      <c r="H144" s="186"/>
      <c r="I144" s="186"/>
      <c r="J144" s="186"/>
      <c r="K144" s="186"/>
      <c r="L144" s="186"/>
      <c r="M144" s="186"/>
      <c r="N144" s="186"/>
      <c r="O144" s="186"/>
      <c r="P144" s="186"/>
      <c r="Q144" s="186"/>
    </row>
    <row r="145" spans="2:17" x14ac:dyDescent="0.35">
      <c r="B145" s="186"/>
      <c r="C145" s="186"/>
      <c r="D145" s="186"/>
      <c r="E145" s="186"/>
      <c r="F145" s="186"/>
      <c r="G145" s="186"/>
      <c r="H145" s="186"/>
      <c r="I145" s="186"/>
      <c r="J145" s="186"/>
      <c r="K145" s="186"/>
      <c r="L145" s="186"/>
      <c r="M145" s="186"/>
      <c r="N145" s="186"/>
      <c r="O145" s="186"/>
      <c r="P145" s="186"/>
      <c r="Q145" s="186"/>
    </row>
    <row r="146" spans="2:17" x14ac:dyDescent="0.35">
      <c r="B146" s="186"/>
      <c r="C146" s="186"/>
      <c r="D146" s="186"/>
      <c r="E146" s="186"/>
      <c r="F146" s="186"/>
      <c r="G146" s="186"/>
      <c r="H146" s="186"/>
      <c r="I146" s="186"/>
      <c r="J146" s="186"/>
      <c r="K146" s="186"/>
      <c r="L146" s="186"/>
      <c r="M146" s="186"/>
      <c r="N146" s="186"/>
      <c r="O146" s="186"/>
      <c r="P146" s="186"/>
      <c r="Q146" s="186"/>
    </row>
    <row r="147" spans="2:17" x14ac:dyDescent="0.35">
      <c r="B147" s="186"/>
      <c r="C147" s="186"/>
      <c r="D147" s="186"/>
      <c r="E147" s="186"/>
      <c r="F147" s="186"/>
      <c r="G147" s="186"/>
      <c r="H147" s="186"/>
      <c r="I147" s="186"/>
      <c r="J147" s="186"/>
      <c r="K147" s="186"/>
      <c r="L147" s="186"/>
      <c r="M147" s="186"/>
      <c r="N147" s="186"/>
      <c r="O147" s="186"/>
      <c r="P147" s="186"/>
      <c r="Q147" s="186"/>
    </row>
    <row r="148" spans="2:17" x14ac:dyDescent="0.35">
      <c r="B148" s="186"/>
      <c r="C148" s="186"/>
      <c r="D148" s="186"/>
      <c r="E148" s="186"/>
      <c r="F148" s="186"/>
      <c r="G148" s="186"/>
      <c r="H148" s="186"/>
      <c r="I148" s="186"/>
      <c r="J148" s="186"/>
      <c r="K148" s="186"/>
      <c r="L148" s="186"/>
      <c r="M148" s="186"/>
      <c r="N148" s="186"/>
      <c r="O148" s="186"/>
      <c r="P148" s="186"/>
      <c r="Q148" s="186"/>
    </row>
    <row r="149" spans="2:17" x14ac:dyDescent="0.35">
      <c r="B149" s="186"/>
      <c r="C149" s="186"/>
      <c r="D149" s="186"/>
      <c r="E149" s="186"/>
      <c r="F149" s="186"/>
      <c r="G149" s="186"/>
      <c r="H149" s="186"/>
      <c r="I149" s="186"/>
      <c r="J149" s="186"/>
      <c r="K149" s="186"/>
      <c r="L149" s="186"/>
      <c r="M149" s="186"/>
      <c r="N149" s="186"/>
      <c r="O149" s="186"/>
      <c r="P149" s="186"/>
      <c r="Q149" s="186"/>
    </row>
    <row r="150" spans="2:17" x14ac:dyDescent="0.35">
      <c r="B150" s="186"/>
      <c r="C150" s="186"/>
      <c r="D150" s="186"/>
      <c r="E150" s="186"/>
      <c r="F150" s="186"/>
      <c r="G150" s="186"/>
      <c r="H150" s="186"/>
      <c r="I150" s="186"/>
      <c r="J150" s="186"/>
      <c r="K150" s="186"/>
      <c r="L150" s="186"/>
      <c r="M150" s="186"/>
      <c r="N150" s="186"/>
      <c r="O150" s="186"/>
      <c r="P150" s="186"/>
      <c r="Q150" s="186"/>
    </row>
    <row r="151" spans="2:17" x14ac:dyDescent="0.35">
      <c r="B151" s="186"/>
      <c r="C151" s="186"/>
      <c r="D151" s="186"/>
      <c r="E151" s="186"/>
      <c r="F151" s="186"/>
      <c r="G151" s="186"/>
      <c r="H151" s="186"/>
      <c r="I151" s="186"/>
      <c r="J151" s="186"/>
      <c r="K151" s="186"/>
      <c r="L151" s="186"/>
      <c r="M151" s="186"/>
      <c r="N151" s="186"/>
      <c r="O151" s="186"/>
      <c r="P151" s="186"/>
      <c r="Q151" s="186"/>
    </row>
    <row r="152" spans="2:17" x14ac:dyDescent="0.35">
      <c r="B152" s="186"/>
      <c r="C152" s="186"/>
      <c r="D152" s="186"/>
      <c r="E152" s="186"/>
      <c r="F152" s="186"/>
      <c r="G152" s="186"/>
      <c r="H152" s="186"/>
      <c r="I152" s="186"/>
      <c r="J152" s="186"/>
      <c r="K152" s="186"/>
      <c r="L152" s="186"/>
      <c r="M152" s="186"/>
      <c r="N152" s="186"/>
      <c r="O152" s="186"/>
      <c r="P152" s="186"/>
      <c r="Q152" s="186"/>
    </row>
    <row r="153" spans="2:17" x14ac:dyDescent="0.35">
      <c r="B153" s="186"/>
      <c r="C153" s="186"/>
      <c r="D153" s="186"/>
      <c r="E153" s="186"/>
      <c r="F153" s="186"/>
      <c r="G153" s="186"/>
      <c r="H153" s="186"/>
      <c r="I153" s="186"/>
      <c r="J153" s="186"/>
      <c r="K153" s="186"/>
      <c r="L153" s="186"/>
      <c r="M153" s="186"/>
      <c r="N153" s="186"/>
      <c r="O153" s="186"/>
      <c r="P153" s="186"/>
      <c r="Q153" s="186"/>
    </row>
    <row r="154" spans="2:17" x14ac:dyDescent="0.35">
      <c r="B154" s="186"/>
      <c r="C154" s="186"/>
      <c r="D154" s="186"/>
      <c r="E154" s="186"/>
      <c r="F154" s="186"/>
      <c r="G154" s="186"/>
      <c r="H154" s="186"/>
      <c r="I154" s="186"/>
      <c r="J154" s="186"/>
      <c r="K154" s="186"/>
      <c r="L154" s="186"/>
      <c r="M154" s="186"/>
      <c r="N154" s="186"/>
      <c r="O154" s="186"/>
      <c r="P154" s="186"/>
      <c r="Q154" s="186"/>
    </row>
    <row r="155" spans="2:17" x14ac:dyDescent="0.35">
      <c r="B155" s="186"/>
      <c r="C155" s="186"/>
      <c r="D155" s="186"/>
      <c r="E155" s="186"/>
      <c r="F155" s="186"/>
      <c r="G155" s="186"/>
      <c r="H155" s="186"/>
      <c r="I155" s="186"/>
      <c r="J155" s="186"/>
      <c r="K155" s="186"/>
      <c r="L155" s="186"/>
      <c r="M155" s="186"/>
      <c r="N155" s="186"/>
      <c r="O155" s="186"/>
      <c r="P155" s="186"/>
      <c r="Q155" s="186"/>
    </row>
    <row r="156" spans="2:17" x14ac:dyDescent="0.35">
      <c r="B156" s="186"/>
      <c r="C156" s="186"/>
      <c r="D156" s="186"/>
      <c r="E156" s="186"/>
      <c r="F156" s="186"/>
      <c r="G156" s="186"/>
      <c r="H156" s="186"/>
      <c r="I156" s="186"/>
      <c r="J156" s="186"/>
      <c r="K156" s="186"/>
      <c r="L156" s="186"/>
      <c r="M156" s="186"/>
      <c r="N156" s="186"/>
      <c r="O156" s="186"/>
      <c r="P156" s="186"/>
      <c r="Q156" s="186"/>
    </row>
    <row r="157" spans="2:17" x14ac:dyDescent="0.35">
      <c r="B157" s="186"/>
      <c r="C157" s="186"/>
      <c r="D157" s="186"/>
      <c r="E157" s="186"/>
      <c r="F157" s="186"/>
      <c r="G157" s="186"/>
      <c r="H157" s="186"/>
      <c r="I157" s="186"/>
      <c r="J157" s="186"/>
      <c r="K157" s="186"/>
      <c r="L157" s="186"/>
      <c r="M157" s="186"/>
      <c r="N157" s="186"/>
      <c r="O157" s="186"/>
      <c r="P157" s="186"/>
      <c r="Q157" s="186"/>
    </row>
    <row r="158" spans="2:17" x14ac:dyDescent="0.35">
      <c r="B158" s="186"/>
      <c r="C158" s="186"/>
      <c r="D158" s="186"/>
      <c r="E158" s="186"/>
      <c r="F158" s="186"/>
      <c r="G158" s="186"/>
      <c r="H158" s="186"/>
      <c r="I158" s="186"/>
      <c r="J158" s="186"/>
      <c r="K158" s="186"/>
      <c r="L158" s="186"/>
      <c r="M158" s="186"/>
      <c r="N158" s="186"/>
      <c r="O158" s="186"/>
      <c r="P158" s="186"/>
      <c r="Q158" s="186"/>
    </row>
    <row r="159" spans="2:17" x14ac:dyDescent="0.35">
      <c r="B159" s="186"/>
      <c r="C159" s="186"/>
      <c r="D159" s="186"/>
      <c r="E159" s="186"/>
      <c r="F159" s="186"/>
      <c r="G159" s="186"/>
      <c r="H159" s="186"/>
      <c r="I159" s="186"/>
      <c r="J159" s="186"/>
      <c r="K159" s="186"/>
      <c r="L159" s="186"/>
      <c r="M159" s="186"/>
      <c r="N159" s="186"/>
      <c r="O159" s="186"/>
      <c r="P159" s="186"/>
      <c r="Q159" s="186"/>
    </row>
    <row r="160" spans="2:17" x14ac:dyDescent="0.35">
      <c r="B160" s="186"/>
      <c r="C160" s="186"/>
      <c r="D160" s="186"/>
      <c r="E160" s="186"/>
      <c r="F160" s="186"/>
      <c r="G160" s="186"/>
      <c r="H160" s="186"/>
      <c r="I160" s="186"/>
      <c r="J160" s="186"/>
      <c r="K160" s="186"/>
      <c r="L160" s="186"/>
      <c r="M160" s="186"/>
      <c r="N160" s="186"/>
      <c r="O160" s="186"/>
      <c r="P160" s="186"/>
      <c r="Q160" s="186"/>
    </row>
    <row r="161" spans="2:17" x14ac:dyDescent="0.35">
      <c r="B161" s="186"/>
      <c r="C161" s="186"/>
      <c r="D161" s="186"/>
      <c r="E161" s="186"/>
      <c r="F161" s="186"/>
      <c r="G161" s="186"/>
      <c r="H161" s="186"/>
      <c r="I161" s="186"/>
      <c r="J161" s="186"/>
      <c r="K161" s="186"/>
      <c r="L161" s="186"/>
      <c r="M161" s="186"/>
      <c r="N161" s="186"/>
      <c r="O161" s="186"/>
      <c r="P161" s="186"/>
      <c r="Q161" s="186"/>
    </row>
    <row r="162" spans="2:17" x14ac:dyDescent="0.35">
      <c r="B162" s="186"/>
      <c r="C162" s="186"/>
      <c r="D162" s="186"/>
      <c r="E162" s="186"/>
      <c r="F162" s="186"/>
      <c r="G162" s="186"/>
      <c r="H162" s="186"/>
      <c r="I162" s="186"/>
      <c r="J162" s="186"/>
      <c r="K162" s="186"/>
      <c r="L162" s="186"/>
      <c r="M162" s="186"/>
      <c r="N162" s="186"/>
      <c r="O162" s="186"/>
      <c r="P162" s="186"/>
      <c r="Q162" s="186"/>
    </row>
    <row r="163" spans="2:17" x14ac:dyDescent="0.35">
      <c r="B163" s="186"/>
      <c r="C163" s="186"/>
      <c r="D163" s="186"/>
      <c r="E163" s="186"/>
      <c r="F163" s="186"/>
      <c r="G163" s="186"/>
      <c r="H163" s="186"/>
      <c r="I163" s="186"/>
      <c r="J163" s="186"/>
      <c r="K163" s="186"/>
      <c r="L163" s="186"/>
      <c r="M163" s="186"/>
      <c r="N163" s="186"/>
      <c r="O163" s="186"/>
      <c r="P163" s="186"/>
      <c r="Q163" s="186"/>
    </row>
    <row r="164" spans="2:17" x14ac:dyDescent="0.35">
      <c r="B164" s="186"/>
      <c r="C164" s="186"/>
      <c r="D164" s="186"/>
      <c r="E164" s="186"/>
      <c r="F164" s="186"/>
      <c r="G164" s="186"/>
      <c r="H164" s="186"/>
      <c r="I164" s="186"/>
      <c r="J164" s="186"/>
      <c r="K164" s="186"/>
      <c r="L164" s="186"/>
      <c r="M164" s="186"/>
      <c r="N164" s="186"/>
      <c r="O164" s="186"/>
      <c r="P164" s="186"/>
      <c r="Q164" s="186"/>
    </row>
    <row r="165" spans="2:17" x14ac:dyDescent="0.35">
      <c r="B165" s="186"/>
      <c r="C165" s="186"/>
      <c r="D165" s="186"/>
      <c r="E165" s="186"/>
      <c r="F165" s="186"/>
      <c r="G165" s="186"/>
      <c r="H165" s="186"/>
      <c r="I165" s="186"/>
      <c r="J165" s="186"/>
      <c r="K165" s="186"/>
      <c r="L165" s="186"/>
      <c r="M165" s="186"/>
      <c r="N165" s="186"/>
      <c r="O165" s="186"/>
      <c r="P165" s="186"/>
      <c r="Q165" s="186"/>
    </row>
    <row r="166" spans="2:17" x14ac:dyDescent="0.35">
      <c r="B166" s="186"/>
      <c r="C166" s="186"/>
      <c r="D166" s="186"/>
      <c r="E166" s="186"/>
      <c r="F166" s="186"/>
      <c r="G166" s="186"/>
      <c r="H166" s="186"/>
      <c r="I166" s="186"/>
      <c r="J166" s="186"/>
      <c r="K166" s="186"/>
      <c r="L166" s="186"/>
      <c r="M166" s="186"/>
      <c r="N166" s="186"/>
      <c r="O166" s="186"/>
      <c r="P166" s="186"/>
      <c r="Q166" s="186"/>
    </row>
    <row r="167" spans="2:17" x14ac:dyDescent="0.35">
      <c r="B167" s="186"/>
      <c r="C167" s="186"/>
      <c r="D167" s="186"/>
      <c r="E167" s="186"/>
      <c r="F167" s="186"/>
      <c r="G167" s="186"/>
      <c r="H167" s="186"/>
      <c r="I167" s="186"/>
      <c r="J167" s="186"/>
      <c r="K167" s="186"/>
      <c r="L167" s="186"/>
      <c r="M167" s="186"/>
      <c r="N167" s="186"/>
      <c r="O167" s="186"/>
      <c r="P167" s="186"/>
      <c r="Q167" s="186"/>
    </row>
    <row r="168" spans="2:17" x14ac:dyDescent="0.35">
      <c r="B168" s="186"/>
      <c r="C168" s="186"/>
      <c r="D168" s="186"/>
      <c r="E168" s="186"/>
      <c r="F168" s="186"/>
      <c r="G168" s="186"/>
      <c r="H168" s="186"/>
      <c r="I168" s="186"/>
      <c r="J168" s="186"/>
      <c r="K168" s="186"/>
      <c r="L168" s="186"/>
      <c r="M168" s="186"/>
      <c r="N168" s="186"/>
      <c r="O168" s="186"/>
      <c r="P168" s="186"/>
      <c r="Q168" s="186"/>
    </row>
    <row r="169" spans="2:17" x14ac:dyDescent="0.35">
      <c r="B169" s="186"/>
      <c r="C169" s="186"/>
      <c r="D169" s="186"/>
      <c r="E169" s="186"/>
      <c r="F169" s="186"/>
      <c r="G169" s="186"/>
      <c r="H169" s="186"/>
      <c r="I169" s="186"/>
      <c r="J169" s="186"/>
      <c r="K169" s="186"/>
      <c r="L169" s="186"/>
      <c r="M169" s="186"/>
      <c r="N169" s="186"/>
      <c r="O169" s="186"/>
      <c r="P169" s="186"/>
      <c r="Q169" s="186"/>
    </row>
    <row r="170" spans="2:17" x14ac:dyDescent="0.35">
      <c r="B170" s="186"/>
      <c r="C170" s="186"/>
      <c r="D170" s="186"/>
      <c r="E170" s="186"/>
      <c r="F170" s="186"/>
      <c r="G170" s="186"/>
      <c r="H170" s="186"/>
      <c r="I170" s="186"/>
      <c r="J170" s="186"/>
      <c r="K170" s="186"/>
      <c r="L170" s="186"/>
      <c r="M170" s="186"/>
      <c r="N170" s="186"/>
      <c r="O170" s="186"/>
      <c r="P170" s="186"/>
      <c r="Q170" s="186"/>
    </row>
    <row r="171" spans="2:17" x14ac:dyDescent="0.35">
      <c r="B171" s="186"/>
      <c r="C171" s="186"/>
      <c r="D171" s="186"/>
      <c r="E171" s="186"/>
      <c r="F171" s="186"/>
      <c r="G171" s="186"/>
      <c r="H171" s="186"/>
      <c r="I171" s="186"/>
      <c r="J171" s="186"/>
      <c r="K171" s="186"/>
      <c r="L171" s="186"/>
      <c r="M171" s="186"/>
      <c r="N171" s="186"/>
      <c r="O171" s="186"/>
      <c r="P171" s="186"/>
      <c r="Q171" s="186"/>
    </row>
    <row r="172" spans="2:17" x14ac:dyDescent="0.35">
      <c r="B172" s="186"/>
      <c r="C172" s="186"/>
      <c r="D172" s="186"/>
      <c r="E172" s="186"/>
      <c r="F172" s="186"/>
      <c r="G172" s="186"/>
      <c r="H172" s="186"/>
      <c r="I172" s="186"/>
      <c r="J172" s="186"/>
      <c r="K172" s="186"/>
      <c r="L172" s="186"/>
      <c r="M172" s="186"/>
      <c r="N172" s="186"/>
      <c r="O172" s="186"/>
      <c r="P172" s="186"/>
      <c r="Q172" s="186"/>
    </row>
    <row r="173" spans="2:17" x14ac:dyDescent="0.35">
      <c r="B173" s="186"/>
      <c r="C173" s="186"/>
      <c r="D173" s="186"/>
      <c r="E173" s="186"/>
      <c r="F173" s="186"/>
      <c r="G173" s="186"/>
      <c r="H173" s="186"/>
      <c r="I173" s="186"/>
      <c r="J173" s="186"/>
      <c r="K173" s="186"/>
      <c r="L173" s="186"/>
      <c r="M173" s="186"/>
      <c r="N173" s="186"/>
      <c r="O173" s="186"/>
      <c r="P173" s="186"/>
      <c r="Q173" s="186"/>
    </row>
    <row r="174" spans="2:17" x14ac:dyDescent="0.35">
      <c r="B174" s="186"/>
      <c r="C174" s="186"/>
      <c r="D174" s="186"/>
      <c r="E174" s="186"/>
      <c r="F174" s="186"/>
      <c r="G174" s="186"/>
      <c r="H174" s="186"/>
      <c r="I174" s="186"/>
      <c r="J174" s="186"/>
      <c r="K174" s="186"/>
      <c r="L174" s="186"/>
      <c r="M174" s="186"/>
      <c r="N174" s="186"/>
      <c r="O174" s="186"/>
      <c r="P174" s="186"/>
      <c r="Q174" s="186"/>
    </row>
    <row r="175" spans="2:17" x14ac:dyDescent="0.35">
      <c r="B175" s="186"/>
      <c r="C175" s="186"/>
      <c r="D175" s="186"/>
      <c r="E175" s="186"/>
      <c r="F175" s="186"/>
      <c r="G175" s="186"/>
      <c r="H175" s="186"/>
      <c r="I175" s="186"/>
      <c r="J175" s="186"/>
      <c r="K175" s="186"/>
      <c r="L175" s="186"/>
      <c r="M175" s="186"/>
      <c r="N175" s="186"/>
      <c r="O175" s="186"/>
      <c r="P175" s="186"/>
      <c r="Q175" s="186"/>
    </row>
    <row r="176" spans="2:17" x14ac:dyDescent="0.35">
      <c r="B176" s="186"/>
      <c r="C176" s="186"/>
      <c r="D176" s="186"/>
      <c r="E176" s="186"/>
      <c r="F176" s="186"/>
      <c r="G176" s="186"/>
      <c r="H176" s="186"/>
      <c r="I176" s="186"/>
      <c r="J176" s="186"/>
      <c r="K176" s="186"/>
      <c r="L176" s="186"/>
      <c r="M176" s="186"/>
      <c r="N176" s="186"/>
      <c r="O176" s="186"/>
      <c r="P176" s="186"/>
      <c r="Q176" s="186"/>
    </row>
    <row r="177" spans="2:17" x14ac:dyDescent="0.35">
      <c r="B177" s="186"/>
      <c r="C177" s="186"/>
      <c r="D177" s="186"/>
      <c r="E177" s="186"/>
      <c r="F177" s="186"/>
      <c r="G177" s="186"/>
      <c r="H177" s="186"/>
      <c r="I177" s="186"/>
      <c r="J177" s="186"/>
      <c r="K177" s="186"/>
      <c r="L177" s="186"/>
      <c r="M177" s="186"/>
      <c r="N177" s="186"/>
      <c r="O177" s="186"/>
      <c r="P177" s="186"/>
      <c r="Q177" s="186"/>
    </row>
    <row r="178" spans="2:17" x14ac:dyDescent="0.35">
      <c r="B178" s="186"/>
      <c r="C178" s="186"/>
      <c r="D178" s="186"/>
      <c r="E178" s="186"/>
      <c r="F178" s="186"/>
      <c r="G178" s="186"/>
      <c r="H178" s="186"/>
      <c r="I178" s="186"/>
      <c r="J178" s="186"/>
      <c r="K178" s="186"/>
      <c r="L178" s="186"/>
      <c r="M178" s="186"/>
      <c r="N178" s="186"/>
      <c r="O178" s="186"/>
      <c r="P178" s="186"/>
      <c r="Q178" s="186"/>
    </row>
    <row r="179" spans="2:17" x14ac:dyDescent="0.35">
      <c r="B179" s="186"/>
      <c r="C179" s="186"/>
      <c r="D179" s="186"/>
      <c r="E179" s="186"/>
      <c r="F179" s="186"/>
      <c r="G179" s="186"/>
      <c r="H179" s="186"/>
      <c r="I179" s="186"/>
      <c r="J179" s="186"/>
      <c r="K179" s="186"/>
      <c r="L179" s="186"/>
      <c r="M179" s="186"/>
      <c r="N179" s="186"/>
      <c r="O179" s="186"/>
      <c r="P179" s="186"/>
      <c r="Q179" s="186"/>
    </row>
    <row r="180" spans="2:17" x14ac:dyDescent="0.35">
      <c r="B180" s="186"/>
      <c r="C180" s="186"/>
      <c r="D180" s="186"/>
      <c r="E180" s="186"/>
      <c r="F180" s="186"/>
      <c r="G180" s="186"/>
      <c r="H180" s="186"/>
      <c r="I180" s="186"/>
      <c r="J180" s="186"/>
      <c r="K180" s="186"/>
      <c r="L180" s="186"/>
      <c r="M180" s="186"/>
      <c r="N180" s="186"/>
      <c r="O180" s="186"/>
      <c r="P180" s="186"/>
      <c r="Q180" s="186"/>
    </row>
    <row r="181" spans="2:17" x14ac:dyDescent="0.35">
      <c r="B181" s="186"/>
      <c r="C181" s="186"/>
      <c r="D181" s="186"/>
      <c r="E181" s="186"/>
      <c r="F181" s="186"/>
      <c r="G181" s="186"/>
      <c r="H181" s="186"/>
      <c r="I181" s="186"/>
      <c r="J181" s="186"/>
      <c r="K181" s="186"/>
      <c r="L181" s="186"/>
      <c r="M181" s="186"/>
      <c r="N181" s="186"/>
      <c r="O181" s="186"/>
      <c r="P181" s="186"/>
      <c r="Q181" s="186"/>
    </row>
    <row r="182" spans="2:17" x14ac:dyDescent="0.35">
      <c r="B182" s="186"/>
      <c r="C182" s="186"/>
      <c r="D182" s="186"/>
      <c r="E182" s="186"/>
      <c r="F182" s="186"/>
      <c r="G182" s="186"/>
      <c r="H182" s="186"/>
      <c r="I182" s="186"/>
      <c r="J182" s="186"/>
      <c r="K182" s="186"/>
      <c r="L182" s="186"/>
      <c r="M182" s="186"/>
      <c r="N182" s="186"/>
      <c r="O182" s="186"/>
      <c r="P182" s="186"/>
      <c r="Q182" s="186"/>
    </row>
    <row r="183" spans="2:17" x14ac:dyDescent="0.35">
      <c r="B183" s="186"/>
      <c r="C183" s="186"/>
      <c r="D183" s="186"/>
      <c r="E183" s="186"/>
      <c r="F183" s="186"/>
      <c r="G183" s="186"/>
      <c r="H183" s="186"/>
      <c r="I183" s="186"/>
      <c r="J183" s="186"/>
      <c r="K183" s="186"/>
      <c r="L183" s="186"/>
      <c r="M183" s="186"/>
      <c r="N183" s="186"/>
      <c r="O183" s="186"/>
      <c r="P183" s="186"/>
      <c r="Q183" s="186"/>
    </row>
    <row r="184" spans="2:17" x14ac:dyDescent="0.35">
      <c r="B184" s="186"/>
      <c r="C184" s="186"/>
      <c r="D184" s="186"/>
      <c r="E184" s="186"/>
      <c r="F184" s="186"/>
      <c r="G184" s="186"/>
      <c r="H184" s="186"/>
      <c r="I184" s="186"/>
      <c r="J184" s="186"/>
      <c r="K184" s="186"/>
      <c r="L184" s="186"/>
      <c r="M184" s="186"/>
      <c r="N184" s="186"/>
      <c r="O184" s="186"/>
      <c r="P184" s="186"/>
      <c r="Q184" s="186"/>
    </row>
    <row r="185" spans="2:17" x14ac:dyDescent="0.35">
      <c r="B185" s="186"/>
      <c r="C185" s="186"/>
      <c r="D185" s="186"/>
      <c r="E185" s="186"/>
      <c r="F185" s="186"/>
      <c r="G185" s="186"/>
      <c r="H185" s="186"/>
      <c r="I185" s="186"/>
      <c r="J185" s="186"/>
      <c r="K185" s="186"/>
      <c r="L185" s="186"/>
      <c r="M185" s="186"/>
      <c r="N185" s="186"/>
      <c r="O185" s="186"/>
      <c r="P185" s="186"/>
      <c r="Q185" s="186"/>
    </row>
    <row r="186" spans="2:17" x14ac:dyDescent="0.35">
      <c r="B186" s="186"/>
      <c r="C186" s="186"/>
      <c r="D186" s="186"/>
      <c r="E186" s="186"/>
      <c r="F186" s="186"/>
      <c r="G186" s="186"/>
      <c r="H186" s="186"/>
      <c r="I186" s="186"/>
      <c r="J186" s="186"/>
      <c r="K186" s="186"/>
      <c r="L186" s="186"/>
      <c r="M186" s="186"/>
      <c r="N186" s="186"/>
      <c r="O186" s="186"/>
      <c r="P186" s="186"/>
      <c r="Q186" s="186"/>
    </row>
    <row r="187" spans="2:17" x14ac:dyDescent="0.35">
      <c r="B187" s="186"/>
      <c r="C187" s="186"/>
      <c r="D187" s="186"/>
      <c r="E187" s="186"/>
      <c r="F187" s="186"/>
      <c r="G187" s="186"/>
      <c r="H187" s="186"/>
      <c r="I187" s="186"/>
      <c r="J187" s="186"/>
      <c r="K187" s="186"/>
      <c r="L187" s="186"/>
      <c r="M187" s="186"/>
      <c r="N187" s="186"/>
      <c r="O187" s="186"/>
      <c r="P187" s="186"/>
      <c r="Q187" s="186"/>
    </row>
    <row r="188" spans="2:17" x14ac:dyDescent="0.35">
      <c r="B188" s="186"/>
      <c r="C188" s="186"/>
      <c r="D188" s="186"/>
      <c r="E188" s="186"/>
      <c r="F188" s="186"/>
      <c r="G188" s="186"/>
      <c r="H188" s="186"/>
      <c r="I188" s="186"/>
      <c r="J188" s="186"/>
      <c r="K188" s="186"/>
      <c r="L188" s="186"/>
      <c r="M188" s="186"/>
      <c r="N188" s="186"/>
      <c r="O188" s="186"/>
      <c r="P188" s="186"/>
      <c r="Q188" s="186"/>
    </row>
    <row r="189" spans="2:17" x14ac:dyDescent="0.35">
      <c r="B189" s="186"/>
      <c r="C189" s="186"/>
      <c r="D189" s="186"/>
      <c r="E189" s="186"/>
      <c r="F189" s="186"/>
      <c r="G189" s="186"/>
      <c r="H189" s="186"/>
      <c r="I189" s="186"/>
      <c r="J189" s="186"/>
      <c r="K189" s="186"/>
      <c r="L189" s="186"/>
      <c r="M189" s="186"/>
      <c r="N189" s="186"/>
      <c r="O189" s="186"/>
      <c r="P189" s="186"/>
      <c r="Q189" s="186"/>
    </row>
    <row r="190" spans="2:17" x14ac:dyDescent="0.35">
      <c r="B190" s="186"/>
      <c r="C190" s="186"/>
      <c r="D190" s="186"/>
      <c r="E190" s="186"/>
      <c r="F190" s="186"/>
      <c r="G190" s="186"/>
      <c r="H190" s="186"/>
      <c r="I190" s="186"/>
      <c r="J190" s="186"/>
      <c r="K190" s="186"/>
      <c r="L190" s="186"/>
      <c r="M190" s="186"/>
      <c r="N190" s="186"/>
      <c r="O190" s="186"/>
      <c r="P190" s="186"/>
      <c r="Q190" s="186"/>
    </row>
    <row r="191" spans="2:17" x14ac:dyDescent="0.35">
      <c r="B191" s="186"/>
      <c r="C191" s="186"/>
      <c r="D191" s="186"/>
      <c r="E191" s="186"/>
      <c r="F191" s="186"/>
      <c r="G191" s="186"/>
      <c r="H191" s="186"/>
      <c r="I191" s="186"/>
      <c r="J191" s="186"/>
      <c r="K191" s="186"/>
      <c r="L191" s="186"/>
      <c r="M191" s="186"/>
      <c r="N191" s="186"/>
      <c r="O191" s="186"/>
      <c r="P191" s="186"/>
      <c r="Q191" s="186"/>
    </row>
    <row r="192" spans="2:17" x14ac:dyDescent="0.35">
      <c r="B192" s="186"/>
      <c r="C192" s="186"/>
      <c r="D192" s="186"/>
      <c r="E192" s="186"/>
      <c r="F192" s="186"/>
      <c r="G192" s="186"/>
      <c r="H192" s="186"/>
      <c r="I192" s="186"/>
      <c r="J192" s="186"/>
      <c r="K192" s="186"/>
      <c r="L192" s="186"/>
      <c r="M192" s="186"/>
      <c r="N192" s="186"/>
      <c r="O192" s="186"/>
      <c r="P192" s="186"/>
      <c r="Q192" s="186"/>
    </row>
    <row r="193" spans="2:17" x14ac:dyDescent="0.35">
      <c r="B193" s="186"/>
      <c r="C193" s="186"/>
      <c r="D193" s="186"/>
      <c r="E193" s="186"/>
      <c r="F193" s="186"/>
      <c r="G193" s="186"/>
      <c r="H193" s="186"/>
      <c r="I193" s="186"/>
      <c r="J193" s="186"/>
      <c r="K193" s="186"/>
      <c r="L193" s="186"/>
      <c r="M193" s="186"/>
      <c r="N193" s="186"/>
      <c r="O193" s="186"/>
      <c r="P193" s="186"/>
      <c r="Q193" s="186"/>
    </row>
    <row r="194" spans="2:17" x14ac:dyDescent="0.35">
      <c r="B194" s="186"/>
      <c r="C194" s="186"/>
      <c r="D194" s="186"/>
      <c r="E194" s="186"/>
      <c r="F194" s="186"/>
      <c r="G194" s="186"/>
      <c r="H194" s="186"/>
      <c r="I194" s="186"/>
      <c r="J194" s="186"/>
      <c r="K194" s="186"/>
      <c r="L194" s="186"/>
      <c r="M194" s="186"/>
      <c r="N194" s="186"/>
      <c r="O194" s="186"/>
      <c r="P194" s="186"/>
      <c r="Q194" s="186"/>
    </row>
    <row r="195" spans="2:17" x14ac:dyDescent="0.35">
      <c r="B195" s="186"/>
      <c r="C195" s="186"/>
      <c r="D195" s="186"/>
      <c r="E195" s="186"/>
      <c r="F195" s="186"/>
      <c r="G195" s="186"/>
      <c r="H195" s="186"/>
      <c r="I195" s="186"/>
      <c r="J195" s="186"/>
      <c r="K195" s="186"/>
      <c r="L195" s="186"/>
      <c r="M195" s="186"/>
      <c r="N195" s="186"/>
      <c r="O195" s="186"/>
      <c r="P195" s="186"/>
      <c r="Q195" s="186"/>
    </row>
    <row r="196" spans="2:17" x14ac:dyDescent="0.35">
      <c r="B196" s="186"/>
      <c r="C196" s="186"/>
      <c r="D196" s="186"/>
      <c r="E196" s="186"/>
      <c r="F196" s="186"/>
      <c r="G196" s="186"/>
      <c r="H196" s="186"/>
      <c r="I196" s="186"/>
      <c r="J196" s="186"/>
      <c r="K196" s="186"/>
      <c r="L196" s="186"/>
      <c r="M196" s="186"/>
      <c r="N196" s="186"/>
      <c r="O196" s="186"/>
      <c r="P196" s="186"/>
      <c r="Q196" s="186"/>
    </row>
    <row r="197" spans="2:17" x14ac:dyDescent="0.35">
      <c r="B197" s="186"/>
      <c r="C197" s="186"/>
      <c r="D197" s="186"/>
      <c r="E197" s="186"/>
      <c r="F197" s="186"/>
      <c r="G197" s="186"/>
      <c r="H197" s="186"/>
      <c r="I197" s="186"/>
      <c r="J197" s="186"/>
      <c r="K197" s="186"/>
      <c r="L197" s="186"/>
      <c r="M197" s="186"/>
      <c r="N197" s="186"/>
      <c r="O197" s="186"/>
      <c r="P197" s="186"/>
      <c r="Q197" s="186"/>
    </row>
    <row r="198" spans="2:17" x14ac:dyDescent="0.35">
      <c r="B198" s="186"/>
      <c r="C198" s="186"/>
      <c r="D198" s="186"/>
      <c r="E198" s="186"/>
      <c r="F198" s="186"/>
      <c r="G198" s="186"/>
      <c r="H198" s="186"/>
      <c r="I198" s="186"/>
      <c r="J198" s="186"/>
      <c r="K198" s="186"/>
      <c r="L198" s="186"/>
      <c r="M198" s="186"/>
      <c r="N198" s="186"/>
      <c r="O198" s="186"/>
      <c r="P198" s="186"/>
      <c r="Q198" s="186"/>
    </row>
    <row r="199" spans="2:17" x14ac:dyDescent="0.35">
      <c r="B199" s="186"/>
      <c r="C199" s="186"/>
      <c r="D199" s="186"/>
      <c r="E199" s="186"/>
      <c r="F199" s="186"/>
      <c r="G199" s="186"/>
      <c r="H199" s="186"/>
      <c r="I199" s="186"/>
      <c r="J199" s="186"/>
      <c r="K199" s="186"/>
      <c r="L199" s="186"/>
      <c r="M199" s="186"/>
      <c r="N199" s="186"/>
      <c r="O199" s="186"/>
      <c r="P199" s="186"/>
      <c r="Q199" s="186"/>
    </row>
    <row r="200" spans="2:17" x14ac:dyDescent="0.35">
      <c r="B200" s="186"/>
      <c r="C200" s="186"/>
      <c r="D200" s="186"/>
      <c r="E200" s="186"/>
      <c r="F200" s="186"/>
      <c r="G200" s="186"/>
      <c r="H200" s="186"/>
      <c r="I200" s="186"/>
      <c r="J200" s="186"/>
      <c r="K200" s="186"/>
      <c r="L200" s="186"/>
      <c r="M200" s="186"/>
      <c r="N200" s="186"/>
      <c r="O200" s="186"/>
      <c r="P200" s="186"/>
      <c r="Q200" s="186"/>
    </row>
    <row r="201" spans="2:17" x14ac:dyDescent="0.35">
      <c r="B201" s="186"/>
      <c r="C201" s="186"/>
      <c r="D201" s="186"/>
      <c r="E201" s="186"/>
      <c r="F201" s="186"/>
      <c r="G201" s="186"/>
      <c r="H201" s="186"/>
      <c r="I201" s="186"/>
      <c r="J201" s="186"/>
      <c r="K201" s="186"/>
      <c r="L201" s="186"/>
      <c r="M201" s="186"/>
      <c r="N201" s="186"/>
      <c r="O201" s="186"/>
      <c r="P201" s="186"/>
      <c r="Q201" s="186"/>
    </row>
    <row r="202" spans="2:17" x14ac:dyDescent="0.35">
      <c r="B202" s="186"/>
      <c r="C202" s="186"/>
      <c r="D202" s="186"/>
      <c r="E202" s="186"/>
      <c r="F202" s="186"/>
      <c r="G202" s="186"/>
      <c r="H202" s="186"/>
      <c r="I202" s="186"/>
      <c r="J202" s="186"/>
      <c r="K202" s="186"/>
      <c r="L202" s="186"/>
      <c r="M202" s="186"/>
      <c r="N202" s="186"/>
      <c r="O202" s="186"/>
      <c r="P202" s="186"/>
      <c r="Q202" s="186"/>
    </row>
    <row r="203" spans="2:17" x14ac:dyDescent="0.35">
      <c r="B203" s="186"/>
      <c r="C203" s="186"/>
      <c r="D203" s="186"/>
      <c r="E203" s="186"/>
      <c r="F203" s="186"/>
      <c r="G203" s="186"/>
      <c r="H203" s="186"/>
      <c r="I203" s="186"/>
      <c r="J203" s="186"/>
      <c r="K203" s="186"/>
      <c r="L203" s="186"/>
      <c r="M203" s="186"/>
      <c r="N203" s="186"/>
      <c r="O203" s="186"/>
      <c r="P203" s="186"/>
      <c r="Q203" s="186"/>
    </row>
    <row r="204" spans="2:17" x14ac:dyDescent="0.35">
      <c r="B204" s="186"/>
      <c r="C204" s="186"/>
      <c r="D204" s="186"/>
      <c r="E204" s="186"/>
      <c r="F204" s="186"/>
      <c r="G204" s="186"/>
      <c r="H204" s="186"/>
      <c r="I204" s="186"/>
      <c r="J204" s="186"/>
      <c r="K204" s="186"/>
      <c r="L204" s="186"/>
      <c r="M204" s="186"/>
      <c r="N204" s="186"/>
      <c r="O204" s="186"/>
      <c r="P204" s="186"/>
      <c r="Q204" s="186"/>
    </row>
    <row r="205" spans="2:17" x14ac:dyDescent="0.35">
      <c r="B205" s="186"/>
      <c r="C205" s="186"/>
      <c r="D205" s="186"/>
      <c r="E205" s="186"/>
      <c r="F205" s="186"/>
      <c r="G205" s="186"/>
      <c r="H205" s="186"/>
      <c r="I205" s="186"/>
      <c r="J205" s="186"/>
      <c r="K205" s="186"/>
      <c r="L205" s="186"/>
      <c r="M205" s="186"/>
      <c r="N205" s="186"/>
      <c r="O205" s="186"/>
      <c r="P205" s="186"/>
      <c r="Q205" s="186"/>
    </row>
    <row r="206" spans="2:17" x14ac:dyDescent="0.35">
      <c r="B206" s="186"/>
      <c r="C206" s="186"/>
      <c r="D206" s="186"/>
      <c r="E206" s="186"/>
      <c r="F206" s="186"/>
      <c r="G206" s="186"/>
      <c r="H206" s="186"/>
      <c r="I206" s="186"/>
      <c r="J206" s="186"/>
      <c r="K206" s="186"/>
      <c r="L206" s="186"/>
      <c r="M206" s="186"/>
      <c r="N206" s="186"/>
      <c r="O206" s="186"/>
      <c r="P206" s="186"/>
      <c r="Q206" s="186"/>
    </row>
    <row r="207" spans="2:17" x14ac:dyDescent="0.35">
      <c r="B207" s="186"/>
      <c r="C207" s="186"/>
      <c r="D207" s="186"/>
      <c r="E207" s="186"/>
      <c r="F207" s="186"/>
      <c r="G207" s="186"/>
      <c r="H207" s="186"/>
      <c r="I207" s="186"/>
      <c r="J207" s="186"/>
      <c r="K207" s="186"/>
      <c r="L207" s="186"/>
      <c r="M207" s="186"/>
      <c r="N207" s="186"/>
      <c r="O207" s="186"/>
      <c r="P207" s="186"/>
      <c r="Q207" s="186"/>
    </row>
    <row r="208" spans="2:17" x14ac:dyDescent="0.35">
      <c r="B208" s="186"/>
      <c r="C208" s="186"/>
      <c r="D208" s="186"/>
      <c r="E208" s="186"/>
      <c r="F208" s="186"/>
      <c r="G208" s="186"/>
      <c r="H208" s="186"/>
      <c r="I208" s="186"/>
      <c r="J208" s="186"/>
      <c r="K208" s="186"/>
      <c r="L208" s="186"/>
      <c r="M208" s="186"/>
      <c r="N208" s="186"/>
      <c r="O208" s="186"/>
      <c r="P208" s="186"/>
      <c r="Q208" s="186"/>
    </row>
    <row r="209" spans="2:17" x14ac:dyDescent="0.35">
      <c r="B209" s="186"/>
      <c r="C209" s="186"/>
      <c r="D209" s="186"/>
      <c r="E209" s="186"/>
      <c r="F209" s="186"/>
      <c r="G209" s="186"/>
      <c r="H209" s="186"/>
      <c r="I209" s="186"/>
      <c r="J209" s="186"/>
      <c r="K209" s="186"/>
      <c r="L209" s="186"/>
      <c r="M209" s="186"/>
      <c r="N209" s="186"/>
      <c r="O209" s="186"/>
      <c r="P209" s="186"/>
      <c r="Q209" s="186"/>
    </row>
    <row r="210" spans="2:17" x14ac:dyDescent="0.35">
      <c r="B210" s="186"/>
      <c r="C210" s="186"/>
      <c r="D210" s="186"/>
      <c r="E210" s="186"/>
      <c r="F210" s="186"/>
      <c r="G210" s="186"/>
      <c r="H210" s="186"/>
      <c r="I210" s="186"/>
      <c r="J210" s="186"/>
      <c r="K210" s="186"/>
      <c r="L210" s="186"/>
      <c r="M210" s="186"/>
      <c r="N210" s="186"/>
      <c r="O210" s="186"/>
      <c r="P210" s="186"/>
      <c r="Q210" s="186"/>
    </row>
    <row r="211" spans="2:17" x14ac:dyDescent="0.35">
      <c r="B211" s="186"/>
      <c r="C211" s="186"/>
      <c r="D211" s="186"/>
      <c r="E211" s="186"/>
      <c r="F211" s="186"/>
      <c r="G211" s="186"/>
      <c r="H211" s="186"/>
      <c r="I211" s="186"/>
      <c r="J211" s="186"/>
      <c r="K211" s="186"/>
      <c r="L211" s="186"/>
      <c r="M211" s="186"/>
      <c r="N211" s="186"/>
      <c r="O211" s="186"/>
      <c r="P211" s="186"/>
      <c r="Q211" s="186"/>
    </row>
    <row r="212" spans="2:17" x14ac:dyDescent="0.35">
      <c r="B212" s="186"/>
      <c r="C212" s="186"/>
      <c r="D212" s="186"/>
      <c r="E212" s="186"/>
      <c r="F212" s="186"/>
      <c r="G212" s="186"/>
      <c r="H212" s="186"/>
      <c r="I212" s="186"/>
      <c r="J212" s="186"/>
      <c r="K212" s="186"/>
      <c r="L212" s="186"/>
      <c r="M212" s="186"/>
      <c r="N212" s="186"/>
      <c r="O212" s="186"/>
      <c r="P212" s="186"/>
      <c r="Q212" s="186"/>
    </row>
    <row r="213" spans="2:17" x14ac:dyDescent="0.35">
      <c r="B213" s="186"/>
      <c r="C213" s="186"/>
      <c r="D213" s="186"/>
      <c r="E213" s="186"/>
      <c r="F213" s="186"/>
      <c r="G213" s="186"/>
      <c r="H213" s="186"/>
      <c r="I213" s="186"/>
      <c r="J213" s="186"/>
      <c r="K213" s="186"/>
      <c r="L213" s="186"/>
      <c r="M213" s="186"/>
      <c r="N213" s="186"/>
      <c r="O213" s="186"/>
      <c r="P213" s="186"/>
      <c r="Q213" s="186"/>
    </row>
    <row r="214" spans="2:17" x14ac:dyDescent="0.35">
      <c r="B214" s="186"/>
      <c r="C214" s="186"/>
      <c r="D214" s="186"/>
      <c r="E214" s="186"/>
      <c r="F214" s="186"/>
      <c r="G214" s="186"/>
      <c r="H214" s="186"/>
      <c r="I214" s="186"/>
      <c r="J214" s="186"/>
      <c r="K214" s="186"/>
      <c r="L214" s="186"/>
      <c r="M214" s="186"/>
      <c r="N214" s="186"/>
      <c r="O214" s="186"/>
      <c r="P214" s="186"/>
      <c r="Q214" s="186"/>
    </row>
    <row r="215" spans="2:17" x14ac:dyDescent="0.35">
      <c r="B215" s="186"/>
      <c r="C215" s="186"/>
      <c r="D215" s="186"/>
      <c r="E215" s="186"/>
      <c r="F215" s="186"/>
      <c r="G215" s="186"/>
      <c r="H215" s="186"/>
      <c r="I215" s="186"/>
      <c r="J215" s="186"/>
      <c r="K215" s="186"/>
      <c r="L215" s="186"/>
      <c r="M215" s="186"/>
      <c r="N215" s="186"/>
      <c r="O215" s="186"/>
      <c r="P215" s="186"/>
      <c r="Q215" s="186"/>
    </row>
    <row r="216" spans="2:17" x14ac:dyDescent="0.35">
      <c r="B216" s="186"/>
      <c r="C216" s="186"/>
      <c r="D216" s="186"/>
      <c r="E216" s="186"/>
      <c r="F216" s="186"/>
      <c r="G216" s="186"/>
      <c r="H216" s="186"/>
      <c r="I216" s="186"/>
      <c r="J216" s="186"/>
      <c r="K216" s="186"/>
      <c r="L216" s="186"/>
      <c r="M216" s="186"/>
      <c r="N216" s="186"/>
      <c r="O216" s="186"/>
      <c r="P216" s="186"/>
      <c r="Q216" s="186"/>
    </row>
    <row r="217" spans="2:17" x14ac:dyDescent="0.35">
      <c r="B217" s="186"/>
      <c r="C217" s="186"/>
      <c r="D217" s="186"/>
      <c r="E217" s="186"/>
      <c r="F217" s="186"/>
      <c r="G217" s="186"/>
      <c r="H217" s="186"/>
      <c r="I217" s="186"/>
      <c r="J217" s="186"/>
      <c r="K217" s="186"/>
      <c r="L217" s="186"/>
      <c r="M217" s="186"/>
      <c r="N217" s="186"/>
      <c r="O217" s="186"/>
      <c r="P217" s="186"/>
      <c r="Q217" s="186"/>
    </row>
    <row r="218" spans="2:17" x14ac:dyDescent="0.35">
      <c r="B218" s="186"/>
      <c r="C218" s="186"/>
      <c r="D218" s="186"/>
      <c r="E218" s="186"/>
      <c r="F218" s="186"/>
      <c r="G218" s="186"/>
      <c r="H218" s="186"/>
      <c r="I218" s="186"/>
      <c r="J218" s="186"/>
      <c r="K218" s="186"/>
      <c r="L218" s="186"/>
      <c r="M218" s="186"/>
      <c r="N218" s="186"/>
      <c r="O218" s="186"/>
      <c r="P218" s="186"/>
      <c r="Q218" s="186"/>
    </row>
    <row r="219" spans="2:17" x14ac:dyDescent="0.35">
      <c r="B219" s="186"/>
      <c r="C219" s="186"/>
      <c r="D219" s="186"/>
      <c r="E219" s="186"/>
      <c r="F219" s="186"/>
      <c r="G219" s="186"/>
      <c r="H219" s="186"/>
      <c r="I219" s="186"/>
      <c r="J219" s="186"/>
      <c r="K219" s="186"/>
      <c r="L219" s="186"/>
      <c r="M219" s="186"/>
      <c r="N219" s="186"/>
      <c r="O219" s="186"/>
      <c r="P219" s="186"/>
      <c r="Q219" s="186"/>
    </row>
    <row r="220" spans="2:17" x14ac:dyDescent="0.35">
      <c r="B220" s="186"/>
      <c r="C220" s="186"/>
      <c r="D220" s="186"/>
      <c r="E220" s="186"/>
      <c r="F220" s="186"/>
      <c r="G220" s="186"/>
      <c r="H220" s="186"/>
      <c r="I220" s="186"/>
      <c r="J220" s="186"/>
      <c r="K220" s="186"/>
      <c r="L220" s="186"/>
      <c r="M220" s="186"/>
      <c r="N220" s="186"/>
      <c r="O220" s="186"/>
      <c r="P220" s="186"/>
      <c r="Q220" s="186"/>
    </row>
    <row r="221" spans="2:17" x14ac:dyDescent="0.35">
      <c r="B221" s="186"/>
      <c r="C221" s="186"/>
      <c r="D221" s="186"/>
      <c r="E221" s="186"/>
      <c r="F221" s="186"/>
      <c r="G221" s="186"/>
      <c r="H221" s="186"/>
      <c r="I221" s="186"/>
      <c r="J221" s="186"/>
      <c r="K221" s="186"/>
      <c r="L221" s="186"/>
      <c r="M221" s="186"/>
      <c r="N221" s="186"/>
      <c r="O221" s="186"/>
      <c r="P221" s="186"/>
      <c r="Q221" s="186"/>
    </row>
    <row r="222" spans="2:17" x14ac:dyDescent="0.35">
      <c r="B222" s="186"/>
      <c r="C222" s="186"/>
      <c r="D222" s="186"/>
      <c r="E222" s="186"/>
      <c r="F222" s="186"/>
      <c r="G222" s="186"/>
      <c r="H222" s="186"/>
      <c r="I222" s="186"/>
      <c r="J222" s="186"/>
      <c r="K222" s="186"/>
      <c r="L222" s="186"/>
      <c r="M222" s="186"/>
      <c r="N222" s="186"/>
      <c r="O222" s="186"/>
      <c r="P222" s="186"/>
      <c r="Q222" s="186"/>
    </row>
    <row r="223" spans="2:17" x14ac:dyDescent="0.35">
      <c r="B223" s="186"/>
      <c r="C223" s="186"/>
      <c r="D223" s="186"/>
      <c r="E223" s="186"/>
      <c r="F223" s="186"/>
      <c r="G223" s="186"/>
      <c r="H223" s="186"/>
      <c r="I223" s="186"/>
      <c r="J223" s="186"/>
      <c r="K223" s="186"/>
      <c r="L223" s="186"/>
      <c r="M223" s="186"/>
      <c r="N223" s="186"/>
      <c r="O223" s="186"/>
      <c r="P223" s="186"/>
      <c r="Q223" s="186"/>
    </row>
    <row r="224" spans="2:17" x14ac:dyDescent="0.35">
      <c r="B224" s="186"/>
      <c r="C224" s="186"/>
      <c r="D224" s="186"/>
      <c r="E224" s="186"/>
      <c r="F224" s="186"/>
      <c r="G224" s="186"/>
      <c r="H224" s="186"/>
      <c r="I224" s="186"/>
      <c r="J224" s="186"/>
      <c r="K224" s="186"/>
      <c r="L224" s="186"/>
      <c r="M224" s="186"/>
      <c r="N224" s="186"/>
      <c r="O224" s="186"/>
      <c r="P224" s="186"/>
      <c r="Q224" s="186"/>
    </row>
    <row r="225" spans="2:17" x14ac:dyDescent="0.35">
      <c r="B225" s="186"/>
      <c r="C225" s="186"/>
      <c r="D225" s="186"/>
      <c r="E225" s="186"/>
      <c r="F225" s="186"/>
      <c r="G225" s="186"/>
      <c r="H225" s="186"/>
      <c r="I225" s="186"/>
      <c r="J225" s="186"/>
      <c r="K225" s="186"/>
      <c r="L225" s="186"/>
      <c r="M225" s="186"/>
      <c r="N225" s="186"/>
      <c r="O225" s="186"/>
      <c r="P225" s="186"/>
      <c r="Q225" s="186"/>
    </row>
    <row r="226" spans="2:17" x14ac:dyDescent="0.35">
      <c r="B226" s="186"/>
      <c r="C226" s="186"/>
      <c r="D226" s="186"/>
      <c r="E226" s="186"/>
      <c r="F226" s="186"/>
      <c r="G226" s="186"/>
      <c r="H226" s="186"/>
      <c r="I226" s="186"/>
      <c r="J226" s="186"/>
      <c r="K226" s="186"/>
      <c r="L226" s="186"/>
      <c r="M226" s="186"/>
      <c r="N226" s="186"/>
      <c r="O226" s="186"/>
      <c r="P226" s="186"/>
      <c r="Q226" s="186"/>
    </row>
    <row r="227" spans="2:17" x14ac:dyDescent="0.35">
      <c r="B227" s="186"/>
      <c r="C227" s="186"/>
      <c r="D227" s="186"/>
      <c r="E227" s="186"/>
      <c r="F227" s="186"/>
      <c r="G227" s="186"/>
      <c r="H227" s="186"/>
      <c r="I227" s="186"/>
      <c r="J227" s="186"/>
      <c r="K227" s="186"/>
      <c r="L227" s="186"/>
      <c r="M227" s="186"/>
      <c r="N227" s="186"/>
      <c r="O227" s="186"/>
      <c r="P227" s="186"/>
      <c r="Q227" s="186"/>
    </row>
    <row r="228" spans="2:17" x14ac:dyDescent="0.35">
      <c r="B228" s="186"/>
      <c r="C228" s="186"/>
      <c r="D228" s="186"/>
      <c r="E228" s="186"/>
      <c r="F228" s="186"/>
      <c r="G228" s="186"/>
      <c r="H228" s="186"/>
      <c r="I228" s="186"/>
      <c r="J228" s="186"/>
      <c r="K228" s="186"/>
      <c r="L228" s="186"/>
      <c r="M228" s="186"/>
      <c r="N228" s="186"/>
      <c r="O228" s="186"/>
      <c r="P228" s="186"/>
      <c r="Q228" s="186"/>
    </row>
    <row r="229" spans="2:17" x14ac:dyDescent="0.35">
      <c r="B229" s="186"/>
      <c r="C229" s="186"/>
      <c r="D229" s="186"/>
      <c r="E229" s="186"/>
      <c r="F229" s="186"/>
      <c r="G229" s="186"/>
      <c r="H229" s="186"/>
      <c r="I229" s="186"/>
      <c r="J229" s="186"/>
      <c r="K229" s="186"/>
      <c r="L229" s="186"/>
      <c r="M229" s="186"/>
      <c r="N229" s="186"/>
      <c r="O229" s="186"/>
      <c r="P229" s="186"/>
      <c r="Q229" s="186"/>
    </row>
    <row r="230" spans="2:17" x14ac:dyDescent="0.35">
      <c r="B230" s="186"/>
      <c r="C230" s="186"/>
      <c r="D230" s="186"/>
      <c r="E230" s="186"/>
      <c r="F230" s="186"/>
      <c r="G230" s="186"/>
      <c r="H230" s="186"/>
      <c r="I230" s="186"/>
      <c r="J230" s="186"/>
      <c r="K230" s="186"/>
      <c r="L230" s="186"/>
      <c r="M230" s="186"/>
      <c r="N230" s="186"/>
      <c r="O230" s="186"/>
      <c r="P230" s="186"/>
      <c r="Q230" s="186"/>
    </row>
    <row r="231" spans="2:17" x14ac:dyDescent="0.35">
      <c r="B231" s="186"/>
      <c r="C231" s="186"/>
      <c r="D231" s="186"/>
      <c r="E231" s="186"/>
      <c r="F231" s="186"/>
      <c r="G231" s="186"/>
      <c r="H231" s="186"/>
      <c r="I231" s="186"/>
      <c r="J231" s="186"/>
      <c r="K231" s="186"/>
      <c r="L231" s="186"/>
      <c r="M231" s="186"/>
      <c r="N231" s="186"/>
      <c r="O231" s="186"/>
      <c r="P231" s="186"/>
      <c r="Q231" s="186"/>
    </row>
    <row r="232" spans="2:17" x14ac:dyDescent="0.35">
      <c r="B232" s="186"/>
      <c r="C232" s="186"/>
      <c r="D232" s="186"/>
      <c r="E232" s="186"/>
      <c r="F232" s="186"/>
      <c r="G232" s="186"/>
      <c r="H232" s="186"/>
      <c r="I232" s="186"/>
      <c r="J232" s="186"/>
      <c r="K232" s="186"/>
      <c r="L232" s="186"/>
      <c r="M232" s="186"/>
      <c r="N232" s="186"/>
      <c r="O232" s="186"/>
      <c r="P232" s="186"/>
      <c r="Q232" s="186"/>
    </row>
    <row r="233" spans="2:17" x14ac:dyDescent="0.35">
      <c r="B233" s="186"/>
      <c r="C233" s="186"/>
      <c r="D233" s="186"/>
      <c r="E233" s="186"/>
      <c r="F233" s="186"/>
      <c r="G233" s="186"/>
      <c r="H233" s="186"/>
      <c r="I233" s="186"/>
      <c r="J233" s="186"/>
      <c r="K233" s="186"/>
      <c r="L233" s="186"/>
      <c r="M233" s="186"/>
      <c r="N233" s="186"/>
      <c r="O233" s="186"/>
      <c r="P233" s="186"/>
      <c r="Q233" s="186"/>
    </row>
    <row r="234" spans="2:17" x14ac:dyDescent="0.35">
      <c r="B234" s="186"/>
      <c r="C234" s="186"/>
      <c r="D234" s="186"/>
      <c r="E234" s="186"/>
      <c r="F234" s="186"/>
      <c r="G234" s="186"/>
      <c r="H234" s="186"/>
      <c r="I234" s="186"/>
      <c r="J234" s="186"/>
      <c r="K234" s="186"/>
      <c r="L234" s="186"/>
      <c r="M234" s="186"/>
      <c r="N234" s="186"/>
      <c r="O234" s="186"/>
      <c r="P234" s="186"/>
      <c r="Q234" s="186"/>
    </row>
    <row r="235" spans="2:17" x14ac:dyDescent="0.35">
      <c r="B235" s="186"/>
      <c r="C235" s="186"/>
      <c r="D235" s="186"/>
      <c r="E235" s="186"/>
      <c r="F235" s="186"/>
      <c r="G235" s="186"/>
      <c r="H235" s="186"/>
      <c r="I235" s="186"/>
      <c r="J235" s="186"/>
      <c r="K235" s="186"/>
      <c r="L235" s="186"/>
      <c r="M235" s="186"/>
      <c r="N235" s="186"/>
      <c r="O235" s="186"/>
      <c r="P235" s="186"/>
      <c r="Q235" s="186"/>
    </row>
    <row r="236" spans="2:17" x14ac:dyDescent="0.35">
      <c r="B236" s="186"/>
      <c r="C236" s="186"/>
      <c r="D236" s="186"/>
      <c r="E236" s="186"/>
      <c r="F236" s="186"/>
      <c r="G236" s="186"/>
      <c r="H236" s="186"/>
      <c r="I236" s="186"/>
      <c r="J236" s="186"/>
      <c r="K236" s="186"/>
      <c r="L236" s="186"/>
      <c r="M236" s="186"/>
      <c r="N236" s="186"/>
      <c r="O236" s="186"/>
      <c r="P236" s="186"/>
      <c r="Q236" s="186"/>
    </row>
    <row r="237" spans="2:17" x14ac:dyDescent="0.35">
      <c r="B237" s="186"/>
      <c r="C237" s="186"/>
      <c r="D237" s="186"/>
      <c r="E237" s="186"/>
      <c r="F237" s="186"/>
      <c r="G237" s="186"/>
      <c r="H237" s="186"/>
      <c r="I237" s="186"/>
      <c r="J237" s="186"/>
      <c r="K237" s="186"/>
      <c r="L237" s="186"/>
      <c r="M237" s="186"/>
      <c r="N237" s="186"/>
      <c r="O237" s="186"/>
      <c r="P237" s="186"/>
      <c r="Q237" s="186"/>
    </row>
    <row r="238" spans="2:17" x14ac:dyDescent="0.35">
      <c r="B238" s="186"/>
      <c r="C238" s="186"/>
      <c r="D238" s="186"/>
      <c r="E238" s="186"/>
      <c r="F238" s="186"/>
      <c r="G238" s="186"/>
      <c r="H238" s="186"/>
      <c r="I238" s="186"/>
      <c r="J238" s="186"/>
      <c r="K238" s="186"/>
      <c r="L238" s="186"/>
      <c r="M238" s="186"/>
      <c r="N238" s="186"/>
      <c r="O238" s="186"/>
      <c r="P238" s="186"/>
      <c r="Q238" s="186"/>
    </row>
    <row r="239" spans="2:17" x14ac:dyDescent="0.35">
      <c r="B239" s="186"/>
      <c r="C239" s="186"/>
      <c r="D239" s="186"/>
      <c r="E239" s="186"/>
      <c r="F239" s="186"/>
      <c r="G239" s="186"/>
      <c r="H239" s="186"/>
      <c r="I239" s="186"/>
      <c r="J239" s="186"/>
      <c r="K239" s="186"/>
      <c r="L239" s="186"/>
      <c r="M239" s="186"/>
      <c r="N239" s="186"/>
      <c r="O239" s="186"/>
      <c r="P239" s="186"/>
      <c r="Q239" s="186"/>
    </row>
    <row r="240" spans="2:17" x14ac:dyDescent="0.35">
      <c r="B240" s="186"/>
      <c r="C240" s="186"/>
      <c r="D240" s="186"/>
      <c r="E240" s="186"/>
      <c r="F240" s="186"/>
      <c r="G240" s="186"/>
      <c r="H240" s="186"/>
      <c r="I240" s="186"/>
      <c r="J240" s="186"/>
      <c r="K240" s="186"/>
      <c r="L240" s="186"/>
      <c r="M240" s="186"/>
      <c r="N240" s="186"/>
      <c r="O240" s="186"/>
      <c r="P240" s="186"/>
      <c r="Q240" s="186"/>
    </row>
    <row r="241" spans="2:17" x14ac:dyDescent="0.35">
      <c r="B241" s="186"/>
      <c r="C241" s="186"/>
      <c r="D241" s="186"/>
      <c r="E241" s="186"/>
      <c r="F241" s="186"/>
      <c r="G241" s="186"/>
      <c r="H241" s="186"/>
      <c r="I241" s="186"/>
      <c r="J241" s="186"/>
      <c r="K241" s="186"/>
      <c r="L241" s="186"/>
      <c r="M241" s="186"/>
      <c r="N241" s="186"/>
      <c r="O241" s="186"/>
      <c r="P241" s="186"/>
      <c r="Q241" s="186"/>
    </row>
    <row r="242" spans="2:17" x14ac:dyDescent="0.35">
      <c r="B242" s="186"/>
      <c r="C242" s="186"/>
      <c r="D242" s="186"/>
      <c r="E242" s="186"/>
      <c r="F242" s="186"/>
      <c r="G242" s="186"/>
      <c r="H242" s="186"/>
      <c r="I242" s="186"/>
      <c r="J242" s="186"/>
      <c r="K242" s="186"/>
      <c r="L242" s="186"/>
      <c r="M242" s="186"/>
      <c r="N242" s="186"/>
      <c r="O242" s="186"/>
      <c r="P242" s="186"/>
      <c r="Q242" s="186"/>
    </row>
    <row r="243" spans="2:17" x14ac:dyDescent="0.35">
      <c r="B243" s="186"/>
      <c r="C243" s="186"/>
      <c r="D243" s="186"/>
      <c r="E243" s="186"/>
      <c r="F243" s="186"/>
      <c r="G243" s="186"/>
      <c r="H243" s="186"/>
      <c r="I243" s="186"/>
      <c r="J243" s="186"/>
      <c r="K243" s="186"/>
      <c r="L243" s="186"/>
      <c r="M243" s="186"/>
      <c r="N243" s="186"/>
      <c r="O243" s="186"/>
      <c r="P243" s="186"/>
      <c r="Q243" s="186"/>
    </row>
    <row r="244" spans="2:17" x14ac:dyDescent="0.35">
      <c r="B244" s="186"/>
      <c r="C244" s="186"/>
      <c r="D244" s="186"/>
      <c r="E244" s="186"/>
      <c r="F244" s="186"/>
      <c r="G244" s="186"/>
      <c r="H244" s="186"/>
      <c r="I244" s="186"/>
      <c r="J244" s="186"/>
      <c r="K244" s="186"/>
      <c r="L244" s="186"/>
      <c r="M244" s="186"/>
      <c r="N244" s="186"/>
      <c r="O244" s="186"/>
      <c r="P244" s="186"/>
      <c r="Q244" s="186"/>
    </row>
    <row r="245" spans="2:17" x14ac:dyDescent="0.35">
      <c r="B245" s="186"/>
      <c r="C245" s="186"/>
      <c r="D245" s="186"/>
      <c r="E245" s="186"/>
      <c r="F245" s="186"/>
      <c r="G245" s="186"/>
      <c r="H245" s="186"/>
      <c r="I245" s="186"/>
      <c r="J245" s="186"/>
      <c r="K245" s="186"/>
      <c r="L245" s="186"/>
      <c r="M245" s="186"/>
      <c r="N245" s="186"/>
      <c r="O245" s="186"/>
      <c r="P245" s="186"/>
      <c r="Q245" s="186"/>
    </row>
    <row r="246" spans="2:17" x14ac:dyDescent="0.35">
      <c r="B246" s="186"/>
      <c r="C246" s="186"/>
      <c r="D246" s="186"/>
      <c r="E246" s="186"/>
      <c r="F246" s="186"/>
      <c r="G246" s="186"/>
      <c r="H246" s="186"/>
      <c r="I246" s="186"/>
      <c r="J246" s="186"/>
      <c r="K246" s="186"/>
      <c r="L246" s="186"/>
      <c r="M246" s="186"/>
      <c r="N246" s="186"/>
      <c r="O246" s="186"/>
      <c r="P246" s="186"/>
      <c r="Q246" s="186"/>
    </row>
    <row r="247" spans="2:17" x14ac:dyDescent="0.35">
      <c r="B247" s="186"/>
      <c r="C247" s="186"/>
      <c r="D247" s="186"/>
      <c r="E247" s="186"/>
      <c r="F247" s="186"/>
      <c r="G247" s="186"/>
      <c r="H247" s="186"/>
      <c r="I247" s="186"/>
      <c r="J247" s="186"/>
      <c r="K247" s="186"/>
      <c r="L247" s="186"/>
      <c r="M247" s="186"/>
      <c r="N247" s="186"/>
      <c r="O247" s="186"/>
      <c r="P247" s="186"/>
      <c r="Q247" s="186"/>
    </row>
    <row r="248" spans="2:17" x14ac:dyDescent="0.35">
      <c r="B248" s="186"/>
      <c r="C248" s="186"/>
      <c r="D248" s="186"/>
      <c r="E248" s="186"/>
      <c r="F248" s="186"/>
      <c r="G248" s="186"/>
      <c r="H248" s="186"/>
      <c r="I248" s="186"/>
      <c r="J248" s="186"/>
      <c r="K248" s="186"/>
      <c r="L248" s="186"/>
      <c r="M248" s="186"/>
      <c r="N248" s="186"/>
      <c r="O248" s="186"/>
      <c r="P248" s="186"/>
      <c r="Q248" s="186"/>
    </row>
    <row r="249" spans="2:17" x14ac:dyDescent="0.35">
      <c r="B249" s="186"/>
      <c r="C249" s="186"/>
      <c r="D249" s="186"/>
      <c r="E249" s="186"/>
      <c r="F249" s="186"/>
      <c r="G249" s="186"/>
      <c r="H249" s="186"/>
      <c r="I249" s="186"/>
      <c r="J249" s="186"/>
      <c r="K249" s="186"/>
      <c r="L249" s="186"/>
      <c r="M249" s="186"/>
      <c r="N249" s="186"/>
      <c r="O249" s="186"/>
      <c r="P249" s="186"/>
      <c r="Q249" s="186"/>
    </row>
    <row r="250" spans="2:17" x14ac:dyDescent="0.35">
      <c r="B250" s="186"/>
      <c r="C250" s="186"/>
      <c r="D250" s="186"/>
      <c r="E250" s="186"/>
      <c r="F250" s="186"/>
      <c r="G250" s="186"/>
      <c r="H250" s="186"/>
      <c r="I250" s="186"/>
      <c r="J250" s="186"/>
      <c r="K250" s="186"/>
      <c r="L250" s="186"/>
      <c r="M250" s="186"/>
      <c r="N250" s="186"/>
      <c r="O250" s="186"/>
      <c r="P250" s="186"/>
      <c r="Q250" s="186"/>
    </row>
    <row r="251" spans="2:17" x14ac:dyDescent="0.35">
      <c r="B251" s="186"/>
      <c r="C251" s="186"/>
      <c r="D251" s="186"/>
      <c r="E251" s="186"/>
      <c r="F251" s="186"/>
      <c r="G251" s="186"/>
      <c r="H251" s="186"/>
      <c r="I251" s="186"/>
      <c r="J251" s="186"/>
      <c r="K251" s="186"/>
      <c r="L251" s="186"/>
      <c r="M251" s="186"/>
      <c r="N251" s="186"/>
      <c r="O251" s="186"/>
      <c r="P251" s="186"/>
      <c r="Q251" s="186"/>
    </row>
    <row r="252" spans="2:17" x14ac:dyDescent="0.35">
      <c r="B252" s="186"/>
      <c r="C252" s="186"/>
      <c r="D252" s="186"/>
      <c r="E252" s="186"/>
      <c r="F252" s="186"/>
      <c r="G252" s="186"/>
      <c r="H252" s="186"/>
      <c r="I252" s="186"/>
      <c r="J252" s="186"/>
      <c r="K252" s="186"/>
      <c r="L252" s="186"/>
      <c r="M252" s="186"/>
      <c r="N252" s="186"/>
      <c r="O252" s="186"/>
      <c r="P252" s="186"/>
      <c r="Q252" s="186"/>
    </row>
    <row r="253" spans="2:17" x14ac:dyDescent="0.35">
      <c r="B253" s="186"/>
      <c r="C253" s="186"/>
      <c r="D253" s="186"/>
      <c r="E253" s="186"/>
      <c r="F253" s="186"/>
      <c r="G253" s="186"/>
      <c r="H253" s="186"/>
      <c r="I253" s="186"/>
      <c r="J253" s="186"/>
      <c r="K253" s="186"/>
      <c r="L253" s="186"/>
      <c r="M253" s="186"/>
      <c r="N253" s="186"/>
      <c r="O253" s="186"/>
      <c r="P253" s="186"/>
      <c r="Q253" s="186"/>
    </row>
    <row r="254" spans="2:17" x14ac:dyDescent="0.35">
      <c r="B254" s="186"/>
      <c r="C254" s="186"/>
      <c r="D254" s="186"/>
      <c r="E254" s="186"/>
      <c r="F254" s="186"/>
      <c r="G254" s="186"/>
      <c r="H254" s="186"/>
      <c r="I254" s="186"/>
      <c r="J254" s="186"/>
      <c r="K254" s="186"/>
      <c r="L254" s="186"/>
      <c r="M254" s="186"/>
      <c r="N254" s="186"/>
      <c r="O254" s="186"/>
      <c r="P254" s="186"/>
      <c r="Q254" s="186"/>
    </row>
    <row r="255" spans="2:17" x14ac:dyDescent="0.35">
      <c r="B255" s="186"/>
      <c r="C255" s="186"/>
      <c r="D255" s="186"/>
      <c r="E255" s="186"/>
      <c r="F255" s="186"/>
      <c r="G255" s="186"/>
      <c r="H255" s="186"/>
      <c r="I255" s="186"/>
      <c r="J255" s="186"/>
      <c r="K255" s="186"/>
      <c r="L255" s="186"/>
      <c r="M255" s="186"/>
      <c r="N255" s="186"/>
      <c r="O255" s="186"/>
      <c r="P255" s="186"/>
      <c r="Q255" s="186"/>
    </row>
    <row r="256" spans="2:17" x14ac:dyDescent="0.35">
      <c r="B256" s="186"/>
      <c r="C256" s="186"/>
      <c r="D256" s="186"/>
      <c r="E256" s="186"/>
      <c r="F256" s="186"/>
      <c r="G256" s="186"/>
      <c r="H256" s="186"/>
      <c r="I256" s="186"/>
      <c r="J256" s="186"/>
      <c r="K256" s="186"/>
      <c r="L256" s="186"/>
      <c r="M256" s="186"/>
      <c r="N256" s="186"/>
      <c r="O256" s="186"/>
      <c r="P256" s="186"/>
      <c r="Q256" s="186"/>
    </row>
    <row r="257" spans="2:17" x14ac:dyDescent="0.35">
      <c r="B257" s="186"/>
      <c r="C257" s="186"/>
      <c r="D257" s="186"/>
      <c r="E257" s="186"/>
      <c r="F257" s="186"/>
      <c r="G257" s="186"/>
      <c r="H257" s="186"/>
      <c r="I257" s="186"/>
      <c r="J257" s="186"/>
      <c r="K257" s="186"/>
      <c r="L257" s="186"/>
      <c r="M257" s="186"/>
      <c r="N257" s="186"/>
      <c r="O257" s="186"/>
      <c r="P257" s="186"/>
      <c r="Q257" s="186"/>
    </row>
    <row r="258" spans="2:17" x14ac:dyDescent="0.35">
      <c r="B258" s="186"/>
      <c r="C258" s="186"/>
      <c r="D258" s="186"/>
      <c r="E258" s="186"/>
      <c r="F258" s="186"/>
      <c r="G258" s="186"/>
      <c r="H258" s="186"/>
      <c r="I258" s="186"/>
      <c r="J258" s="186"/>
      <c r="K258" s="186"/>
      <c r="L258" s="186"/>
      <c r="M258" s="186"/>
      <c r="N258" s="186"/>
      <c r="O258" s="186"/>
      <c r="P258" s="186"/>
      <c r="Q258" s="186"/>
    </row>
    <row r="259" spans="2:17" x14ac:dyDescent="0.35">
      <c r="B259" s="186"/>
      <c r="C259" s="186"/>
      <c r="D259" s="186"/>
      <c r="E259" s="186"/>
      <c r="F259" s="186"/>
      <c r="G259" s="186"/>
      <c r="H259" s="186"/>
      <c r="I259" s="186"/>
      <c r="J259" s="186"/>
      <c r="K259" s="186"/>
      <c r="L259" s="186"/>
      <c r="M259" s="186"/>
      <c r="N259" s="186"/>
      <c r="O259" s="186"/>
      <c r="P259" s="186"/>
      <c r="Q259" s="186"/>
    </row>
    <row r="260" spans="2:17" x14ac:dyDescent="0.35">
      <c r="B260" s="186"/>
      <c r="C260" s="186"/>
      <c r="D260" s="186"/>
      <c r="E260" s="186"/>
      <c r="F260" s="186"/>
      <c r="G260" s="186"/>
      <c r="H260" s="186"/>
      <c r="I260" s="186"/>
      <c r="J260" s="186"/>
      <c r="K260" s="186"/>
      <c r="L260" s="186"/>
      <c r="M260" s="186"/>
      <c r="N260" s="186"/>
      <c r="O260" s="186"/>
      <c r="P260" s="186"/>
      <c r="Q260" s="186"/>
    </row>
    <row r="261" spans="2:17" x14ac:dyDescent="0.35">
      <c r="B261" s="186"/>
      <c r="C261" s="186"/>
      <c r="D261" s="186"/>
      <c r="E261" s="186"/>
      <c r="F261" s="186"/>
      <c r="G261" s="186"/>
      <c r="H261" s="186"/>
      <c r="I261" s="186"/>
      <c r="J261" s="186"/>
      <c r="K261" s="186"/>
      <c r="L261" s="186"/>
      <c r="M261" s="186"/>
      <c r="N261" s="186"/>
      <c r="O261" s="186"/>
      <c r="P261" s="186"/>
      <c r="Q261" s="186"/>
    </row>
    <row r="262" spans="2:17" x14ac:dyDescent="0.35">
      <c r="B262" s="186"/>
      <c r="C262" s="186"/>
      <c r="D262" s="186"/>
      <c r="E262" s="186"/>
      <c r="F262" s="186"/>
      <c r="G262" s="186"/>
      <c r="H262" s="186"/>
      <c r="I262" s="186"/>
      <c r="J262" s="186"/>
      <c r="K262" s="186"/>
      <c r="L262" s="186"/>
      <c r="M262" s="186"/>
      <c r="N262" s="186"/>
      <c r="O262" s="186"/>
      <c r="P262" s="186"/>
      <c r="Q262" s="186"/>
    </row>
    <row r="263" spans="2:17" x14ac:dyDescent="0.35">
      <c r="B263" s="186"/>
      <c r="C263" s="186"/>
      <c r="D263" s="186"/>
      <c r="E263" s="186"/>
      <c r="F263" s="186"/>
      <c r="G263" s="186"/>
      <c r="H263" s="186"/>
      <c r="I263" s="186"/>
      <c r="J263" s="186"/>
      <c r="K263" s="186"/>
      <c r="L263" s="186"/>
      <c r="M263" s="186"/>
      <c r="N263" s="186"/>
      <c r="O263" s="186"/>
      <c r="P263" s="186"/>
      <c r="Q263" s="186"/>
    </row>
    <row r="264" spans="2:17" x14ac:dyDescent="0.35">
      <c r="B264" s="186"/>
      <c r="C264" s="186"/>
      <c r="D264" s="186"/>
      <c r="E264" s="186"/>
      <c r="F264" s="186"/>
      <c r="G264" s="186"/>
      <c r="H264" s="186"/>
      <c r="I264" s="186"/>
      <c r="J264" s="186"/>
      <c r="K264" s="186"/>
      <c r="L264" s="186"/>
      <c r="M264" s="186"/>
      <c r="N264" s="186"/>
      <c r="O264" s="186"/>
      <c r="P264" s="186"/>
      <c r="Q264" s="186"/>
    </row>
    <row r="265" spans="2:17" x14ac:dyDescent="0.35">
      <c r="B265" s="186"/>
      <c r="C265" s="186"/>
      <c r="D265" s="186"/>
      <c r="E265" s="186"/>
      <c r="F265" s="186"/>
      <c r="G265" s="186"/>
      <c r="H265" s="186"/>
      <c r="I265" s="186"/>
      <c r="J265" s="186"/>
      <c r="K265" s="186"/>
      <c r="L265" s="186"/>
      <c r="M265" s="186"/>
      <c r="N265" s="186"/>
      <c r="O265" s="186"/>
      <c r="P265" s="186"/>
      <c r="Q265" s="186"/>
    </row>
    <row r="266" spans="2:17" x14ac:dyDescent="0.35">
      <c r="B266" s="186"/>
      <c r="C266" s="186"/>
      <c r="D266" s="186"/>
      <c r="E266" s="186"/>
      <c r="F266" s="186"/>
      <c r="G266" s="186"/>
      <c r="H266" s="186"/>
      <c r="I266" s="186"/>
      <c r="J266" s="186"/>
      <c r="K266" s="186"/>
      <c r="L266" s="186"/>
      <c r="M266" s="186"/>
      <c r="N266" s="186"/>
      <c r="O266" s="186"/>
      <c r="P266" s="186"/>
      <c r="Q266" s="186"/>
    </row>
    <row r="267" spans="2:17" x14ac:dyDescent="0.35">
      <c r="B267" s="186"/>
      <c r="C267" s="186"/>
      <c r="D267" s="186"/>
      <c r="E267" s="186"/>
      <c r="F267" s="186"/>
      <c r="G267" s="186"/>
      <c r="H267" s="186"/>
      <c r="I267" s="186"/>
      <c r="J267" s="186"/>
      <c r="K267" s="186"/>
      <c r="L267" s="186"/>
      <c r="M267" s="186"/>
      <c r="N267" s="186"/>
      <c r="O267" s="186"/>
      <c r="P267" s="186"/>
      <c r="Q267" s="186"/>
    </row>
    <row r="268" spans="2:17" x14ac:dyDescent="0.35">
      <c r="B268" s="186"/>
      <c r="C268" s="186"/>
      <c r="D268" s="186"/>
      <c r="E268" s="186"/>
      <c r="F268" s="186"/>
      <c r="G268" s="186"/>
      <c r="H268" s="186"/>
      <c r="I268" s="186"/>
      <c r="J268" s="186"/>
      <c r="K268" s="186"/>
      <c r="L268" s="186"/>
      <c r="M268" s="186"/>
      <c r="N268" s="186"/>
      <c r="O268" s="186"/>
      <c r="P268" s="186"/>
      <c r="Q268" s="186"/>
    </row>
    <row r="269" spans="2:17" x14ac:dyDescent="0.35">
      <c r="B269" s="186"/>
      <c r="C269" s="186"/>
      <c r="D269" s="186"/>
      <c r="E269" s="186"/>
      <c r="F269" s="186"/>
      <c r="G269" s="186"/>
      <c r="H269" s="186"/>
      <c r="I269" s="186"/>
      <c r="J269" s="186"/>
      <c r="K269" s="186"/>
      <c r="L269" s="186"/>
      <c r="M269" s="186"/>
      <c r="N269" s="186"/>
      <c r="O269" s="186"/>
      <c r="P269" s="186"/>
      <c r="Q269" s="186"/>
    </row>
    <row r="270" spans="2:17" x14ac:dyDescent="0.35">
      <c r="B270" s="186"/>
      <c r="C270" s="186"/>
      <c r="D270" s="186"/>
      <c r="E270" s="186"/>
      <c r="F270" s="186"/>
      <c r="G270" s="186"/>
      <c r="H270" s="186"/>
      <c r="I270" s="186"/>
      <c r="J270" s="186"/>
      <c r="K270" s="186"/>
      <c r="L270" s="186"/>
      <c r="M270" s="186"/>
      <c r="N270" s="186"/>
      <c r="O270" s="186"/>
      <c r="P270" s="186"/>
      <c r="Q270" s="186"/>
    </row>
    <row r="271" spans="2:17" x14ac:dyDescent="0.35">
      <c r="B271" s="186"/>
      <c r="C271" s="186"/>
      <c r="D271" s="186"/>
      <c r="E271" s="186"/>
      <c r="F271" s="186"/>
      <c r="G271" s="186"/>
      <c r="H271" s="186"/>
      <c r="I271" s="186"/>
      <c r="J271" s="186"/>
      <c r="K271" s="186"/>
      <c r="L271" s="186"/>
      <c r="M271" s="186"/>
      <c r="N271" s="186"/>
      <c r="O271" s="186"/>
      <c r="P271" s="186"/>
      <c r="Q271" s="186"/>
    </row>
    <row r="272" spans="2:17" x14ac:dyDescent="0.35">
      <c r="B272" s="186"/>
      <c r="C272" s="186"/>
      <c r="D272" s="186"/>
      <c r="E272" s="186"/>
      <c r="F272" s="186"/>
      <c r="G272" s="186"/>
      <c r="H272" s="186"/>
      <c r="I272" s="186"/>
      <c r="J272" s="186"/>
      <c r="K272" s="186"/>
      <c r="L272" s="186"/>
      <c r="M272" s="186"/>
      <c r="N272" s="186"/>
      <c r="O272" s="186"/>
      <c r="P272" s="186"/>
      <c r="Q272" s="186"/>
    </row>
    <row r="273" spans="2:17" x14ac:dyDescent="0.35">
      <c r="B273" s="186"/>
      <c r="C273" s="186"/>
      <c r="D273" s="186"/>
      <c r="E273" s="186"/>
      <c r="F273" s="186"/>
      <c r="G273" s="186"/>
      <c r="H273" s="186"/>
      <c r="I273" s="186"/>
      <c r="J273" s="186"/>
      <c r="K273" s="186"/>
      <c r="L273" s="186"/>
      <c r="M273" s="186"/>
      <c r="N273" s="186"/>
      <c r="O273" s="186"/>
      <c r="P273" s="186"/>
      <c r="Q273" s="186"/>
    </row>
    <row r="274" spans="2:17" x14ac:dyDescent="0.35">
      <c r="B274" s="186"/>
      <c r="C274" s="186"/>
      <c r="D274" s="186"/>
      <c r="E274" s="186"/>
      <c r="F274" s="186"/>
      <c r="G274" s="186"/>
      <c r="H274" s="186"/>
      <c r="I274" s="186"/>
      <c r="J274" s="186"/>
      <c r="K274" s="186"/>
      <c r="L274" s="186"/>
      <c r="M274" s="186"/>
      <c r="N274" s="186"/>
      <c r="O274" s="186"/>
      <c r="P274" s="186"/>
      <c r="Q274" s="186"/>
    </row>
    <row r="275" spans="2:17" x14ac:dyDescent="0.35">
      <c r="B275" s="186"/>
      <c r="C275" s="186"/>
      <c r="D275" s="186"/>
      <c r="E275" s="186"/>
      <c r="F275" s="186"/>
      <c r="G275" s="186"/>
      <c r="H275" s="186"/>
      <c r="I275" s="186"/>
      <c r="J275" s="186"/>
      <c r="K275" s="186"/>
      <c r="L275" s="186"/>
      <c r="M275" s="186"/>
      <c r="N275" s="186"/>
      <c r="O275" s="186"/>
      <c r="P275" s="186"/>
      <c r="Q275" s="186"/>
    </row>
    <row r="276" spans="2:17" x14ac:dyDescent="0.35">
      <c r="B276" s="186"/>
      <c r="C276" s="186"/>
      <c r="D276" s="186"/>
      <c r="E276" s="186"/>
      <c r="F276" s="186"/>
      <c r="G276" s="186"/>
      <c r="H276" s="186"/>
      <c r="I276" s="186"/>
      <c r="J276" s="186"/>
      <c r="K276" s="186"/>
      <c r="L276" s="186"/>
      <c r="M276" s="186"/>
      <c r="N276" s="186"/>
      <c r="O276" s="186"/>
      <c r="P276" s="186"/>
      <c r="Q276" s="186"/>
    </row>
    <row r="277" spans="2:17" x14ac:dyDescent="0.35">
      <c r="B277" s="186"/>
      <c r="C277" s="186"/>
      <c r="D277" s="186"/>
      <c r="E277" s="186"/>
      <c r="F277" s="186"/>
      <c r="G277" s="186"/>
      <c r="H277" s="186"/>
      <c r="I277" s="186"/>
      <c r="J277" s="186"/>
      <c r="K277" s="186"/>
      <c r="L277" s="186"/>
      <c r="M277" s="186"/>
      <c r="N277" s="186"/>
      <c r="O277" s="186"/>
      <c r="P277" s="186"/>
      <c r="Q277" s="186"/>
    </row>
    <row r="278" spans="2:17" x14ac:dyDescent="0.35">
      <c r="B278" s="186"/>
      <c r="C278" s="186"/>
      <c r="D278" s="186"/>
      <c r="E278" s="186"/>
      <c r="F278" s="186"/>
      <c r="G278" s="186"/>
      <c r="H278" s="186"/>
      <c r="I278" s="186"/>
      <c r="J278" s="186"/>
      <c r="K278" s="186"/>
      <c r="L278" s="186"/>
      <c r="M278" s="186"/>
      <c r="N278" s="186"/>
      <c r="O278" s="186"/>
      <c r="P278" s="186"/>
      <c r="Q278" s="186"/>
    </row>
    <row r="279" spans="2:17" x14ac:dyDescent="0.35">
      <c r="B279" s="186"/>
      <c r="C279" s="186"/>
      <c r="D279" s="186"/>
      <c r="E279" s="186"/>
      <c r="F279" s="186"/>
      <c r="G279" s="186"/>
      <c r="H279" s="186"/>
      <c r="I279" s="186"/>
      <c r="J279" s="186"/>
      <c r="K279" s="186"/>
      <c r="L279" s="186"/>
      <c r="M279" s="186"/>
      <c r="N279" s="186"/>
      <c r="O279" s="186"/>
      <c r="P279" s="186"/>
      <c r="Q279" s="186"/>
    </row>
    <row r="280" spans="2:17" x14ac:dyDescent="0.35">
      <c r="B280" s="186"/>
      <c r="C280" s="186"/>
      <c r="D280" s="186"/>
      <c r="E280" s="186"/>
      <c r="F280" s="186"/>
      <c r="G280" s="186"/>
      <c r="H280" s="186"/>
      <c r="I280" s="186"/>
      <c r="J280" s="186"/>
      <c r="K280" s="186"/>
      <c r="L280" s="186"/>
      <c r="M280" s="186"/>
      <c r="N280" s="186"/>
      <c r="O280" s="186"/>
      <c r="P280" s="186"/>
      <c r="Q280" s="186"/>
    </row>
    <row r="281" spans="2:17" x14ac:dyDescent="0.35">
      <c r="B281" s="186"/>
      <c r="C281" s="186"/>
      <c r="D281" s="186"/>
      <c r="E281" s="186"/>
      <c r="F281" s="186"/>
      <c r="G281" s="186"/>
      <c r="H281" s="186"/>
      <c r="I281" s="186"/>
      <c r="J281" s="186"/>
      <c r="K281" s="186"/>
      <c r="L281" s="186"/>
      <c r="M281" s="186"/>
      <c r="N281" s="186"/>
      <c r="O281" s="186"/>
      <c r="P281" s="186"/>
      <c r="Q281" s="186"/>
    </row>
    <row r="282" spans="2:17" x14ac:dyDescent="0.35">
      <c r="B282" s="186"/>
      <c r="C282" s="186"/>
      <c r="D282" s="186"/>
      <c r="E282" s="186"/>
      <c r="F282" s="186"/>
      <c r="G282" s="186"/>
      <c r="H282" s="186"/>
      <c r="I282" s="186"/>
      <c r="J282" s="186"/>
      <c r="K282" s="186"/>
      <c r="L282" s="186"/>
      <c r="M282" s="186"/>
      <c r="N282" s="186"/>
      <c r="O282" s="186"/>
      <c r="P282" s="186"/>
      <c r="Q282" s="186"/>
    </row>
    <row r="283" spans="2:17" x14ac:dyDescent="0.35">
      <c r="B283" s="186"/>
      <c r="C283" s="186"/>
      <c r="D283" s="186"/>
      <c r="E283" s="186"/>
      <c r="F283" s="186"/>
      <c r="G283" s="186"/>
      <c r="H283" s="186"/>
      <c r="I283" s="186"/>
      <c r="J283" s="186"/>
      <c r="K283" s="186"/>
      <c r="L283" s="186"/>
      <c r="M283" s="186"/>
      <c r="N283" s="186"/>
      <c r="O283" s="186"/>
      <c r="P283" s="186"/>
      <c r="Q283" s="186"/>
    </row>
    <row r="284" spans="2:17" x14ac:dyDescent="0.35">
      <c r="B284" s="186"/>
      <c r="C284" s="186"/>
      <c r="D284" s="186"/>
      <c r="E284" s="186"/>
      <c r="F284" s="186"/>
      <c r="G284" s="186"/>
      <c r="H284" s="186"/>
      <c r="I284" s="186"/>
      <c r="J284" s="186"/>
      <c r="K284" s="186"/>
      <c r="L284" s="186"/>
      <c r="M284" s="186"/>
      <c r="N284" s="186"/>
      <c r="O284" s="186"/>
      <c r="P284" s="186"/>
      <c r="Q284" s="186"/>
    </row>
    <row r="285" spans="2:17" x14ac:dyDescent="0.35">
      <c r="B285" s="186"/>
      <c r="C285" s="186"/>
      <c r="D285" s="186"/>
      <c r="E285" s="186"/>
      <c r="F285" s="186"/>
      <c r="G285" s="186"/>
      <c r="H285" s="186"/>
      <c r="I285" s="186"/>
      <c r="J285" s="186"/>
      <c r="K285" s="186"/>
      <c r="L285" s="186"/>
      <c r="M285" s="186"/>
      <c r="N285" s="186"/>
      <c r="O285" s="186"/>
      <c r="P285" s="186"/>
      <c r="Q285" s="186"/>
    </row>
    <row r="286" spans="2:17" x14ac:dyDescent="0.35">
      <c r="B286" s="186"/>
      <c r="C286" s="186"/>
      <c r="D286" s="186"/>
      <c r="E286" s="186"/>
      <c r="F286" s="186"/>
      <c r="G286" s="186"/>
      <c r="H286" s="186"/>
      <c r="I286" s="186"/>
      <c r="J286" s="186"/>
      <c r="K286" s="186"/>
      <c r="L286" s="186"/>
      <c r="M286" s="186"/>
      <c r="N286" s="186"/>
      <c r="O286" s="186"/>
      <c r="P286" s="186"/>
      <c r="Q286" s="186"/>
    </row>
    <row r="287" spans="2:17" x14ac:dyDescent="0.35">
      <c r="B287" s="186"/>
      <c r="C287" s="186"/>
      <c r="D287" s="186"/>
      <c r="E287" s="186"/>
      <c r="F287" s="186"/>
      <c r="G287" s="186"/>
      <c r="H287" s="186"/>
      <c r="I287" s="186"/>
      <c r="J287" s="186"/>
      <c r="K287" s="186"/>
      <c r="L287" s="186"/>
      <c r="M287" s="186"/>
      <c r="N287" s="186"/>
      <c r="O287" s="186"/>
      <c r="P287" s="186"/>
      <c r="Q287" s="186"/>
    </row>
    <row r="288" spans="2:17" x14ac:dyDescent="0.35">
      <c r="B288" s="186"/>
      <c r="C288" s="186"/>
      <c r="D288" s="186"/>
      <c r="E288" s="186"/>
      <c r="F288" s="186"/>
      <c r="G288" s="186"/>
      <c r="H288" s="186"/>
      <c r="I288" s="186"/>
      <c r="J288" s="186"/>
      <c r="K288" s="186"/>
      <c r="L288" s="186"/>
      <c r="M288" s="186"/>
      <c r="N288" s="186"/>
      <c r="O288" s="186"/>
      <c r="P288" s="186"/>
      <c r="Q288" s="186"/>
    </row>
    <row r="289" spans="2:17" x14ac:dyDescent="0.35">
      <c r="B289" s="186"/>
      <c r="C289" s="186"/>
      <c r="D289" s="186"/>
      <c r="E289" s="186"/>
      <c r="F289" s="186"/>
      <c r="G289" s="186"/>
      <c r="H289" s="186"/>
      <c r="I289" s="186"/>
      <c r="J289" s="186"/>
      <c r="K289" s="186"/>
      <c r="L289" s="186"/>
      <c r="M289" s="186"/>
      <c r="N289" s="186"/>
      <c r="O289" s="186"/>
      <c r="P289" s="186"/>
      <c r="Q289" s="186"/>
    </row>
    <row r="290" spans="2:17" x14ac:dyDescent="0.35">
      <c r="B290" s="186"/>
      <c r="C290" s="186"/>
      <c r="D290" s="186"/>
      <c r="E290" s="186"/>
      <c r="F290" s="186"/>
      <c r="G290" s="186"/>
      <c r="H290" s="186"/>
      <c r="I290" s="186"/>
      <c r="J290" s="186"/>
      <c r="K290" s="186"/>
      <c r="L290" s="186"/>
      <c r="M290" s="186"/>
      <c r="N290" s="186"/>
      <c r="O290" s="186"/>
      <c r="P290" s="186"/>
      <c r="Q290" s="186"/>
    </row>
    <row r="291" spans="2:17" x14ac:dyDescent="0.35">
      <c r="B291" s="186"/>
      <c r="C291" s="186"/>
      <c r="D291" s="186"/>
      <c r="E291" s="186"/>
      <c r="F291" s="186"/>
      <c r="G291" s="186"/>
      <c r="H291" s="186"/>
      <c r="I291" s="186"/>
      <c r="J291" s="186"/>
      <c r="K291" s="186"/>
      <c r="L291" s="186"/>
      <c r="M291" s="186"/>
      <c r="N291" s="186"/>
      <c r="O291" s="186"/>
      <c r="P291" s="186"/>
      <c r="Q291" s="186"/>
    </row>
    <row r="292" spans="2:17" x14ac:dyDescent="0.35">
      <c r="B292" s="186"/>
      <c r="C292" s="186"/>
      <c r="D292" s="186"/>
      <c r="E292" s="186"/>
      <c r="F292" s="186"/>
      <c r="G292" s="186"/>
      <c r="H292" s="186"/>
      <c r="I292" s="186"/>
      <c r="J292" s="186"/>
      <c r="K292" s="186"/>
      <c r="L292" s="186"/>
      <c r="M292" s="186"/>
      <c r="N292" s="186"/>
      <c r="O292" s="186"/>
      <c r="P292" s="186"/>
      <c r="Q292" s="186"/>
    </row>
    <row r="293" spans="2:17" x14ac:dyDescent="0.35">
      <c r="B293" s="186"/>
      <c r="C293" s="186"/>
      <c r="D293" s="186"/>
      <c r="E293" s="186"/>
      <c r="F293" s="186"/>
      <c r="G293" s="186"/>
      <c r="H293" s="186"/>
      <c r="I293" s="186"/>
      <c r="J293" s="186"/>
      <c r="K293" s="186"/>
      <c r="L293" s="186"/>
      <c r="M293" s="186"/>
      <c r="N293" s="186"/>
      <c r="O293" s="186"/>
      <c r="P293" s="186"/>
      <c r="Q293" s="186"/>
    </row>
    <row r="294" spans="2:17" x14ac:dyDescent="0.35">
      <c r="B294" s="186"/>
      <c r="C294" s="186"/>
      <c r="D294" s="186"/>
      <c r="E294" s="186"/>
      <c r="F294" s="186"/>
      <c r="G294" s="186"/>
      <c r="H294" s="186"/>
      <c r="I294" s="186"/>
      <c r="J294" s="186"/>
      <c r="K294" s="186"/>
      <c r="L294" s="186"/>
      <c r="M294" s="186"/>
      <c r="N294" s="186"/>
      <c r="O294" s="186"/>
      <c r="P294" s="186"/>
      <c r="Q294" s="186"/>
    </row>
    <row r="295" spans="2:17" x14ac:dyDescent="0.35">
      <c r="B295" s="186"/>
      <c r="C295" s="186"/>
      <c r="D295" s="186"/>
      <c r="E295" s="186"/>
      <c r="F295" s="186"/>
      <c r="G295" s="186"/>
      <c r="H295" s="186"/>
      <c r="I295" s="186"/>
      <c r="J295" s="186"/>
      <c r="K295" s="186"/>
      <c r="L295" s="186"/>
      <c r="M295" s="186"/>
      <c r="N295" s="186"/>
      <c r="O295" s="186"/>
      <c r="P295" s="186"/>
      <c r="Q295" s="186"/>
    </row>
    <row r="296" spans="2:17" x14ac:dyDescent="0.35">
      <c r="B296" s="186"/>
      <c r="C296" s="186"/>
      <c r="D296" s="186"/>
      <c r="E296" s="186"/>
      <c r="F296" s="186"/>
      <c r="G296" s="186"/>
      <c r="H296" s="186"/>
      <c r="I296" s="186"/>
      <c r="J296" s="186"/>
      <c r="K296" s="186"/>
      <c r="L296" s="186"/>
      <c r="M296" s="186"/>
      <c r="N296" s="186"/>
      <c r="O296" s="186"/>
      <c r="P296" s="186"/>
      <c r="Q296" s="186"/>
    </row>
    <row r="297" spans="2:17" x14ac:dyDescent="0.35">
      <c r="B297" s="186"/>
      <c r="C297" s="186"/>
      <c r="D297" s="186"/>
      <c r="E297" s="186"/>
      <c r="F297" s="186"/>
      <c r="G297" s="186"/>
      <c r="H297" s="186"/>
      <c r="I297" s="186"/>
      <c r="J297" s="186"/>
      <c r="K297" s="186"/>
      <c r="L297" s="186"/>
      <c r="M297" s="186"/>
      <c r="N297" s="186"/>
      <c r="O297" s="186"/>
      <c r="P297" s="186"/>
      <c r="Q297" s="186"/>
    </row>
    <row r="298" spans="2:17" x14ac:dyDescent="0.35">
      <c r="B298" s="186"/>
      <c r="C298" s="186"/>
      <c r="D298" s="186"/>
      <c r="E298" s="186"/>
      <c r="F298" s="186"/>
      <c r="G298" s="186"/>
      <c r="H298" s="186"/>
      <c r="I298" s="186"/>
      <c r="J298" s="186"/>
      <c r="K298" s="186"/>
      <c r="L298" s="186"/>
      <c r="M298" s="186"/>
      <c r="N298" s="186"/>
      <c r="O298" s="186"/>
      <c r="P298" s="186"/>
      <c r="Q298" s="186"/>
    </row>
    <row r="299" spans="2:17" x14ac:dyDescent="0.35">
      <c r="B299" s="186"/>
      <c r="C299" s="186"/>
      <c r="D299" s="186"/>
      <c r="E299" s="186"/>
      <c r="F299" s="186"/>
      <c r="G299" s="186"/>
      <c r="H299" s="186"/>
      <c r="I299" s="186"/>
      <c r="J299" s="186"/>
      <c r="K299" s="186"/>
      <c r="L299" s="186"/>
      <c r="M299" s="186"/>
      <c r="N299" s="186"/>
      <c r="O299" s="186"/>
      <c r="P299" s="186"/>
      <c r="Q299" s="186"/>
    </row>
    <row r="300" spans="2:17" x14ac:dyDescent="0.35">
      <c r="B300" s="186"/>
      <c r="C300" s="186"/>
      <c r="D300" s="186"/>
      <c r="E300" s="186"/>
      <c r="F300" s="186"/>
      <c r="G300" s="186"/>
      <c r="H300" s="186"/>
      <c r="I300" s="186"/>
      <c r="J300" s="186"/>
      <c r="K300" s="186"/>
      <c r="L300" s="186"/>
      <c r="M300" s="186"/>
      <c r="N300" s="186"/>
      <c r="O300" s="186"/>
      <c r="P300" s="186"/>
      <c r="Q300" s="186"/>
    </row>
    <row r="301" spans="2:17" x14ac:dyDescent="0.35">
      <c r="B301" s="186"/>
      <c r="C301" s="186"/>
      <c r="D301" s="186"/>
      <c r="E301" s="186"/>
      <c r="F301" s="186"/>
      <c r="G301" s="186"/>
      <c r="H301" s="186"/>
      <c r="I301" s="186"/>
      <c r="J301" s="186"/>
      <c r="K301" s="186"/>
      <c r="L301" s="186"/>
      <c r="M301" s="186"/>
      <c r="N301" s="186"/>
      <c r="O301" s="186"/>
      <c r="P301" s="186"/>
      <c r="Q301" s="186"/>
    </row>
    <row r="302" spans="2:17" x14ac:dyDescent="0.35">
      <c r="B302" s="186"/>
      <c r="C302" s="186"/>
      <c r="D302" s="186"/>
      <c r="E302" s="186"/>
      <c r="F302" s="186"/>
      <c r="G302" s="186"/>
      <c r="H302" s="186"/>
      <c r="I302" s="186"/>
      <c r="J302" s="186"/>
      <c r="K302" s="186"/>
      <c r="L302" s="186"/>
      <c r="M302" s="186"/>
      <c r="N302" s="186"/>
      <c r="O302" s="186"/>
      <c r="P302" s="186"/>
      <c r="Q302" s="186"/>
    </row>
    <row r="303" spans="2:17" x14ac:dyDescent="0.35">
      <c r="B303" s="186"/>
      <c r="C303" s="186"/>
      <c r="D303" s="186"/>
      <c r="E303" s="186"/>
      <c r="F303" s="186"/>
      <c r="G303" s="186"/>
      <c r="H303" s="186"/>
      <c r="I303" s="186"/>
      <c r="J303" s="186"/>
      <c r="K303" s="186"/>
      <c r="L303" s="186"/>
      <c r="M303" s="186"/>
      <c r="N303" s="186"/>
      <c r="O303" s="186"/>
      <c r="P303" s="186"/>
      <c r="Q303" s="186"/>
    </row>
    <row r="304" spans="2:17" x14ac:dyDescent="0.35">
      <c r="B304" s="186"/>
      <c r="C304" s="186"/>
      <c r="D304" s="186"/>
      <c r="E304" s="186"/>
      <c r="F304" s="186"/>
      <c r="G304" s="186"/>
      <c r="H304" s="186"/>
      <c r="I304" s="186"/>
      <c r="J304" s="186"/>
      <c r="K304" s="186"/>
      <c r="L304" s="186"/>
      <c r="M304" s="186"/>
      <c r="N304" s="186"/>
      <c r="O304" s="186"/>
      <c r="P304" s="186"/>
      <c r="Q304" s="186"/>
    </row>
    <row r="305" spans="2:17" x14ac:dyDescent="0.35">
      <c r="B305" s="186"/>
      <c r="C305" s="186"/>
      <c r="D305" s="186"/>
      <c r="E305" s="186"/>
      <c r="F305" s="186"/>
      <c r="G305" s="186"/>
      <c r="H305" s="186"/>
      <c r="I305" s="186"/>
      <c r="J305" s="186"/>
      <c r="K305" s="186"/>
      <c r="L305" s="186"/>
      <c r="M305" s="186"/>
      <c r="N305" s="186"/>
      <c r="O305" s="186"/>
      <c r="P305" s="186"/>
      <c r="Q305" s="186"/>
    </row>
    <row r="306" spans="2:17" x14ac:dyDescent="0.35">
      <c r="B306" s="186"/>
      <c r="C306" s="186"/>
      <c r="D306" s="186"/>
      <c r="E306" s="186"/>
      <c r="F306" s="186"/>
      <c r="G306" s="186"/>
      <c r="H306" s="186"/>
      <c r="I306" s="186"/>
      <c r="J306" s="186"/>
      <c r="K306" s="186"/>
      <c r="L306" s="186"/>
      <c r="M306" s="186"/>
      <c r="N306" s="186"/>
      <c r="O306" s="186"/>
      <c r="P306" s="186"/>
      <c r="Q306" s="186"/>
    </row>
    <row r="307" spans="2:17" x14ac:dyDescent="0.35">
      <c r="B307" s="186"/>
      <c r="C307" s="186"/>
      <c r="D307" s="186"/>
      <c r="E307" s="186"/>
      <c r="F307" s="186"/>
      <c r="G307" s="186"/>
      <c r="H307" s="186"/>
      <c r="I307" s="186"/>
      <c r="J307" s="186"/>
      <c r="K307" s="186"/>
      <c r="L307" s="186"/>
      <c r="M307" s="186"/>
      <c r="N307" s="186"/>
      <c r="O307" s="186"/>
      <c r="P307" s="186"/>
      <c r="Q307" s="186"/>
    </row>
    <row r="308" spans="2:17" x14ac:dyDescent="0.35">
      <c r="B308" s="186"/>
      <c r="C308" s="186"/>
      <c r="D308" s="186"/>
      <c r="E308" s="186"/>
      <c r="F308" s="186"/>
      <c r="G308" s="186"/>
      <c r="H308" s="186"/>
      <c r="I308" s="186"/>
      <c r="J308" s="186"/>
      <c r="K308" s="186"/>
      <c r="L308" s="186"/>
      <c r="M308" s="186"/>
      <c r="N308" s="186"/>
      <c r="O308" s="186"/>
      <c r="P308" s="186"/>
      <c r="Q308" s="186"/>
    </row>
    <row r="309" spans="2:17" x14ac:dyDescent="0.35">
      <c r="B309" s="186"/>
      <c r="C309" s="186"/>
      <c r="D309" s="186"/>
      <c r="E309" s="186"/>
      <c r="F309" s="186"/>
      <c r="G309" s="186"/>
      <c r="H309" s="186"/>
      <c r="I309" s="186"/>
      <c r="J309" s="186"/>
      <c r="K309" s="186"/>
      <c r="L309" s="186"/>
      <c r="M309" s="186"/>
      <c r="N309" s="186"/>
      <c r="O309" s="186"/>
      <c r="P309" s="186"/>
      <c r="Q309" s="186"/>
    </row>
    <row r="310" spans="2:17" x14ac:dyDescent="0.35">
      <c r="B310" s="186"/>
      <c r="C310" s="186"/>
      <c r="D310" s="186"/>
      <c r="E310" s="186"/>
      <c r="F310" s="186"/>
      <c r="G310" s="186"/>
      <c r="H310" s="186"/>
      <c r="I310" s="186"/>
      <c r="J310" s="186"/>
      <c r="K310" s="186"/>
      <c r="L310" s="186"/>
      <c r="M310" s="186"/>
      <c r="N310" s="186"/>
      <c r="O310" s="186"/>
      <c r="P310" s="186"/>
      <c r="Q310" s="186"/>
    </row>
    <row r="311" spans="2:17" x14ac:dyDescent="0.35">
      <c r="B311" s="186"/>
      <c r="C311" s="186"/>
      <c r="D311" s="186"/>
      <c r="E311" s="186"/>
      <c r="F311" s="186"/>
      <c r="G311" s="186"/>
      <c r="H311" s="186"/>
      <c r="I311" s="186"/>
      <c r="J311" s="186"/>
      <c r="K311" s="186"/>
      <c r="L311" s="186"/>
      <c r="M311" s="186"/>
      <c r="N311" s="186"/>
      <c r="O311" s="186"/>
      <c r="P311" s="186"/>
      <c r="Q311" s="186"/>
    </row>
    <row r="312" spans="2:17" x14ac:dyDescent="0.35">
      <c r="B312" s="186"/>
      <c r="C312" s="186"/>
      <c r="D312" s="186"/>
      <c r="E312" s="186"/>
      <c r="F312" s="186"/>
      <c r="G312" s="186"/>
      <c r="H312" s="186"/>
      <c r="I312" s="186"/>
      <c r="J312" s="186"/>
      <c r="K312" s="186"/>
      <c r="L312" s="186"/>
      <c r="M312" s="186"/>
      <c r="N312" s="186"/>
      <c r="O312" s="186"/>
      <c r="P312" s="186"/>
      <c r="Q312" s="186"/>
    </row>
    <row r="313" spans="2:17" x14ac:dyDescent="0.35">
      <c r="B313" s="186"/>
      <c r="C313" s="186"/>
      <c r="D313" s="186"/>
      <c r="E313" s="186"/>
      <c r="F313" s="186"/>
      <c r="G313" s="186"/>
      <c r="H313" s="186"/>
      <c r="I313" s="186"/>
      <c r="J313" s="186"/>
      <c r="K313" s="186"/>
      <c r="L313" s="186"/>
      <c r="M313" s="186"/>
      <c r="N313" s="186"/>
      <c r="O313" s="186"/>
      <c r="P313" s="186"/>
      <c r="Q313" s="186"/>
    </row>
    <row r="314" spans="2:17" x14ac:dyDescent="0.35">
      <c r="B314" s="186"/>
      <c r="C314" s="186"/>
      <c r="D314" s="186"/>
      <c r="E314" s="186"/>
      <c r="F314" s="186"/>
      <c r="G314" s="186"/>
      <c r="H314" s="186"/>
      <c r="I314" s="186"/>
      <c r="J314" s="186"/>
      <c r="K314" s="186"/>
      <c r="L314" s="186"/>
      <c r="M314" s="186"/>
      <c r="N314" s="186"/>
      <c r="O314" s="186"/>
      <c r="P314" s="186"/>
      <c r="Q314" s="186"/>
    </row>
    <row r="315" spans="2:17" x14ac:dyDescent="0.35">
      <c r="B315" s="186"/>
      <c r="C315" s="186"/>
      <c r="D315" s="186"/>
      <c r="E315" s="186"/>
      <c r="F315" s="186"/>
      <c r="G315" s="186"/>
      <c r="H315" s="186"/>
      <c r="I315" s="186"/>
      <c r="J315" s="186"/>
      <c r="K315" s="186"/>
      <c r="L315" s="186"/>
      <c r="M315" s="186"/>
      <c r="N315" s="186"/>
      <c r="O315" s="186"/>
      <c r="P315" s="186"/>
      <c r="Q315" s="186"/>
    </row>
    <row r="316" spans="2:17" x14ac:dyDescent="0.35">
      <c r="B316" s="186"/>
      <c r="C316" s="186"/>
      <c r="D316" s="186"/>
      <c r="E316" s="186"/>
      <c r="F316" s="186"/>
      <c r="G316" s="186"/>
      <c r="H316" s="186"/>
      <c r="I316" s="186"/>
      <c r="J316" s="186"/>
      <c r="K316" s="186"/>
      <c r="L316" s="186"/>
      <c r="M316" s="186"/>
      <c r="N316" s="186"/>
      <c r="O316" s="186"/>
      <c r="P316" s="186"/>
      <c r="Q316" s="186"/>
    </row>
    <row r="317" spans="2:17" x14ac:dyDescent="0.35">
      <c r="B317" s="186"/>
      <c r="C317" s="186"/>
      <c r="D317" s="186"/>
      <c r="E317" s="186"/>
      <c r="F317" s="186"/>
      <c r="G317" s="186"/>
      <c r="H317" s="186"/>
      <c r="I317" s="186"/>
      <c r="J317" s="186"/>
      <c r="K317" s="186"/>
      <c r="L317" s="186"/>
      <c r="M317" s="186"/>
      <c r="N317" s="186"/>
      <c r="O317" s="186"/>
      <c r="P317" s="186"/>
      <c r="Q317" s="186"/>
    </row>
    <row r="318" spans="2:17" x14ac:dyDescent="0.35">
      <c r="B318" s="186"/>
      <c r="C318" s="186"/>
      <c r="D318" s="186"/>
      <c r="E318" s="186"/>
      <c r="F318" s="186"/>
      <c r="G318" s="186"/>
      <c r="H318" s="186"/>
      <c r="I318" s="186"/>
      <c r="J318" s="186"/>
      <c r="K318" s="186"/>
      <c r="L318" s="186"/>
      <c r="M318" s="186"/>
      <c r="N318" s="186"/>
      <c r="O318" s="186"/>
      <c r="P318" s="186"/>
      <c r="Q318" s="186"/>
    </row>
    <row r="319" spans="2:17" x14ac:dyDescent="0.35">
      <c r="B319" s="186"/>
      <c r="C319" s="186"/>
      <c r="D319" s="186"/>
      <c r="E319" s="186"/>
      <c r="F319" s="186"/>
      <c r="G319" s="186"/>
      <c r="H319" s="186"/>
      <c r="I319" s="186"/>
      <c r="J319" s="186"/>
      <c r="K319" s="186"/>
      <c r="L319" s="186"/>
      <c r="M319" s="186"/>
      <c r="N319" s="186"/>
      <c r="O319" s="186"/>
      <c r="P319" s="186"/>
      <c r="Q319" s="186"/>
    </row>
    <row r="320" spans="2:17" x14ac:dyDescent="0.35">
      <c r="B320" s="186"/>
      <c r="C320" s="186"/>
      <c r="D320" s="186"/>
      <c r="E320" s="186"/>
      <c r="F320" s="186"/>
      <c r="G320" s="186"/>
      <c r="H320" s="186"/>
      <c r="I320" s="186"/>
      <c r="J320" s="186"/>
      <c r="K320" s="186"/>
      <c r="L320" s="186"/>
      <c r="M320" s="186"/>
      <c r="N320" s="186"/>
      <c r="O320" s="186"/>
      <c r="P320" s="186"/>
      <c r="Q320" s="186"/>
    </row>
    <row r="321" spans="2:17" x14ac:dyDescent="0.35">
      <c r="B321" s="186"/>
      <c r="C321" s="186"/>
      <c r="D321" s="186"/>
      <c r="E321" s="186"/>
      <c r="F321" s="186"/>
      <c r="G321" s="186"/>
      <c r="H321" s="186"/>
      <c r="I321" s="186"/>
      <c r="J321" s="186"/>
      <c r="K321" s="186"/>
      <c r="L321" s="186"/>
      <c r="M321" s="186"/>
      <c r="N321" s="186"/>
      <c r="O321" s="186"/>
      <c r="P321" s="186"/>
      <c r="Q321" s="186"/>
    </row>
    <row r="322" spans="2:17" x14ac:dyDescent="0.35">
      <c r="B322" s="186"/>
      <c r="C322" s="186"/>
      <c r="D322" s="186"/>
      <c r="E322" s="186"/>
      <c r="F322" s="186"/>
      <c r="G322" s="186"/>
      <c r="H322" s="186"/>
      <c r="I322" s="186"/>
      <c r="J322" s="186"/>
      <c r="K322" s="186"/>
      <c r="L322" s="186"/>
      <c r="M322" s="186"/>
      <c r="N322" s="186"/>
      <c r="O322" s="186"/>
      <c r="P322" s="186"/>
      <c r="Q322" s="186"/>
    </row>
    <row r="323" spans="2:17" x14ac:dyDescent="0.35">
      <c r="B323" s="186"/>
      <c r="C323" s="186"/>
      <c r="D323" s="186"/>
      <c r="E323" s="186"/>
      <c r="F323" s="186"/>
      <c r="G323" s="186"/>
      <c r="H323" s="186"/>
      <c r="I323" s="186"/>
      <c r="J323" s="186"/>
      <c r="K323" s="186"/>
      <c r="L323" s="186"/>
      <c r="M323" s="186"/>
      <c r="N323" s="186"/>
      <c r="O323" s="186"/>
      <c r="P323" s="186"/>
      <c r="Q323" s="186"/>
    </row>
    <row r="324" spans="2:17" x14ac:dyDescent="0.35">
      <c r="B324" s="186"/>
      <c r="C324" s="186"/>
      <c r="D324" s="186"/>
      <c r="E324" s="186"/>
      <c r="F324" s="186"/>
      <c r="G324" s="186"/>
      <c r="H324" s="186"/>
      <c r="I324" s="186"/>
      <c r="J324" s="186"/>
      <c r="K324" s="186"/>
      <c r="L324" s="186"/>
      <c r="M324" s="186"/>
      <c r="N324" s="186"/>
      <c r="O324" s="186"/>
      <c r="P324" s="186"/>
      <c r="Q324" s="186"/>
    </row>
    <row r="325" spans="2:17" x14ac:dyDescent="0.35">
      <c r="B325" s="186"/>
      <c r="C325" s="186"/>
      <c r="D325" s="186"/>
      <c r="E325" s="186"/>
      <c r="F325" s="186"/>
      <c r="G325" s="186"/>
      <c r="H325" s="186"/>
      <c r="I325" s="186"/>
      <c r="J325" s="186"/>
      <c r="K325" s="186"/>
      <c r="L325" s="186"/>
    </row>
    <row r="326" spans="2:17" x14ac:dyDescent="0.35">
      <c r="B326" s="186"/>
      <c r="C326" s="186"/>
      <c r="D326" s="186"/>
      <c r="E326" s="186"/>
      <c r="F326" s="186"/>
      <c r="G326" s="186"/>
      <c r="H326" s="186"/>
      <c r="I326" s="186"/>
      <c r="J326" s="186"/>
      <c r="K326" s="186"/>
      <c r="L326" s="186"/>
    </row>
    <row r="327" spans="2:17" x14ac:dyDescent="0.35">
      <c r="B327" s="186"/>
      <c r="C327" s="186"/>
      <c r="D327" s="186"/>
      <c r="E327" s="186"/>
      <c r="F327" s="186"/>
      <c r="G327" s="186"/>
      <c r="H327" s="186"/>
      <c r="I327" s="186"/>
      <c r="J327" s="186"/>
      <c r="K327" s="186"/>
      <c r="L327" s="186"/>
    </row>
    <row r="328" spans="2:17" x14ac:dyDescent="0.35">
      <c r="B328" s="186"/>
      <c r="C328" s="186"/>
      <c r="D328" s="186"/>
      <c r="E328" s="186"/>
      <c r="F328" s="186"/>
      <c r="G328" s="186"/>
      <c r="H328" s="186"/>
      <c r="I328" s="186"/>
      <c r="J328" s="186"/>
      <c r="K328" s="186"/>
      <c r="L328" s="186"/>
    </row>
    <row r="329" spans="2:17" x14ac:dyDescent="0.35">
      <c r="B329" s="186"/>
      <c r="C329" s="186"/>
      <c r="D329" s="186"/>
      <c r="E329" s="186"/>
      <c r="F329" s="186"/>
      <c r="G329" s="186"/>
      <c r="H329" s="186"/>
      <c r="I329" s="186"/>
      <c r="J329" s="186"/>
      <c r="K329" s="186"/>
      <c r="L329" s="186"/>
    </row>
  </sheetData>
  <conditionalFormatting sqref="A37:L37 M37:XFD38 J38 L38 A38:G40 J39:XFD40 A41:XFD1048576">
    <cfRule type="cellIs" dxfId="12" priority="18" operator="lessThan">
      <formula>0</formula>
    </cfRule>
  </conditionalFormatting>
  <conditionalFormatting sqref="A1:XFD36">
    <cfRule type="cellIs" dxfId="11" priority="2" operator="lessThan">
      <formula>0</formula>
    </cfRule>
  </conditionalFormatting>
  <pageMargins left="0.7" right="0.7" top="0.75" bottom="0.75" header="0.3" footer="0.3"/>
  <pageSetup scale="31"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4AF6B-748C-4022-8339-74FF79CB29A6}">
  <dimension ref="A3:B9"/>
  <sheetViews>
    <sheetView workbookViewId="0"/>
  </sheetViews>
  <sheetFormatPr defaultRowHeight="14.5" x14ac:dyDescent="0.35"/>
  <cols>
    <col min="1" max="1" width="15.81640625" bestFit="1" customWidth="1"/>
    <col min="2" max="2" width="13.26953125" customWidth="1"/>
  </cols>
  <sheetData>
    <row r="3" spans="1:2" x14ac:dyDescent="0.35">
      <c r="A3" t="s">
        <v>221</v>
      </c>
      <c r="B3">
        <f>585*2*3</f>
        <v>3510</v>
      </c>
    </row>
    <row r="4" spans="1:2" x14ac:dyDescent="0.35">
      <c r="A4" t="s">
        <v>222</v>
      </c>
      <c r="B4" s="92">
        <f>'FY21-22 Q1-Q2 - Summer-Fall ''22'!L49</f>
        <v>57600</v>
      </c>
    </row>
    <row r="5" spans="1:2" x14ac:dyDescent="0.35">
      <c r="A5" t="s">
        <v>223</v>
      </c>
      <c r="B5" s="92">
        <f>'FY21-22 Q1-Q2 - Summer-Fall ''22'!L34</f>
        <v>7200</v>
      </c>
    </row>
    <row r="6" spans="1:2" x14ac:dyDescent="0.35">
      <c r="A6" t="s">
        <v>224</v>
      </c>
      <c r="B6" s="92">
        <f>'FY21-22 Q1-Q2 - Summer-Fall ''22'!L19</f>
        <v>1520</v>
      </c>
    </row>
    <row r="7" spans="1:2" x14ac:dyDescent="0.35">
      <c r="B7">
        <f>SUM(B3:B6)</f>
        <v>69830</v>
      </c>
    </row>
    <row r="8" spans="1:2" x14ac:dyDescent="0.35">
      <c r="B8">
        <f>B7*0.4</f>
        <v>27932</v>
      </c>
    </row>
    <row r="9" spans="1:2" x14ac:dyDescent="0.35">
      <c r="B9" t="s">
        <v>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8928A-B710-4FEC-9BAF-C608834EEF8C}">
  <dimension ref="A1:R49"/>
  <sheetViews>
    <sheetView workbookViewId="0">
      <selection sqref="A1:H1"/>
    </sheetView>
  </sheetViews>
  <sheetFormatPr defaultColWidth="8.81640625" defaultRowHeight="14.5" x14ac:dyDescent="0.35"/>
  <cols>
    <col min="1" max="1" width="12.7265625" customWidth="1"/>
    <col min="2" max="2" width="25.81640625" bestFit="1" customWidth="1"/>
    <col min="3" max="3" width="28.26953125" bestFit="1" customWidth="1"/>
    <col min="4" max="4" width="10.1796875" hidden="1" customWidth="1"/>
    <col min="5" max="5" width="11.1796875" hidden="1" customWidth="1"/>
    <col min="6" max="6" width="9.1796875" hidden="1" customWidth="1"/>
    <col min="7" max="7" width="9.26953125" style="41" customWidth="1"/>
    <col min="8" max="8" width="12.81640625" style="13" bestFit="1" customWidth="1"/>
    <col min="9" max="9" width="9.81640625" style="129" bestFit="1" customWidth="1"/>
    <col min="11" max="11" width="12.81640625" style="13" bestFit="1" customWidth="1"/>
    <col min="13" max="13" width="12.7265625" bestFit="1" customWidth="1"/>
  </cols>
  <sheetData>
    <row r="1" spans="1:18" ht="18.75" customHeight="1" x14ac:dyDescent="0.45">
      <c r="A1" s="493" t="s">
        <v>225</v>
      </c>
      <c r="B1" s="494"/>
      <c r="C1" s="494"/>
      <c r="D1" s="494"/>
      <c r="E1" s="494"/>
      <c r="F1" s="494"/>
      <c r="G1" s="494"/>
      <c r="H1" s="494"/>
      <c r="K1"/>
    </row>
    <row r="2" spans="1:18" x14ac:dyDescent="0.35">
      <c r="A2" s="8"/>
      <c r="C2" s="28" t="s">
        <v>148</v>
      </c>
      <c r="D2" s="2"/>
      <c r="E2" s="2"/>
      <c r="F2" s="2"/>
      <c r="G2" s="39"/>
      <c r="H2" s="29">
        <v>14</v>
      </c>
      <c r="K2" s="29">
        <v>14</v>
      </c>
    </row>
    <row r="3" spans="1:18" ht="15.5" x14ac:dyDescent="0.35">
      <c r="A3" s="9"/>
      <c r="B3" s="7"/>
      <c r="C3" s="30" t="s">
        <v>149</v>
      </c>
      <c r="D3" s="2"/>
      <c r="E3" s="2"/>
      <c r="F3" s="2"/>
      <c r="G3" s="39"/>
      <c r="H3" s="31">
        <v>11281</v>
      </c>
      <c r="K3" s="31">
        <f>O14</f>
        <v>8714</v>
      </c>
      <c r="L3" s="45">
        <f>K3-H3</f>
        <v>-2567</v>
      </c>
      <c r="M3" s="45">
        <f>L3*4</f>
        <v>-10268</v>
      </c>
      <c r="N3">
        <f>(K3-H3)/H3</f>
        <v>-0.22755074904707029</v>
      </c>
    </row>
    <row r="4" spans="1:18" ht="16" thickBot="1" x14ac:dyDescent="0.4">
      <c r="A4" s="9"/>
      <c r="B4" s="7"/>
      <c r="C4" s="30" t="s">
        <v>150</v>
      </c>
      <c r="D4" s="32"/>
      <c r="E4" s="2"/>
      <c r="F4" s="2"/>
      <c r="G4" s="39"/>
      <c r="H4" s="31">
        <f t="shared" ref="H4" si="0">H2*H3</f>
        <v>157934</v>
      </c>
      <c r="I4" s="129">
        <v>157894</v>
      </c>
      <c r="K4" s="31">
        <f>K2*K3</f>
        <v>121996</v>
      </c>
    </row>
    <row r="5" spans="1:18" ht="15.5" x14ac:dyDescent="0.35">
      <c r="A5" s="489" t="s">
        <v>151</v>
      </c>
      <c r="B5" s="490"/>
      <c r="C5" s="33"/>
      <c r="D5" s="2"/>
      <c r="E5" s="2"/>
      <c r="F5" s="2"/>
      <c r="G5" s="39"/>
      <c r="H5" s="34"/>
      <c r="K5" s="34"/>
      <c r="M5" t="s">
        <v>152</v>
      </c>
      <c r="N5" t="s">
        <v>153</v>
      </c>
    </row>
    <row r="6" spans="1:18" ht="16" thickBot="1" x14ac:dyDescent="0.4">
      <c r="A6" s="10"/>
      <c r="B6" s="22"/>
      <c r="C6" s="1"/>
      <c r="D6" s="2"/>
      <c r="E6" s="2"/>
      <c r="F6" s="2"/>
      <c r="G6" s="39"/>
      <c r="H6" s="34"/>
      <c r="K6" s="34"/>
      <c r="M6">
        <f>3600*1.15+250</f>
        <v>4390</v>
      </c>
      <c r="N6" s="45">
        <v>9600</v>
      </c>
      <c r="O6" s="45">
        <f>M6+N6</f>
        <v>13990</v>
      </c>
      <c r="P6">
        <f>9500+M6</f>
        <v>13890</v>
      </c>
      <c r="Q6" s="45">
        <v>13104</v>
      </c>
    </row>
    <row r="7" spans="1:18" ht="29" x14ac:dyDescent="0.35">
      <c r="A7" s="10" t="s">
        <v>154</v>
      </c>
      <c r="B7" s="22" t="s">
        <v>155</v>
      </c>
      <c r="C7" s="1"/>
      <c r="D7" s="2"/>
      <c r="E7" s="2"/>
      <c r="F7" s="2"/>
      <c r="G7" s="39">
        <v>6000</v>
      </c>
      <c r="H7" s="34">
        <v>6000</v>
      </c>
      <c r="K7" s="84">
        <v>6000</v>
      </c>
      <c r="M7" s="46" t="s">
        <v>156</v>
      </c>
      <c r="N7" s="47"/>
    </row>
    <row r="8" spans="1:18" ht="15.5" x14ac:dyDescent="0.35">
      <c r="A8" s="10" t="s">
        <v>157</v>
      </c>
      <c r="B8" s="25" t="s">
        <v>158</v>
      </c>
      <c r="C8" s="1"/>
      <c r="D8" s="2"/>
      <c r="E8" s="2"/>
      <c r="F8" s="2"/>
      <c r="G8" s="39">
        <v>10000</v>
      </c>
      <c r="H8" s="34">
        <f>G8*144%</f>
        <v>14400</v>
      </c>
      <c r="K8" s="84">
        <f>H8</f>
        <v>14400</v>
      </c>
      <c r="M8" s="48">
        <v>13850</v>
      </c>
      <c r="N8" s="49"/>
    </row>
    <row r="9" spans="1:18" ht="15.5" x14ac:dyDescent="0.35">
      <c r="A9" s="10"/>
      <c r="B9" s="25"/>
      <c r="C9" s="1"/>
      <c r="D9" s="2"/>
      <c r="E9" s="2"/>
      <c r="F9" s="2"/>
      <c r="G9" s="39"/>
      <c r="H9" s="34"/>
      <c r="K9" s="84"/>
      <c r="M9" s="48" t="s">
        <v>160</v>
      </c>
      <c r="N9" s="49"/>
    </row>
    <row r="10" spans="1:18" ht="15.5" x14ac:dyDescent="0.35">
      <c r="A10" s="10" t="s">
        <v>161</v>
      </c>
      <c r="B10" s="25" t="s">
        <v>162</v>
      </c>
      <c r="C10" s="21"/>
      <c r="D10" s="2"/>
      <c r="E10" s="2"/>
      <c r="F10" s="2"/>
      <c r="G10" s="39">
        <v>10000</v>
      </c>
      <c r="H10" s="34">
        <f>G10*144%</f>
        <v>14400</v>
      </c>
      <c r="K10" s="84">
        <f>H10</f>
        <v>14400</v>
      </c>
      <c r="M10" s="50" t="s">
        <v>164</v>
      </c>
      <c r="N10" s="51"/>
      <c r="R10" t="s">
        <v>30</v>
      </c>
    </row>
    <row r="11" spans="1:18" ht="15.5" x14ac:dyDescent="0.35">
      <c r="A11" s="11"/>
      <c r="B11" s="23"/>
      <c r="C11" s="3"/>
      <c r="D11" s="2"/>
      <c r="E11" s="2"/>
      <c r="F11" s="2"/>
      <c r="G11" s="39"/>
      <c r="H11" s="34"/>
      <c r="I11" s="129">
        <f>14342+14342</f>
        <v>28684</v>
      </c>
      <c r="J11" t="s">
        <v>226</v>
      </c>
      <c r="K11" s="84"/>
    </row>
    <row r="12" spans="1:18" ht="16" thickBot="1" x14ac:dyDescent="0.4">
      <c r="A12" s="491" t="s">
        <v>165</v>
      </c>
      <c r="B12" s="492"/>
      <c r="C12" s="2"/>
      <c r="D12" s="2"/>
      <c r="E12" s="2">
        <f>39550/25</f>
        <v>1582</v>
      </c>
      <c r="F12" s="2"/>
      <c r="G12" s="39"/>
      <c r="H12" s="34"/>
      <c r="K12" s="84"/>
    </row>
    <row r="13" spans="1:18" ht="15.5" x14ac:dyDescent="0.35">
      <c r="A13" s="14"/>
      <c r="B13" s="24" t="s">
        <v>166</v>
      </c>
      <c r="C13" s="5"/>
      <c r="D13" s="2"/>
      <c r="E13" s="2"/>
      <c r="F13" s="2"/>
      <c r="G13" s="39"/>
      <c r="H13" s="35"/>
      <c r="K13" s="85"/>
      <c r="M13" s="46">
        <v>12480</v>
      </c>
      <c r="N13" s="55">
        <v>0.05</v>
      </c>
      <c r="O13" s="47">
        <f>M13*(1+N13)</f>
        <v>13104</v>
      </c>
    </row>
    <row r="14" spans="1:18" ht="16" thickBot="1" x14ac:dyDescent="0.4">
      <c r="A14" s="14"/>
      <c r="B14" s="25" t="s">
        <v>66</v>
      </c>
      <c r="C14" s="5"/>
      <c r="D14" s="2"/>
      <c r="E14" s="5"/>
      <c r="F14" s="2"/>
      <c r="G14" s="39">
        <v>100</v>
      </c>
      <c r="H14" s="34">
        <v>800</v>
      </c>
      <c r="I14" s="129">
        <f>926.82+241.22+45.26</f>
        <v>1213.3</v>
      </c>
      <c r="J14" t="s">
        <v>227</v>
      </c>
      <c r="K14" s="84">
        <v>800</v>
      </c>
      <c r="M14" s="50"/>
      <c r="N14" s="56"/>
      <c r="O14" s="51">
        <f>O13-M6</f>
        <v>8714</v>
      </c>
    </row>
    <row r="15" spans="1:18" ht="15.5" x14ac:dyDescent="0.35">
      <c r="A15" s="14"/>
      <c r="B15" s="25"/>
      <c r="C15" s="6"/>
      <c r="D15" s="2"/>
      <c r="E15" s="5"/>
      <c r="F15" s="2"/>
      <c r="G15" s="39"/>
      <c r="H15" s="36"/>
      <c r="K15" s="86"/>
    </row>
    <row r="16" spans="1:18" ht="15.5" x14ac:dyDescent="0.35">
      <c r="A16" s="14"/>
      <c r="B16" s="24" t="s">
        <v>167</v>
      </c>
      <c r="C16" s="6"/>
      <c r="D16" s="2"/>
      <c r="E16" s="2" t="s">
        <v>30</v>
      </c>
      <c r="F16" s="2"/>
      <c r="G16" s="39"/>
      <c r="H16" s="36"/>
      <c r="K16" s="87"/>
    </row>
    <row r="17" spans="1:12" ht="15.5" x14ac:dyDescent="0.35">
      <c r="A17" s="14"/>
      <c r="B17" s="25" t="s">
        <v>168</v>
      </c>
      <c r="C17" s="6"/>
      <c r="D17" s="2"/>
      <c r="E17" s="2"/>
      <c r="F17" s="2"/>
      <c r="G17" s="39"/>
      <c r="H17" s="37">
        <v>250</v>
      </c>
      <c r="K17" s="86">
        <v>250</v>
      </c>
      <c r="L17" s="92"/>
    </row>
    <row r="18" spans="1:12" ht="15.5" x14ac:dyDescent="0.35">
      <c r="A18" s="14"/>
      <c r="B18" s="25"/>
      <c r="C18" s="6"/>
      <c r="D18" s="2"/>
      <c r="E18" s="2"/>
      <c r="F18" s="2"/>
      <c r="G18" s="39"/>
      <c r="H18" s="37"/>
      <c r="K18" s="86"/>
    </row>
    <row r="19" spans="1:12" ht="15.5" x14ac:dyDescent="0.35">
      <c r="A19" s="14"/>
      <c r="B19" s="24" t="s">
        <v>170</v>
      </c>
      <c r="C19" s="6"/>
      <c r="D19" s="2"/>
      <c r="E19" s="2"/>
      <c r="F19" s="2"/>
      <c r="G19" s="39"/>
      <c r="H19" s="37"/>
      <c r="K19" s="86"/>
    </row>
    <row r="20" spans="1:12" ht="15.5" x14ac:dyDescent="0.35">
      <c r="A20" s="14"/>
      <c r="B20" s="24" t="s">
        <v>171</v>
      </c>
      <c r="C20" s="6"/>
      <c r="D20" s="2" t="s">
        <v>30</v>
      </c>
      <c r="E20" s="2"/>
      <c r="F20" s="2"/>
      <c r="G20" s="39"/>
      <c r="H20" s="37"/>
      <c r="K20" s="86"/>
    </row>
    <row r="21" spans="1:12" ht="15.5" x14ac:dyDescent="0.35">
      <c r="A21" s="14"/>
      <c r="B21" s="25" t="s">
        <v>158</v>
      </c>
      <c r="C21" s="6" t="s">
        <v>228</v>
      </c>
      <c r="D21" s="6"/>
      <c r="E21" s="6"/>
      <c r="F21" s="2"/>
      <c r="G21" s="39">
        <v>115</v>
      </c>
      <c r="H21" s="37">
        <f>$G$21*H2</f>
        <v>1610</v>
      </c>
      <c r="K21" s="86">
        <f>$G$21*K2</f>
        <v>1610</v>
      </c>
    </row>
    <row r="22" spans="1:12" ht="15.5" x14ac:dyDescent="0.35">
      <c r="A22" s="14"/>
      <c r="B22" s="25" t="s">
        <v>162</v>
      </c>
      <c r="C22" s="6" t="s">
        <v>228</v>
      </c>
      <c r="D22" s="6"/>
      <c r="E22" s="2"/>
      <c r="F22" s="2"/>
      <c r="G22" s="39">
        <v>115</v>
      </c>
      <c r="H22" s="37">
        <f>G22*H2</f>
        <v>1610</v>
      </c>
      <c r="K22" s="86">
        <f>G22*K2</f>
        <v>1610</v>
      </c>
    </row>
    <row r="23" spans="1:12" ht="15.5" x14ac:dyDescent="0.35">
      <c r="A23" s="14"/>
      <c r="B23" s="25"/>
      <c r="C23" s="6"/>
      <c r="D23" s="6"/>
      <c r="E23" s="2"/>
      <c r="F23" s="2"/>
      <c r="G23" s="39"/>
      <c r="H23" s="37"/>
      <c r="K23" s="86"/>
    </row>
    <row r="24" spans="1:12" ht="15.5" x14ac:dyDescent="0.35">
      <c r="A24" s="14"/>
      <c r="B24" s="24" t="s">
        <v>176</v>
      </c>
      <c r="C24" s="6"/>
      <c r="D24" s="2"/>
      <c r="E24" s="2"/>
      <c r="F24" s="2"/>
      <c r="G24" s="39"/>
      <c r="H24" s="36"/>
      <c r="K24" s="87"/>
    </row>
    <row r="25" spans="1:12" ht="15.5" x14ac:dyDescent="0.35">
      <c r="A25" s="14"/>
      <c r="B25" s="25" t="s">
        <v>177</v>
      </c>
      <c r="C25" s="6"/>
      <c r="D25" s="2"/>
      <c r="E25" s="2"/>
      <c r="F25" s="2"/>
      <c r="G25" s="39"/>
      <c r="H25" s="37">
        <v>0</v>
      </c>
      <c r="K25" s="86">
        <v>0</v>
      </c>
    </row>
    <row r="26" spans="1:12" ht="15.5" x14ac:dyDescent="0.35">
      <c r="A26" s="14"/>
      <c r="B26" s="25" t="s">
        <v>178</v>
      </c>
      <c r="C26" s="2"/>
      <c r="D26" s="2"/>
      <c r="E26" s="2"/>
      <c r="F26" s="2"/>
      <c r="G26" s="39">
        <v>20</v>
      </c>
      <c r="H26" s="34">
        <f>20*H$2</f>
        <v>280</v>
      </c>
      <c r="K26" s="84">
        <f>20*K$2</f>
        <v>280</v>
      </c>
    </row>
    <row r="27" spans="1:12" ht="15.5" x14ac:dyDescent="0.35">
      <c r="A27" s="14"/>
      <c r="B27" s="25" t="s">
        <v>78</v>
      </c>
      <c r="C27" s="2"/>
      <c r="D27" s="2"/>
      <c r="E27" s="2"/>
      <c r="F27" s="2"/>
      <c r="G27" s="39">
        <v>15</v>
      </c>
      <c r="H27" s="34">
        <f>G27*H$2</f>
        <v>210</v>
      </c>
      <c r="K27" s="84">
        <v>210</v>
      </c>
    </row>
    <row r="28" spans="1:12" ht="15.5" x14ac:dyDescent="0.35">
      <c r="A28" s="14"/>
      <c r="B28" s="25" t="s">
        <v>179</v>
      </c>
      <c r="C28" s="2"/>
      <c r="D28" s="2"/>
      <c r="E28" s="2"/>
      <c r="F28" s="2"/>
      <c r="G28" s="39"/>
      <c r="H28" s="34">
        <v>100</v>
      </c>
      <c r="I28" s="129">
        <v>24.07</v>
      </c>
      <c r="J28" t="s">
        <v>229</v>
      </c>
      <c r="K28" s="84">
        <v>100</v>
      </c>
    </row>
    <row r="29" spans="1:12" ht="15.5" x14ac:dyDescent="0.35">
      <c r="A29" s="14"/>
      <c r="B29" s="25" t="s">
        <v>75</v>
      </c>
      <c r="C29" s="2"/>
      <c r="D29" s="2"/>
      <c r="E29" s="2"/>
      <c r="F29" s="2"/>
      <c r="G29" s="39">
        <v>450</v>
      </c>
      <c r="H29" s="34">
        <f>$G$29*H2</f>
        <v>6300</v>
      </c>
      <c r="I29" s="129">
        <f>(300*12)+(4*7)</f>
        <v>3628</v>
      </c>
      <c r="J29" s="2" t="s">
        <v>230</v>
      </c>
      <c r="K29" s="84">
        <f>$G$29*K2</f>
        <v>6300</v>
      </c>
    </row>
    <row r="30" spans="1:12" ht="15.5" x14ac:dyDescent="0.35">
      <c r="A30" s="14"/>
      <c r="B30" s="25" t="s">
        <v>182</v>
      </c>
      <c r="C30" s="6" t="s">
        <v>183</v>
      </c>
      <c r="D30" s="2"/>
      <c r="E30" s="2"/>
      <c r="F30" s="2"/>
      <c r="G30" s="39">
        <v>325</v>
      </c>
      <c r="H30" s="37">
        <f>G30*$H$2</f>
        <v>4550</v>
      </c>
      <c r="K30" s="86">
        <f>G30*K2</f>
        <v>4550</v>
      </c>
    </row>
    <row r="31" spans="1:12" ht="15.5" x14ac:dyDescent="0.35">
      <c r="A31" s="14"/>
      <c r="B31" s="25" t="s">
        <v>184</v>
      </c>
      <c r="C31" s="44">
        <v>0.05</v>
      </c>
      <c r="D31" s="2"/>
      <c r="E31" s="2"/>
      <c r="F31" s="2"/>
      <c r="G31" s="39"/>
      <c r="H31" s="34">
        <f>C31*H4</f>
        <v>7896.7000000000007</v>
      </c>
      <c r="K31" s="84">
        <f>C31*K4</f>
        <v>6099.8</v>
      </c>
    </row>
    <row r="32" spans="1:12" ht="15.5" x14ac:dyDescent="0.35">
      <c r="A32" s="15"/>
      <c r="B32" s="26"/>
      <c r="C32" s="12" t="s">
        <v>192</v>
      </c>
      <c r="D32" s="2"/>
      <c r="E32" s="2"/>
      <c r="F32" s="2"/>
      <c r="G32" s="39"/>
      <c r="H32" s="34"/>
      <c r="K32" s="34"/>
    </row>
    <row r="33" spans="1:15" ht="15.5" x14ac:dyDescent="0.35">
      <c r="A33" s="14"/>
      <c r="B33" s="24"/>
      <c r="C33" s="4" t="s">
        <v>194</v>
      </c>
      <c r="D33" s="2"/>
      <c r="E33" s="2"/>
      <c r="F33" s="2"/>
      <c r="G33" s="39"/>
      <c r="H33" s="35">
        <f>H4</f>
        <v>157934</v>
      </c>
      <c r="I33" s="129">
        <f>I4</f>
        <v>157894</v>
      </c>
      <c r="K33" s="35">
        <f>K4</f>
        <v>121996</v>
      </c>
    </row>
    <row r="34" spans="1:15" ht="15.5" x14ac:dyDescent="0.35">
      <c r="A34" s="14"/>
      <c r="B34" s="24"/>
      <c r="C34" s="4" t="s">
        <v>5</v>
      </c>
      <c r="D34" s="2"/>
      <c r="E34" s="2"/>
      <c r="F34" s="2"/>
      <c r="G34" s="39"/>
      <c r="H34" s="35">
        <f>SUM(H6:H31)</f>
        <v>58406.7</v>
      </c>
      <c r="I34" s="129">
        <f>SUM(I5:I31)</f>
        <v>33549.369999999995</v>
      </c>
      <c r="K34" s="35">
        <f>SUM(K6:K31)</f>
        <v>56609.8</v>
      </c>
      <c r="L34" s="52"/>
      <c r="M34" s="52"/>
    </row>
    <row r="35" spans="1:15" ht="15.5" x14ac:dyDescent="0.35">
      <c r="A35" s="14"/>
      <c r="B35" s="24"/>
      <c r="C35" s="19" t="s">
        <v>197</v>
      </c>
      <c r="D35" s="20"/>
      <c r="E35" s="20"/>
      <c r="F35" s="20"/>
      <c r="G35" s="40"/>
      <c r="H35" s="38">
        <f t="shared" ref="H35" si="1">H33-H34</f>
        <v>99527.3</v>
      </c>
      <c r="I35" s="129">
        <f>I4-I34</f>
        <v>124344.63</v>
      </c>
      <c r="K35" s="38">
        <f>K33-K34</f>
        <v>65386.2</v>
      </c>
      <c r="L35" s="52"/>
      <c r="M35" s="52"/>
    </row>
    <row r="36" spans="1:15" ht="16" thickBot="1" x14ac:dyDescent="0.4">
      <c r="A36" s="16"/>
      <c r="B36" s="27"/>
      <c r="C36" s="17"/>
      <c r="D36" s="18"/>
      <c r="E36" s="18"/>
      <c r="F36" s="18"/>
      <c r="G36" s="42"/>
      <c r="H36" s="131">
        <f>H35/H33</f>
        <v>0.63018286119518285</v>
      </c>
      <c r="I36" s="130">
        <f>I35/I33</f>
        <v>0.7875196650917704</v>
      </c>
      <c r="K36" s="43">
        <f>K35/K33</f>
        <v>0.53597003180432146</v>
      </c>
      <c r="L36" s="53"/>
      <c r="M36" s="53" t="s">
        <v>30</v>
      </c>
      <c r="N36" t="s">
        <v>30</v>
      </c>
      <c r="O36">
        <f>96000</f>
        <v>96000</v>
      </c>
    </row>
    <row r="37" spans="1:15" ht="43.5" x14ac:dyDescent="0.35">
      <c r="A37" s="73" t="s">
        <v>203</v>
      </c>
      <c r="B37" s="74" t="s">
        <v>204</v>
      </c>
      <c r="C37" s="75"/>
      <c r="D37" s="67"/>
      <c r="E37" s="67"/>
      <c r="F37" s="67"/>
      <c r="G37" s="69">
        <v>2000</v>
      </c>
      <c r="H37" s="72"/>
      <c r="K37" s="81">
        <f>G37*K2</f>
        <v>28000</v>
      </c>
      <c r="O37" s="90">
        <v>50000</v>
      </c>
    </row>
    <row r="38" spans="1:15" ht="15.5" x14ac:dyDescent="0.35">
      <c r="A38" s="57"/>
      <c r="B38" s="58" t="s">
        <v>205</v>
      </c>
      <c r="C38" s="1"/>
      <c r="D38" s="2"/>
      <c r="E38" s="2"/>
      <c r="F38" s="2"/>
      <c r="G38" s="39">
        <v>250</v>
      </c>
      <c r="H38" s="60"/>
      <c r="K38" s="82">
        <f>G38*K2</f>
        <v>3500</v>
      </c>
      <c r="N38" s="45"/>
      <c r="O38" s="45">
        <f>O36-O37</f>
        <v>46000</v>
      </c>
    </row>
    <row r="39" spans="1:15" ht="15.5" x14ac:dyDescent="0.35">
      <c r="A39" s="2"/>
      <c r="B39" s="2" t="s">
        <v>231</v>
      </c>
      <c r="C39" s="44">
        <v>7.2999999999999995E-2</v>
      </c>
      <c r="D39" s="2"/>
      <c r="E39" s="2"/>
      <c r="F39" s="2"/>
      <c r="G39" s="39"/>
      <c r="H39" s="76"/>
      <c r="K39" s="83">
        <f>K41*C39</f>
        <v>2623.4739999999997</v>
      </c>
      <c r="O39" s="54">
        <f>O38/O36</f>
        <v>0.47916666666666669</v>
      </c>
    </row>
    <row r="40" spans="1:15" ht="15.5" x14ac:dyDescent="0.35">
      <c r="A40" s="2"/>
      <c r="B40" s="2"/>
      <c r="C40" s="3" t="s">
        <v>206</v>
      </c>
      <c r="D40" s="2"/>
      <c r="E40" s="2"/>
      <c r="F40" s="2"/>
      <c r="G40" s="39"/>
      <c r="H40" s="76"/>
      <c r="K40" s="83">
        <f>SUM(K37:K39)</f>
        <v>34123.474000000002</v>
      </c>
      <c r="O40" s="54">
        <f>O39-K49</f>
        <v>0.13916666666666666</v>
      </c>
    </row>
    <row r="41" spans="1:15" ht="15.5" x14ac:dyDescent="0.35">
      <c r="A41" s="2"/>
      <c r="B41" s="2"/>
      <c r="C41" s="3" t="s">
        <v>208</v>
      </c>
      <c r="D41" s="2"/>
      <c r="E41" s="2"/>
      <c r="F41" s="2"/>
      <c r="G41" s="39">
        <v>2567</v>
      </c>
      <c r="H41" s="76"/>
      <c r="K41" s="88">
        <f>G41*K2</f>
        <v>35938</v>
      </c>
    </row>
    <row r="42" spans="1:15" ht="16" thickBot="1" x14ac:dyDescent="0.4">
      <c r="A42" s="18"/>
      <c r="B42" s="18"/>
      <c r="C42" s="71" t="s">
        <v>209</v>
      </c>
      <c r="D42" s="18"/>
      <c r="E42" s="18"/>
      <c r="F42" s="18"/>
      <c r="G42" s="42"/>
      <c r="H42" s="77"/>
      <c r="K42" s="66">
        <f>(K41-K40)/K41</f>
        <v>5.0490455784962938E-2</v>
      </c>
      <c r="M42" t="s">
        <v>210</v>
      </c>
    </row>
    <row r="43" spans="1:15" ht="15.5" x14ac:dyDescent="0.35">
      <c r="A43" s="67"/>
      <c r="B43" s="67"/>
      <c r="C43" s="68" t="s">
        <v>211</v>
      </c>
      <c r="D43" s="67"/>
      <c r="E43" s="67"/>
      <c r="F43" s="67"/>
      <c r="G43" s="69"/>
      <c r="H43" s="70"/>
      <c r="K43" s="65">
        <f>G41+K3</f>
        <v>11281</v>
      </c>
      <c r="M43">
        <v>12480</v>
      </c>
      <c r="N43">
        <f>M43*0.05</f>
        <v>624</v>
      </c>
      <c r="O43">
        <f>M43+N43</f>
        <v>13104</v>
      </c>
    </row>
    <row r="44" spans="1:15" ht="15.5" x14ac:dyDescent="0.35">
      <c r="A44" s="2"/>
      <c r="B44" s="2"/>
      <c r="C44" s="3" t="s">
        <v>212</v>
      </c>
      <c r="D44" s="2"/>
      <c r="E44" s="2"/>
      <c r="F44" s="2"/>
      <c r="G44" s="64"/>
      <c r="H44" s="59"/>
      <c r="K44" s="61">
        <f>K43*K2</f>
        <v>157934</v>
      </c>
      <c r="O44" s="89">
        <f>O43-K43</f>
        <v>1823</v>
      </c>
    </row>
    <row r="45" spans="1:15" ht="15.5" x14ac:dyDescent="0.35">
      <c r="A45" s="2"/>
      <c r="B45" s="2"/>
      <c r="C45" s="3" t="s">
        <v>207</v>
      </c>
      <c r="D45" s="2"/>
      <c r="E45" s="2"/>
      <c r="F45" s="2"/>
      <c r="G45" s="39"/>
      <c r="H45" s="59"/>
      <c r="K45" s="78">
        <f>K40+K34</f>
        <v>90733.274000000005</v>
      </c>
    </row>
    <row r="46" spans="1:15" ht="15.5" x14ac:dyDescent="0.35">
      <c r="A46" s="2"/>
      <c r="B46" s="2"/>
      <c r="C46" s="62" t="s">
        <v>213</v>
      </c>
      <c r="D46" s="2"/>
      <c r="E46" s="2"/>
      <c r="F46" s="2"/>
      <c r="G46" s="40"/>
      <c r="H46" s="63"/>
      <c r="K46" s="79">
        <f>K44-K45</f>
        <v>67200.725999999995</v>
      </c>
      <c r="N46">
        <f>9600</f>
        <v>9600</v>
      </c>
    </row>
    <row r="47" spans="1:15" ht="15.5" x14ac:dyDescent="0.35">
      <c r="A47" s="2"/>
      <c r="B47" s="2"/>
      <c r="C47" s="3" t="s">
        <v>232</v>
      </c>
      <c r="D47" s="2"/>
      <c r="E47" s="2"/>
      <c r="F47" s="2"/>
      <c r="G47" s="39"/>
      <c r="H47" s="59"/>
      <c r="K47" s="80">
        <f>K46/K44</f>
        <v>0.42549879063406232</v>
      </c>
      <c r="N47">
        <f>N43</f>
        <v>624</v>
      </c>
    </row>
    <row r="48" spans="1:15" x14ac:dyDescent="0.35">
      <c r="N48">
        <f>SUM(N46:N47)</f>
        <v>10224</v>
      </c>
    </row>
    <row r="49" spans="10:13" x14ac:dyDescent="0.35">
      <c r="J49" t="s">
        <v>233</v>
      </c>
      <c r="K49" s="91">
        <v>0.34</v>
      </c>
      <c r="L49" s="54">
        <f>K36-K49</f>
        <v>0.19597003180432143</v>
      </c>
      <c r="M49" s="54">
        <f>K47-K49</f>
        <v>8.5498790634062294E-2</v>
      </c>
    </row>
  </sheetData>
  <mergeCells count="3">
    <mergeCell ref="A1:H1"/>
    <mergeCell ref="A5:B5"/>
    <mergeCell ref="A12:B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7AA73-3274-4CFA-9205-891B327F0442}">
  <sheetPr>
    <tabColor theme="4"/>
  </sheetPr>
  <dimension ref="A1:R349"/>
  <sheetViews>
    <sheetView zoomScale="85" zoomScaleNormal="85" workbookViewId="0"/>
  </sheetViews>
  <sheetFormatPr defaultRowHeight="14.5" outlineLevelRow="2" x14ac:dyDescent="0.35"/>
  <cols>
    <col min="1" max="1" width="3.1796875" customWidth="1"/>
    <col min="2" max="2" width="54.1796875" customWidth="1"/>
    <col min="3" max="3" width="19.7265625" customWidth="1"/>
    <col min="4" max="4" width="16.81640625" customWidth="1"/>
    <col min="5" max="12" width="17" customWidth="1"/>
    <col min="13" max="13" width="13.7265625" bestFit="1" customWidth="1"/>
    <col min="14" max="14" width="17.81640625" bestFit="1" customWidth="1"/>
    <col min="15" max="15" width="11.453125" bestFit="1" customWidth="1"/>
    <col min="17" max="18" width="10.81640625" bestFit="1" customWidth="1"/>
    <col min="19" max="19" width="11.81640625" bestFit="1" customWidth="1"/>
  </cols>
  <sheetData>
    <row r="1" spans="1:17" x14ac:dyDescent="0.35">
      <c r="A1" s="198" t="s">
        <v>97</v>
      </c>
      <c r="B1" s="199"/>
      <c r="C1" s="199"/>
      <c r="D1" s="199"/>
      <c r="E1" s="199"/>
      <c r="F1" s="199"/>
      <c r="G1" s="199"/>
      <c r="H1" s="199"/>
      <c r="I1" s="199"/>
      <c r="J1" s="199"/>
      <c r="K1" s="199"/>
      <c r="L1" s="199"/>
    </row>
    <row r="2" spans="1:17" ht="15" thickBot="1" x14ac:dyDescent="0.4">
      <c r="A2" s="184" t="s">
        <v>1</v>
      </c>
      <c r="B2" s="184"/>
      <c r="C2" s="184"/>
      <c r="D2" s="184"/>
      <c r="E2" s="184"/>
      <c r="F2" s="184"/>
      <c r="G2" s="184"/>
      <c r="H2" s="184"/>
      <c r="I2" s="184"/>
      <c r="J2" s="184"/>
      <c r="K2" s="184"/>
      <c r="L2" s="184"/>
      <c r="M2" s="185"/>
      <c r="N2" s="185"/>
      <c r="O2" s="186"/>
      <c r="P2" s="186"/>
      <c r="Q2" s="186"/>
    </row>
    <row r="3" spans="1:17" outlineLevel="1" x14ac:dyDescent="0.35">
      <c r="B3" s="187" t="s">
        <v>2</v>
      </c>
      <c r="C3" s="188" t="s">
        <v>3</v>
      </c>
      <c r="D3" s="187" t="s">
        <v>4</v>
      </c>
      <c r="E3" s="187" t="s">
        <v>5</v>
      </c>
      <c r="F3" s="187" t="s">
        <v>6</v>
      </c>
      <c r="G3" s="187" t="s">
        <v>7</v>
      </c>
      <c r="H3" s="189" t="s">
        <v>8</v>
      </c>
      <c r="I3" s="189" t="s">
        <v>9</v>
      </c>
      <c r="J3" s="189" t="s">
        <v>10</v>
      </c>
      <c r="K3" s="189" t="s">
        <v>11</v>
      </c>
      <c r="L3" s="189" t="s">
        <v>12</v>
      </c>
      <c r="M3" s="190"/>
      <c r="N3" s="186"/>
      <c r="O3" s="186"/>
      <c r="P3" s="186"/>
    </row>
    <row r="4" spans="1:17" outlineLevel="1" x14ac:dyDescent="0.35">
      <c r="B4" s="191">
        <f>F14</f>
        <v>10</v>
      </c>
      <c r="C4" s="192">
        <v>2500</v>
      </c>
      <c r="D4" s="193">
        <f>$F$16</f>
        <v>148464.20000000001</v>
      </c>
      <c r="E4" s="194">
        <f>$F$84</f>
        <v>57570</v>
      </c>
      <c r="F4" s="194">
        <f>$F$107</f>
        <v>90894.200000000012</v>
      </c>
      <c r="G4" s="363">
        <f>$F$98</f>
        <v>44539.26</v>
      </c>
      <c r="H4" s="170">
        <f>$F$108</f>
        <v>46354.94000000001</v>
      </c>
      <c r="I4" s="170">
        <f>$F$101</f>
        <v>26703.457660000004</v>
      </c>
      <c r="J4" s="170">
        <f>$F$102</f>
        <v>4767.5773817640011</v>
      </c>
      <c r="K4" s="170">
        <f>F4-G4-I4-J4</f>
        <v>14883.904958236006</v>
      </c>
      <c r="L4" s="195">
        <f>K4/D4</f>
        <v>0.10025248482958184</v>
      </c>
      <c r="M4" s="196"/>
      <c r="N4" s="186"/>
      <c r="O4" s="186"/>
      <c r="P4" s="197"/>
    </row>
    <row r="5" spans="1:17" x14ac:dyDescent="0.35">
      <c r="B5" s="211"/>
      <c r="C5" s="192"/>
      <c r="D5" s="201"/>
      <c r="E5" s="202"/>
      <c r="F5" s="203"/>
      <c r="G5" s="204"/>
      <c r="H5" s="204"/>
      <c r="I5" s="204"/>
      <c r="J5" s="205"/>
      <c r="K5" s="206"/>
      <c r="L5" s="206"/>
      <c r="M5" s="207"/>
      <c r="N5" s="196"/>
      <c r="O5" s="186"/>
      <c r="P5" s="208"/>
      <c r="Q5" s="186"/>
    </row>
    <row r="6" spans="1:17" ht="15" thickBot="1" x14ac:dyDescent="0.4">
      <c r="A6" s="184" t="s">
        <v>13</v>
      </c>
      <c r="B6" s="184"/>
      <c r="C6" s="184"/>
      <c r="D6" s="184"/>
      <c r="E6" s="184"/>
      <c r="F6" s="184"/>
      <c r="G6" s="184"/>
      <c r="H6" s="184"/>
      <c r="I6" s="184"/>
      <c r="J6" s="184"/>
      <c r="K6" s="184"/>
      <c r="L6" s="184"/>
      <c r="M6" s="185"/>
      <c r="N6" s="185"/>
      <c r="O6" s="186"/>
      <c r="P6" s="186"/>
      <c r="Q6" s="186"/>
    </row>
    <row r="7" spans="1:17" outlineLevel="1" x14ac:dyDescent="0.35">
      <c r="A7" s="212"/>
      <c r="B7" s="187" t="s">
        <v>14</v>
      </c>
      <c r="C7" s="188" t="s">
        <v>15</v>
      </c>
      <c r="D7" s="187" t="s">
        <v>16</v>
      </c>
      <c r="E7" s="188" t="s">
        <v>17</v>
      </c>
      <c r="F7" s="187" t="s">
        <v>18</v>
      </c>
      <c r="G7" s="187"/>
      <c r="H7" s="189"/>
      <c r="I7" s="189"/>
      <c r="J7" s="189"/>
      <c r="K7" s="189"/>
      <c r="L7" s="189"/>
      <c r="M7" s="185"/>
      <c r="N7" s="185"/>
      <c r="O7" s="186"/>
      <c r="P7" s="186"/>
      <c r="Q7" s="186"/>
    </row>
    <row r="8" spans="1:17" outlineLevel="1" x14ac:dyDescent="0.35">
      <c r="A8" s="212"/>
      <c r="B8" s="360" t="s">
        <v>19</v>
      </c>
      <c r="C8" s="391">
        <v>17289.12</v>
      </c>
      <c r="D8" s="195">
        <v>1.4E-2</v>
      </c>
      <c r="E8" s="391">
        <f>C8+(C8*D8)</f>
        <v>17531.167679999999</v>
      </c>
      <c r="F8" s="383"/>
      <c r="G8" s="383"/>
      <c r="H8" s="212"/>
      <c r="I8" s="212"/>
      <c r="J8" s="212"/>
      <c r="K8" s="212"/>
      <c r="L8" s="212"/>
      <c r="M8" s="185"/>
      <c r="N8" s="185"/>
      <c r="O8" s="186"/>
      <c r="P8" s="186"/>
      <c r="Q8" s="186"/>
    </row>
    <row r="9" spans="1:17" outlineLevel="1" x14ac:dyDescent="0.35">
      <c r="B9" s="360" t="s">
        <v>20</v>
      </c>
      <c r="C9" s="192">
        <v>14414</v>
      </c>
      <c r="D9" s="195">
        <v>0.03</v>
      </c>
      <c r="E9" s="391">
        <f>C9+(C9*D9)</f>
        <v>14846.42</v>
      </c>
      <c r="F9" s="194">
        <f>E9-C9</f>
        <v>432.42000000000007</v>
      </c>
      <c r="G9" s="363"/>
      <c r="H9" s="170"/>
      <c r="I9" s="170"/>
      <c r="J9" s="170"/>
      <c r="K9" s="170"/>
      <c r="L9" s="195"/>
      <c r="M9" s="207"/>
      <c r="N9" s="196"/>
      <c r="O9" s="186"/>
      <c r="P9" s="208"/>
      <c r="Q9" s="186"/>
    </row>
    <row r="10" spans="1:17" outlineLevel="1" x14ac:dyDescent="0.35">
      <c r="B10" s="322" t="s">
        <v>21</v>
      </c>
      <c r="C10" s="192">
        <v>13759</v>
      </c>
      <c r="D10" s="195">
        <v>0.03</v>
      </c>
      <c r="E10" s="391">
        <f>C10+(C10*D10)</f>
        <v>14171.77</v>
      </c>
      <c r="F10" s="194">
        <f t="shared" ref="F10:F11" si="0">E10-C10</f>
        <v>412.77000000000044</v>
      </c>
      <c r="G10" s="363"/>
      <c r="H10" s="170"/>
      <c r="I10" s="170"/>
      <c r="J10" s="170"/>
      <c r="K10" s="170"/>
      <c r="L10" s="195"/>
      <c r="M10" s="207"/>
      <c r="N10" s="196"/>
      <c r="O10" s="186"/>
      <c r="P10" s="208"/>
      <c r="Q10" s="186"/>
    </row>
    <row r="11" spans="1:17" outlineLevel="1" x14ac:dyDescent="0.35">
      <c r="B11" s="322" t="s">
        <v>22</v>
      </c>
      <c r="C11" s="192">
        <v>12759</v>
      </c>
      <c r="D11" s="195">
        <v>0.05</v>
      </c>
      <c r="E11" s="391">
        <f t="shared" ref="E11" si="1">C11+(C11*D11)</f>
        <v>13396.95</v>
      </c>
      <c r="F11" s="194">
        <f t="shared" si="0"/>
        <v>637.95000000000073</v>
      </c>
      <c r="G11" s="363"/>
      <c r="H11" s="170"/>
      <c r="I11" s="170"/>
      <c r="J11" s="170"/>
      <c r="K11" s="170"/>
      <c r="L11" s="195"/>
      <c r="M11" s="207"/>
      <c r="N11" s="196"/>
      <c r="O11" s="186"/>
      <c r="P11" s="208"/>
      <c r="Q11" s="186"/>
    </row>
    <row r="12" spans="1:17" s="212" customFormat="1" x14ac:dyDescent="0.35">
      <c r="B12" s="221"/>
      <c r="C12" s="222"/>
      <c r="D12" s="223"/>
      <c r="E12" s="224"/>
      <c r="F12" s="225"/>
      <c r="G12" s="225"/>
      <c r="H12" s="225"/>
      <c r="I12" s="204"/>
      <c r="J12" s="226"/>
      <c r="K12" s="196"/>
      <c r="L12" s="196"/>
      <c r="M12" s="227"/>
      <c r="N12" s="196"/>
      <c r="O12" s="228"/>
      <c r="P12" s="229"/>
      <c r="Q12" s="228"/>
    </row>
    <row r="13" spans="1:17" ht="15" thickBot="1" x14ac:dyDescent="0.4">
      <c r="A13" s="184" t="s">
        <v>23</v>
      </c>
      <c r="B13" s="184"/>
      <c r="C13" s="184"/>
      <c r="D13" s="184"/>
      <c r="E13" s="184"/>
      <c r="F13" s="184"/>
      <c r="G13" s="184"/>
      <c r="H13" s="184"/>
      <c r="I13" s="184"/>
      <c r="J13" s="184"/>
      <c r="K13" s="184"/>
      <c r="L13" s="184"/>
      <c r="M13" s="185"/>
      <c r="N13" s="185"/>
      <c r="O13" s="186"/>
      <c r="P13" s="186"/>
      <c r="Q13" s="186"/>
    </row>
    <row r="14" spans="1:17" outlineLevel="1" x14ac:dyDescent="0.35">
      <c r="A14" s="212"/>
      <c r="B14" t="s">
        <v>27</v>
      </c>
      <c r="C14" s="212"/>
      <c r="D14" s="212"/>
      <c r="E14" s="202">
        <v>8</v>
      </c>
      <c r="F14">
        <v>10</v>
      </c>
      <c r="G14">
        <v>13</v>
      </c>
      <c r="H14">
        <v>20</v>
      </c>
      <c r="I14" s="212"/>
      <c r="J14" s="212"/>
      <c r="K14" s="212"/>
      <c r="L14" s="212"/>
      <c r="M14" s="185"/>
      <c r="N14" s="185"/>
      <c r="O14" s="186"/>
      <c r="P14" s="186"/>
      <c r="Q14" s="186"/>
    </row>
    <row r="15" spans="1:17" ht="15" outlineLevel="1" thickBot="1" x14ac:dyDescent="0.4">
      <c r="A15" s="213"/>
      <c r="B15" s="214" t="s">
        <v>28</v>
      </c>
      <c r="C15" s="215"/>
      <c r="D15" s="215"/>
      <c r="E15" s="217">
        <f>E8</f>
        <v>17531.167679999999</v>
      </c>
      <c r="F15" s="217">
        <f>E9</f>
        <v>14846.42</v>
      </c>
      <c r="G15" s="217">
        <f>E10</f>
        <v>14171.77</v>
      </c>
      <c r="H15" s="217">
        <f>E11</f>
        <v>13396.95</v>
      </c>
      <c r="I15" s="218"/>
      <c r="J15" s="219"/>
      <c r="K15" s="220"/>
      <c r="L15" s="220"/>
      <c r="M15" s="207"/>
      <c r="N15" s="196"/>
      <c r="O15" s="186"/>
      <c r="P15" s="208"/>
      <c r="Q15" s="186"/>
    </row>
    <row r="16" spans="1:17" s="212" customFormat="1" ht="15" thickTop="1" x14ac:dyDescent="0.35">
      <c r="A16" s="212" t="s">
        <v>29</v>
      </c>
      <c r="B16" s="221"/>
      <c r="C16" s="222"/>
      <c r="D16" s="222"/>
      <c r="E16" s="362">
        <f>E14*E15</f>
        <v>140249.34143999999</v>
      </c>
      <c r="F16" s="362">
        <f>F14*F15</f>
        <v>148464.20000000001</v>
      </c>
      <c r="G16" s="364">
        <f>G15*G14</f>
        <v>184233.01</v>
      </c>
      <c r="H16" s="362">
        <f>H14*H15</f>
        <v>267939</v>
      </c>
      <c r="I16" s="204"/>
      <c r="J16" s="226"/>
      <c r="K16" s="196"/>
      <c r="L16" s="196"/>
      <c r="M16" s="227"/>
      <c r="N16" s="196"/>
      <c r="O16" s="228"/>
      <c r="P16" s="229"/>
      <c r="Q16" s="228"/>
    </row>
    <row r="17" spans="1:17" s="212" customFormat="1" x14ac:dyDescent="0.35">
      <c r="B17" s="221"/>
      <c r="C17" s="222"/>
      <c r="D17" s="223"/>
      <c r="E17" s="224"/>
      <c r="F17" s="225"/>
      <c r="G17" s="225"/>
      <c r="H17" s="225"/>
      <c r="I17" s="204"/>
      <c r="J17" s="226"/>
      <c r="K17" s="196"/>
      <c r="L17" s="196"/>
      <c r="M17" s="227"/>
      <c r="N17" s="196"/>
      <c r="O17" s="228"/>
      <c r="P17" s="229"/>
      <c r="Q17" s="228"/>
    </row>
    <row r="18" spans="1:17" ht="15" thickBot="1" x14ac:dyDescent="0.4">
      <c r="A18" s="184" t="s">
        <v>98</v>
      </c>
      <c r="B18" s="184"/>
      <c r="C18" s="184"/>
      <c r="D18" s="184"/>
      <c r="E18" s="184"/>
      <c r="F18" s="184"/>
      <c r="G18" s="184"/>
      <c r="H18" s="184"/>
      <c r="I18" s="184"/>
      <c r="J18" s="184"/>
      <c r="K18" s="184"/>
      <c r="L18" s="184"/>
      <c r="M18" s="185"/>
      <c r="N18" s="185"/>
      <c r="O18" s="186"/>
      <c r="P18" s="186"/>
      <c r="Q18" s="186"/>
    </row>
    <row r="19" spans="1:17" hidden="1" outlineLevel="1" x14ac:dyDescent="0.35">
      <c r="A19" s="212"/>
      <c r="B19" t="s">
        <v>27</v>
      </c>
      <c r="C19" s="212"/>
      <c r="D19" s="212"/>
      <c r="E19" s="202">
        <f>E14</f>
        <v>8</v>
      </c>
      <c r="F19" s="202">
        <f t="shared" ref="F19:H19" si="2">F14</f>
        <v>10</v>
      </c>
      <c r="G19" s="202">
        <f t="shared" si="2"/>
        <v>13</v>
      </c>
      <c r="H19" s="202">
        <f t="shared" si="2"/>
        <v>20</v>
      </c>
      <c r="I19" s="212"/>
      <c r="J19" s="212"/>
      <c r="K19" s="212"/>
      <c r="L19" s="212"/>
      <c r="M19" s="185"/>
      <c r="N19" s="185"/>
      <c r="O19" s="186"/>
      <c r="P19" s="186"/>
      <c r="Q19" s="186"/>
    </row>
    <row r="20" spans="1:17" ht="15" hidden="1" outlineLevel="1" thickBot="1" x14ac:dyDescent="0.4">
      <c r="A20" s="213"/>
      <c r="B20" s="214" t="s">
        <v>99</v>
      </c>
      <c r="C20" s="215"/>
      <c r="D20" s="215"/>
      <c r="E20" s="217">
        <f>$G$44+E60+E65+E69+(E75*(1/3))+E83+E98+E103</f>
        <v>102151.30802849556</v>
      </c>
      <c r="F20" s="217">
        <f t="shared" ref="F20:H20" si="3">$G$44+F60+F65+F69+(F75*(1/3))+F83+F98+F103</f>
        <v>106900.29504176401</v>
      </c>
      <c r="G20" s="217">
        <f t="shared" si="3"/>
        <v>123884.54855490419</v>
      </c>
      <c r="H20" s="217">
        <f t="shared" si="3"/>
        <v>163617.69394637999</v>
      </c>
      <c r="I20" s="218"/>
      <c r="J20" s="219"/>
      <c r="K20" s="220"/>
      <c r="L20" s="220"/>
      <c r="M20" s="207"/>
      <c r="N20" s="196"/>
      <c r="O20" s="186"/>
      <c r="P20" s="208"/>
      <c r="Q20" s="186"/>
    </row>
    <row r="21" spans="1:17" s="212" customFormat="1" collapsed="1" x14ac:dyDescent="0.35">
      <c r="A21" s="212" t="s">
        <v>100</v>
      </c>
      <c r="B21" s="221"/>
      <c r="C21" s="222"/>
      <c r="D21" s="222"/>
      <c r="E21" s="362">
        <f>E20/E19</f>
        <v>12768.913503561946</v>
      </c>
      <c r="F21" s="362">
        <f t="shared" ref="F21:H21" si="4">F20/F19</f>
        <v>10690.0295041764</v>
      </c>
      <c r="G21" s="362">
        <f t="shared" si="4"/>
        <v>9529.5806580695535</v>
      </c>
      <c r="H21" s="362">
        <f t="shared" si="4"/>
        <v>8180.8846973189993</v>
      </c>
      <c r="I21" s="204"/>
      <c r="J21" s="226"/>
      <c r="K21" s="196"/>
      <c r="L21" s="196"/>
      <c r="M21" s="227"/>
      <c r="N21" s="196"/>
      <c r="O21" s="228"/>
      <c r="P21" s="229"/>
      <c r="Q21" s="228"/>
    </row>
    <row r="22" spans="1:17" x14ac:dyDescent="0.35">
      <c r="B22" s="211"/>
      <c r="C22" s="192"/>
      <c r="D22" s="201"/>
      <c r="E22" s="230"/>
      <c r="F22" s="203"/>
      <c r="G22" s="204"/>
      <c r="H22" s="204"/>
      <c r="I22" s="204"/>
      <c r="J22" s="205"/>
      <c r="K22" s="206"/>
      <c r="L22" s="206"/>
      <c r="M22" s="207"/>
      <c r="N22" s="196"/>
      <c r="O22" s="186"/>
      <c r="P22" s="208"/>
      <c r="Q22" s="186"/>
    </row>
    <row r="23" spans="1:17" ht="15" thickBot="1" x14ac:dyDescent="0.4">
      <c r="A23" s="184" t="s">
        <v>101</v>
      </c>
      <c r="B23" s="184"/>
      <c r="C23" s="184"/>
      <c r="D23" s="184"/>
      <c r="E23" s="184"/>
      <c r="F23" s="184"/>
      <c r="G23" s="184"/>
      <c r="H23" s="184"/>
      <c r="I23" s="184"/>
      <c r="J23" s="184"/>
      <c r="K23" s="184"/>
      <c r="L23" s="184"/>
      <c r="M23" s="185"/>
      <c r="N23" s="185"/>
      <c r="O23" s="186"/>
      <c r="P23" s="186"/>
      <c r="Q23" s="186"/>
    </row>
    <row r="24" spans="1:17" outlineLevel="1" x14ac:dyDescent="0.35">
      <c r="A24" s="212"/>
      <c r="B24" t="s">
        <v>27</v>
      </c>
      <c r="C24" s="212"/>
      <c r="D24" s="212"/>
      <c r="E24" s="202">
        <f>E14</f>
        <v>8</v>
      </c>
      <c r="F24" s="202">
        <f t="shared" ref="F24:H24" si="5">F14</f>
        <v>10</v>
      </c>
      <c r="G24" s="202">
        <f t="shared" si="5"/>
        <v>13</v>
      </c>
      <c r="H24" s="202">
        <f t="shared" si="5"/>
        <v>20</v>
      </c>
      <c r="I24" s="212"/>
      <c r="J24" s="212"/>
      <c r="K24" s="212"/>
      <c r="L24" s="212"/>
      <c r="M24" s="185"/>
      <c r="N24" s="185"/>
      <c r="O24" s="186"/>
      <c r="P24" s="186"/>
      <c r="Q24" s="186"/>
    </row>
    <row r="25" spans="1:17" ht="15" outlineLevel="1" thickBot="1" x14ac:dyDescent="0.4">
      <c r="A25" s="213"/>
      <c r="B25" s="214" t="s">
        <v>102</v>
      </c>
      <c r="C25" s="215"/>
      <c r="D25" s="215"/>
      <c r="E25" s="217">
        <f>E39+E52+(E75*(1/3))</f>
        <v>22312</v>
      </c>
      <c r="F25" s="217">
        <f t="shared" ref="F25:H25" si="6">F39+F52+(F75*(2/3))</f>
        <v>26680</v>
      </c>
      <c r="G25" s="217">
        <f t="shared" si="6"/>
        <v>31504</v>
      </c>
      <c r="H25" s="217">
        <f t="shared" si="6"/>
        <v>42760</v>
      </c>
      <c r="I25" s="218"/>
      <c r="J25" s="219"/>
      <c r="K25" s="220"/>
      <c r="L25" s="220"/>
      <c r="M25" s="207"/>
      <c r="N25" s="196"/>
      <c r="O25" s="186"/>
      <c r="P25" s="208"/>
      <c r="Q25" s="186"/>
    </row>
    <row r="26" spans="1:17" s="212" customFormat="1" ht="15" thickTop="1" x14ac:dyDescent="0.35">
      <c r="A26" s="212" t="s">
        <v>103</v>
      </c>
      <c r="B26" s="221"/>
      <c r="C26" s="223"/>
      <c r="D26" s="222"/>
      <c r="E26" s="385">
        <f>E25/E24</f>
        <v>2789</v>
      </c>
      <c r="F26" s="385">
        <f t="shared" ref="F26:H26" si="7">F25/F24</f>
        <v>2668</v>
      </c>
      <c r="G26" s="385">
        <f t="shared" si="7"/>
        <v>2423.3846153846152</v>
      </c>
      <c r="H26" s="385">
        <f t="shared" si="7"/>
        <v>2138</v>
      </c>
      <c r="I26" s="204"/>
      <c r="J26" s="226"/>
      <c r="K26" s="196"/>
      <c r="L26" s="196"/>
      <c r="M26" s="227"/>
      <c r="N26" s="196"/>
      <c r="O26" s="228"/>
      <c r="P26" s="229"/>
      <c r="Q26" s="228"/>
    </row>
    <row r="27" spans="1:17" s="212" customFormat="1" x14ac:dyDescent="0.35">
      <c r="B27" s="221"/>
      <c r="C27" s="223"/>
      <c r="D27" s="222"/>
      <c r="E27" s="385"/>
      <c r="F27" s="385"/>
      <c r="G27" s="385"/>
      <c r="H27" s="385"/>
      <c r="I27" s="204"/>
      <c r="J27" s="226"/>
      <c r="K27" s="196"/>
      <c r="L27" s="196"/>
      <c r="M27" s="227"/>
      <c r="N27" s="196"/>
      <c r="O27" s="228"/>
      <c r="P27" s="229"/>
      <c r="Q27" s="228"/>
    </row>
    <row r="28" spans="1:17" ht="15" thickBot="1" x14ac:dyDescent="0.4">
      <c r="A28" s="184" t="s">
        <v>104</v>
      </c>
      <c r="B28" s="184"/>
      <c r="C28" s="184"/>
      <c r="D28" s="184"/>
      <c r="E28" s="184"/>
      <c r="F28" s="184"/>
      <c r="G28" s="184"/>
      <c r="H28" s="184"/>
      <c r="I28" s="184"/>
      <c r="J28" s="184"/>
      <c r="K28" s="184"/>
      <c r="L28" s="184"/>
      <c r="M28" s="185"/>
      <c r="N28" s="185"/>
      <c r="O28" s="186"/>
      <c r="P28" s="186"/>
      <c r="Q28" s="186"/>
    </row>
    <row r="29" spans="1:17" outlineLevel="1" x14ac:dyDescent="0.35">
      <c r="A29" s="212"/>
      <c r="B29" t="s">
        <v>27</v>
      </c>
      <c r="C29" s="212"/>
      <c r="D29" s="212"/>
      <c r="E29" s="202">
        <f>E19</f>
        <v>8</v>
      </c>
      <c r="F29" s="202">
        <f t="shared" ref="F29:H29" si="8">F19</f>
        <v>10</v>
      </c>
      <c r="G29" s="202">
        <f t="shared" si="8"/>
        <v>13</v>
      </c>
      <c r="H29" s="202">
        <f t="shared" si="8"/>
        <v>20</v>
      </c>
      <c r="I29" s="212"/>
      <c r="J29" s="212"/>
      <c r="K29" s="212"/>
      <c r="L29" s="212"/>
      <c r="M29" s="185"/>
      <c r="N29" s="185"/>
      <c r="O29" s="186"/>
      <c r="P29" s="186"/>
      <c r="Q29" s="186"/>
    </row>
    <row r="30" spans="1:17" x14ac:dyDescent="0.35">
      <c r="B30" s="211" t="s">
        <v>105</v>
      </c>
      <c r="C30" s="384">
        <v>0.34100000000000003</v>
      </c>
      <c r="D30" s="192"/>
      <c r="E30" s="386">
        <f>E25*$C$30</f>
        <v>7608.3920000000007</v>
      </c>
      <c r="F30" s="386">
        <f t="shared" ref="F30:H30" si="9">F25*$C$30</f>
        <v>9097.880000000001</v>
      </c>
      <c r="G30" s="386">
        <f t="shared" si="9"/>
        <v>10742.864000000001</v>
      </c>
      <c r="H30" s="386">
        <f t="shared" si="9"/>
        <v>14581.160000000002</v>
      </c>
      <c r="I30" s="387"/>
      <c r="J30" s="205"/>
      <c r="K30" s="206"/>
      <c r="L30" s="206"/>
      <c r="M30" s="207"/>
      <c r="N30" s="206"/>
      <c r="O30" s="186"/>
      <c r="P30" s="208"/>
      <c r="Q30" s="186"/>
    </row>
    <row r="31" spans="1:17" x14ac:dyDescent="0.35">
      <c r="B31" s="211" t="s">
        <v>106</v>
      </c>
      <c r="C31" s="384">
        <v>4.5400000000000003E-2</v>
      </c>
      <c r="D31" s="192"/>
      <c r="E31" s="386">
        <f>$C$31*E25+$C$31*E30</f>
        <v>1358.3857968000002</v>
      </c>
      <c r="F31" s="386">
        <f>$C$31*F25+$C$31*F30</f>
        <v>1624.3157520000002</v>
      </c>
      <c r="G31" s="386">
        <f>$C$31*G25+$C$31*G30</f>
        <v>1918.0076256000002</v>
      </c>
      <c r="H31" s="386">
        <f>$C$31*H25+$C$31*H30</f>
        <v>2603.2886640000002</v>
      </c>
      <c r="I31" s="387"/>
      <c r="J31" s="205"/>
      <c r="K31" s="206"/>
      <c r="L31" s="206"/>
      <c r="M31" s="207"/>
      <c r="N31" s="206"/>
      <c r="O31" s="186"/>
      <c r="P31" s="208"/>
      <c r="Q31" s="186"/>
    </row>
    <row r="32" spans="1:17" ht="15" thickBot="1" x14ac:dyDescent="0.4">
      <c r="B32" s="211"/>
      <c r="C32" s="192"/>
      <c r="D32" s="201"/>
      <c r="E32" s="230"/>
      <c r="F32" s="203"/>
      <c r="G32" s="204"/>
      <c r="H32" s="204"/>
      <c r="I32" s="204"/>
      <c r="J32" s="205"/>
      <c r="K32" s="206"/>
      <c r="L32" s="206"/>
      <c r="M32" s="207"/>
      <c r="N32" s="196"/>
      <c r="O32" s="186"/>
      <c r="P32" s="208"/>
      <c r="Q32" s="186"/>
    </row>
    <row r="33" spans="1:17" ht="15.5" thickTop="1" thickBot="1" x14ac:dyDescent="0.4">
      <c r="A33" s="184" t="s">
        <v>46</v>
      </c>
      <c r="B33" s="231"/>
      <c r="C33" s="231"/>
      <c r="D33" s="231"/>
      <c r="E33" s="231"/>
      <c r="F33" s="231"/>
      <c r="G33" s="231"/>
      <c r="H33" s="231"/>
      <c r="I33" s="231"/>
      <c r="J33" s="231"/>
      <c r="K33" s="232" t="s">
        <v>24</v>
      </c>
      <c r="L33" s="233"/>
      <c r="M33" s="228"/>
      <c r="N33" s="228"/>
      <c r="O33" s="186"/>
      <c r="P33" s="186"/>
      <c r="Q33" s="234"/>
    </row>
    <row r="34" spans="1:17" outlineLevel="1" x14ac:dyDescent="0.35">
      <c r="B34" s="382" t="s">
        <v>32</v>
      </c>
      <c r="C34" s="369" t="s">
        <v>33</v>
      </c>
      <c r="D34" s="369" t="s">
        <v>34</v>
      </c>
      <c r="E34" s="369" t="str">
        <f>_xlfn.CONCAT("Total Cost for ",E$14)</f>
        <v>Total Cost for 8</v>
      </c>
      <c r="F34" s="369" t="str">
        <f>_xlfn.CONCAT("Total Cost for ",F$14)</f>
        <v>Total Cost for 10</v>
      </c>
      <c r="G34" s="369" t="str">
        <f>_xlfn.CONCAT("Total Cost for ",G$14)</f>
        <v>Total Cost for 13</v>
      </c>
      <c r="H34" s="369" t="str">
        <f>_xlfn.CONCAT("Total Cost for ",H$14)</f>
        <v>Total Cost for 20</v>
      </c>
      <c r="I34" s="257"/>
      <c r="J34" s="237"/>
      <c r="K34" s="238" t="s">
        <v>25</v>
      </c>
      <c r="L34" s="239" t="s">
        <v>26</v>
      </c>
      <c r="M34" s="13"/>
      <c r="N34" s="186"/>
      <c r="O34" s="186"/>
    </row>
    <row r="35" spans="1:17" outlineLevel="2" x14ac:dyDescent="0.35">
      <c r="B35" s="370" t="s">
        <v>35</v>
      </c>
      <c r="C35" s="380">
        <v>3600</v>
      </c>
      <c r="D35" s="380">
        <v>0</v>
      </c>
      <c r="E35" s="380">
        <f t="shared" ref="E35:H38" si="10">$C35+$D35*E$14</f>
        <v>3600</v>
      </c>
      <c r="F35" s="380">
        <f>$C35+$D35*F$14</f>
        <v>3600</v>
      </c>
      <c r="G35" s="380">
        <f t="shared" si="10"/>
        <v>3600</v>
      </c>
      <c r="H35" s="380">
        <f t="shared" si="10"/>
        <v>3600</v>
      </c>
      <c r="I35" s="203"/>
      <c r="J35" s="240"/>
      <c r="K35" s="243"/>
      <c r="L35" s="244"/>
      <c r="M35" s="13"/>
      <c r="N35" s="186"/>
      <c r="O35" s="186"/>
    </row>
    <row r="36" spans="1:17" outlineLevel="2" x14ac:dyDescent="0.35">
      <c r="B36" s="370" t="s">
        <v>36</v>
      </c>
      <c r="C36" s="380">
        <v>0</v>
      </c>
      <c r="D36" s="380">
        <v>300</v>
      </c>
      <c r="E36" s="380">
        <f t="shared" si="10"/>
        <v>2400</v>
      </c>
      <c r="F36" s="380">
        <f t="shared" si="10"/>
        <v>3000</v>
      </c>
      <c r="G36" s="380">
        <f t="shared" si="10"/>
        <v>3900</v>
      </c>
      <c r="H36" s="380">
        <f t="shared" si="10"/>
        <v>6000</v>
      </c>
      <c r="I36" s="203"/>
      <c r="J36" s="203"/>
      <c r="K36" s="258"/>
      <c r="L36" s="259"/>
      <c r="M36" s="13"/>
      <c r="N36" s="186"/>
      <c r="O36" s="186"/>
    </row>
    <row r="37" spans="1:17" outlineLevel="2" x14ac:dyDescent="0.35">
      <c r="B37" s="370" t="s">
        <v>37</v>
      </c>
      <c r="C37" s="380">
        <v>0</v>
      </c>
      <c r="D37" s="380">
        <v>425</v>
      </c>
      <c r="E37" s="380">
        <f t="shared" si="10"/>
        <v>3400</v>
      </c>
      <c r="F37" s="380">
        <f t="shared" si="10"/>
        <v>4250</v>
      </c>
      <c r="G37" s="380">
        <f t="shared" si="10"/>
        <v>5525</v>
      </c>
      <c r="H37" s="380">
        <f t="shared" si="10"/>
        <v>8500</v>
      </c>
      <c r="I37" s="203"/>
      <c r="J37" s="240"/>
      <c r="K37" s="243"/>
      <c r="L37" s="244"/>
      <c r="M37" s="13"/>
      <c r="N37" s="186"/>
      <c r="O37" s="186"/>
    </row>
    <row r="38" spans="1:17" ht="15" outlineLevel="2" thickBot="1" x14ac:dyDescent="0.4">
      <c r="B38" s="381" t="s">
        <v>38</v>
      </c>
      <c r="C38" s="377">
        <v>0</v>
      </c>
      <c r="D38" s="377">
        <v>0</v>
      </c>
      <c r="E38" s="377">
        <f t="shared" si="10"/>
        <v>0</v>
      </c>
      <c r="F38" s="377">
        <f t="shared" si="10"/>
        <v>0</v>
      </c>
      <c r="G38" s="377">
        <f t="shared" si="10"/>
        <v>0</v>
      </c>
      <c r="H38" s="377">
        <f t="shared" si="10"/>
        <v>0</v>
      </c>
      <c r="I38" s="260"/>
      <c r="J38" s="260"/>
      <c r="K38" s="267"/>
      <c r="L38" s="268"/>
      <c r="M38" s="13"/>
      <c r="N38" s="186"/>
      <c r="O38" s="186"/>
    </row>
    <row r="39" spans="1:17" s="212" customFormat="1" ht="15" outlineLevel="1" thickTop="1" x14ac:dyDescent="0.35">
      <c r="B39" s="373" t="s">
        <v>39</v>
      </c>
      <c r="C39" s="380">
        <f t="shared" ref="C39:H39" si="11">SUM(C35:C38)</f>
        <v>3600</v>
      </c>
      <c r="D39" s="380">
        <f t="shared" si="11"/>
        <v>725</v>
      </c>
      <c r="E39" s="380">
        <f t="shared" si="11"/>
        <v>9400</v>
      </c>
      <c r="F39" s="380">
        <f t="shared" si="11"/>
        <v>10850</v>
      </c>
      <c r="G39" s="380">
        <f t="shared" si="11"/>
        <v>13025</v>
      </c>
      <c r="H39" s="380">
        <f t="shared" si="11"/>
        <v>18100</v>
      </c>
      <c r="I39" s="261"/>
      <c r="J39" s="261"/>
      <c r="K39" s="262"/>
      <c r="L39" s="263"/>
      <c r="M39" s="185"/>
      <c r="N39" s="228"/>
      <c r="O39" s="228"/>
    </row>
    <row r="40" spans="1:17" s="254" customFormat="1" outlineLevel="1" x14ac:dyDescent="0.35">
      <c r="B40" s="212"/>
      <c r="C40" s="212"/>
      <c r="D40" s="212"/>
      <c r="E40" s="212"/>
      <c r="F40" s="212"/>
      <c r="G40" s="212"/>
      <c r="H40" s="212"/>
      <c r="I40" s="212"/>
      <c r="K40" s="255"/>
      <c r="L40" s="256"/>
    </row>
    <row r="41" spans="1:17" outlineLevel="1" x14ac:dyDescent="0.35">
      <c r="B41" s="235" t="s">
        <v>47</v>
      </c>
      <c r="C41" s="236" t="s">
        <v>48</v>
      </c>
      <c r="D41" s="237" t="s">
        <v>49</v>
      </c>
      <c r="E41" s="237" t="s">
        <v>50</v>
      </c>
      <c r="F41" s="237" t="s">
        <v>51</v>
      </c>
      <c r="G41" s="237" t="s">
        <v>52</v>
      </c>
      <c r="H41" s="324"/>
      <c r="I41" s="324"/>
      <c r="J41" s="325"/>
      <c r="K41" s="326"/>
      <c r="L41" s="327"/>
    </row>
    <row r="42" spans="1:17" ht="15" customHeight="1" outlineLevel="2" x14ac:dyDescent="0.35">
      <c r="B42" t="s">
        <v>53</v>
      </c>
      <c r="C42" s="186" t="s">
        <v>54</v>
      </c>
      <c r="D42" s="240">
        <f>10000</f>
        <v>10000</v>
      </c>
      <c r="E42" s="241">
        <v>0.33</v>
      </c>
      <c r="F42" s="242">
        <f>D42*E42</f>
        <v>3300</v>
      </c>
      <c r="G42" s="240">
        <f>D42+F42</f>
        <v>13300</v>
      </c>
      <c r="J42" s="129"/>
      <c r="K42" s="243"/>
      <c r="L42" s="244"/>
      <c r="P42" s="125"/>
    </row>
    <row r="43" spans="1:17" ht="15" customHeight="1" outlineLevel="2" thickBot="1" x14ac:dyDescent="0.4">
      <c r="B43" s="213" t="s">
        <v>55</v>
      </c>
      <c r="C43" s="245" t="s">
        <v>56</v>
      </c>
      <c r="D43" s="246">
        <f>10000</f>
        <v>10000</v>
      </c>
      <c r="E43" s="247">
        <v>0.33</v>
      </c>
      <c r="F43" s="248">
        <f>D43*E43</f>
        <v>3300</v>
      </c>
      <c r="G43" s="246">
        <f>D43+F43</f>
        <v>13300</v>
      </c>
      <c r="H43" s="213"/>
      <c r="I43" s="213"/>
      <c r="J43" s="333"/>
      <c r="K43" s="249"/>
      <c r="L43" s="250"/>
    </row>
    <row r="44" spans="1:17" s="212" customFormat="1" ht="15" outlineLevel="1" thickTop="1" x14ac:dyDescent="0.35">
      <c r="B44" s="223" t="s">
        <v>57</v>
      </c>
      <c r="C44" s="223"/>
      <c r="D44" s="329">
        <f>SUM(D42:D43)</f>
        <v>20000</v>
      </c>
      <c r="E44" s="328"/>
      <c r="F44" s="329">
        <f>SUM(F42:F43)</f>
        <v>6600</v>
      </c>
      <c r="G44" s="365">
        <f>SUM(G42:G43)</f>
        <v>26600</v>
      </c>
      <c r="H44" s="185"/>
      <c r="I44" s="251"/>
      <c r="J44" s="251"/>
      <c r="K44" s="252"/>
      <c r="L44" s="253"/>
      <c r="M44" s="185"/>
      <c r="N44" s="228"/>
      <c r="O44" s="228"/>
    </row>
    <row r="45" spans="1:17" s="212" customFormat="1" outlineLevel="1" x14ac:dyDescent="0.35">
      <c r="B45" s="223"/>
      <c r="C45" s="223"/>
      <c r="D45" s="228"/>
      <c r="E45" s="228"/>
      <c r="F45" s="251"/>
      <c r="G45" s="251"/>
      <c r="H45" s="185"/>
      <c r="I45" s="251"/>
      <c r="J45" s="251"/>
      <c r="K45" s="252"/>
      <c r="L45" s="253"/>
      <c r="M45" s="185"/>
      <c r="N45" s="228"/>
      <c r="O45" s="228"/>
    </row>
    <row r="46" spans="1:17" outlineLevel="1" x14ac:dyDescent="0.35">
      <c r="B46" s="382" t="s">
        <v>40</v>
      </c>
      <c r="C46" s="369" t="s">
        <v>33</v>
      </c>
      <c r="D46" s="369" t="s">
        <v>34</v>
      </c>
      <c r="E46" s="369" t="str">
        <f>_xlfn.CONCAT("Total Cost for ",E$14)</f>
        <v>Total Cost for 8</v>
      </c>
      <c r="F46" s="369" t="str">
        <f>_xlfn.CONCAT("Total Cost for ",F$14)</f>
        <v>Total Cost for 10</v>
      </c>
      <c r="G46" s="369" t="str">
        <f>_xlfn.CONCAT("Total Cost for ",G$14)</f>
        <v>Total Cost for 13</v>
      </c>
      <c r="H46" s="369" t="str">
        <f>_xlfn.CONCAT("Total Cost for ",H$14)</f>
        <v>Total Cost for 20</v>
      </c>
      <c r="I46" s="257"/>
      <c r="J46" s="237"/>
      <c r="K46" s="238"/>
      <c r="L46" s="239"/>
      <c r="M46" s="13"/>
      <c r="N46" s="186"/>
      <c r="O46" s="186"/>
    </row>
    <row r="47" spans="1:17" outlineLevel="2" x14ac:dyDescent="0.35">
      <c r="B47" s="370" t="s">
        <v>41</v>
      </c>
      <c r="C47" s="380">
        <v>0</v>
      </c>
      <c r="D47" s="380">
        <v>0</v>
      </c>
      <c r="E47" s="380">
        <f>$C47+$D47*E$14</f>
        <v>0</v>
      </c>
      <c r="F47" s="380">
        <f>$C47+$D47*F$14</f>
        <v>0</v>
      </c>
      <c r="G47" s="380">
        <f t="shared" ref="G47:H51" si="12">$C47+$D47*G$14</f>
        <v>0</v>
      </c>
      <c r="H47" s="380">
        <f t="shared" si="12"/>
        <v>0</v>
      </c>
      <c r="I47" s="203"/>
      <c r="J47" s="203"/>
      <c r="K47" s="258"/>
      <c r="L47" s="259"/>
      <c r="M47" s="13"/>
      <c r="N47" s="186"/>
      <c r="O47" s="186"/>
    </row>
    <row r="48" spans="1:17" outlineLevel="2" x14ac:dyDescent="0.35">
      <c r="B48" s="370" t="s">
        <v>42</v>
      </c>
      <c r="C48" s="380">
        <v>0</v>
      </c>
      <c r="D48" s="380">
        <f>135*2</f>
        <v>270</v>
      </c>
      <c r="E48" s="380">
        <f>$C48+$D48*E$14</f>
        <v>2160</v>
      </c>
      <c r="F48" s="380">
        <f t="shared" ref="F48:F51" si="13">$C48+$D48*F$14</f>
        <v>2700</v>
      </c>
      <c r="G48" s="380">
        <f t="shared" si="12"/>
        <v>3510</v>
      </c>
      <c r="H48" s="380">
        <f t="shared" si="12"/>
        <v>5400</v>
      </c>
      <c r="I48" s="203"/>
      <c r="J48" s="203"/>
      <c r="K48" s="258"/>
      <c r="L48" s="259"/>
      <c r="M48" s="13"/>
      <c r="N48" s="186"/>
      <c r="O48" s="186"/>
    </row>
    <row r="49" spans="2:15" outlineLevel="2" x14ac:dyDescent="0.35">
      <c r="B49" s="370" t="s">
        <v>43</v>
      </c>
      <c r="C49" s="380">
        <v>7000</v>
      </c>
      <c r="D49" s="380">
        <v>0</v>
      </c>
      <c r="E49" s="380">
        <f t="shared" ref="E49:E51" si="14">$C49+$D49*E$14</f>
        <v>7000</v>
      </c>
      <c r="F49" s="380">
        <f t="shared" si="13"/>
        <v>7000</v>
      </c>
      <c r="G49" s="380">
        <f t="shared" si="12"/>
        <v>7000</v>
      </c>
      <c r="H49" s="380">
        <f t="shared" si="12"/>
        <v>7000</v>
      </c>
      <c r="I49" s="92"/>
      <c r="J49" s="92"/>
      <c r="K49" s="334"/>
      <c r="L49" s="335"/>
    </row>
    <row r="50" spans="2:15" outlineLevel="2" x14ac:dyDescent="0.35">
      <c r="B50" s="370" t="s">
        <v>37</v>
      </c>
      <c r="C50" s="380">
        <v>0</v>
      </c>
      <c r="D50" s="380">
        <v>325</v>
      </c>
      <c r="E50" s="380">
        <f t="shared" si="14"/>
        <v>2600</v>
      </c>
      <c r="F50" s="380">
        <f t="shared" si="13"/>
        <v>3250</v>
      </c>
      <c r="G50" s="380">
        <f t="shared" si="12"/>
        <v>4225</v>
      </c>
      <c r="H50" s="380">
        <f t="shared" si="12"/>
        <v>6500</v>
      </c>
      <c r="I50" s="203"/>
      <c r="J50" s="240"/>
      <c r="K50" s="243"/>
      <c r="L50" s="244"/>
      <c r="M50" s="13"/>
      <c r="N50" s="186"/>
      <c r="O50" s="186"/>
    </row>
    <row r="51" spans="2:15" ht="15" outlineLevel="2" thickBot="1" x14ac:dyDescent="0.4">
      <c r="B51" s="381" t="s">
        <v>38</v>
      </c>
      <c r="C51" s="377">
        <v>0</v>
      </c>
      <c r="D51" s="377">
        <v>0</v>
      </c>
      <c r="E51" s="377">
        <f t="shared" si="14"/>
        <v>0</v>
      </c>
      <c r="F51" s="377">
        <f t="shared" si="13"/>
        <v>0</v>
      </c>
      <c r="G51" s="377">
        <f t="shared" si="12"/>
        <v>0</v>
      </c>
      <c r="H51" s="377">
        <f t="shared" si="12"/>
        <v>0</v>
      </c>
      <c r="I51" s="260"/>
      <c r="J51" s="260"/>
      <c r="K51" s="267"/>
      <c r="L51" s="268"/>
      <c r="M51" s="13"/>
      <c r="N51" s="186"/>
      <c r="O51" s="186"/>
    </row>
    <row r="52" spans="2:15" s="212" customFormat="1" ht="15" outlineLevel="1" thickTop="1" x14ac:dyDescent="0.35">
      <c r="B52" s="373" t="s">
        <v>44</v>
      </c>
      <c r="C52" s="380">
        <f t="shared" ref="C52:H52" si="15">SUM(C47:C51)</f>
        <v>7000</v>
      </c>
      <c r="D52" s="380">
        <f t="shared" si="15"/>
        <v>595</v>
      </c>
      <c r="E52" s="380">
        <f>SUM(E47:E51)</f>
        <v>11760</v>
      </c>
      <c r="F52" s="380">
        <f t="shared" si="15"/>
        <v>12950</v>
      </c>
      <c r="G52" s="380">
        <f t="shared" si="15"/>
        <v>14735</v>
      </c>
      <c r="H52" s="380">
        <f t="shared" si="15"/>
        <v>18900</v>
      </c>
      <c r="I52" s="261"/>
      <c r="J52" s="261"/>
      <c r="K52" s="262"/>
      <c r="L52" s="263"/>
      <c r="M52" s="185"/>
      <c r="N52" s="228"/>
      <c r="O52" s="228"/>
    </row>
    <row r="53" spans="2:15" s="254" customFormat="1" outlineLevel="1" x14ac:dyDescent="0.35">
      <c r="B53" s="212"/>
      <c r="C53" s="212"/>
      <c r="D53" s="212"/>
      <c r="E53" s="212"/>
      <c r="F53" s="212"/>
      <c r="G53" s="212"/>
      <c r="H53" s="212"/>
      <c r="I53" s="212"/>
      <c r="K53" s="255"/>
      <c r="L53" s="256"/>
    </row>
    <row r="54" spans="2:15" outlineLevel="1" x14ac:dyDescent="0.35">
      <c r="B54" s="235" t="s">
        <v>58</v>
      </c>
      <c r="C54" s="257" t="s">
        <v>33</v>
      </c>
      <c r="D54" s="257" t="s">
        <v>34</v>
      </c>
      <c r="E54" s="257" t="str">
        <f>_xlfn.CONCAT("Total Cost for ",E$14)</f>
        <v>Total Cost for 8</v>
      </c>
      <c r="F54" s="257" t="str">
        <f>_xlfn.CONCAT("Total Cost for ",F$14)</f>
        <v>Total Cost for 10</v>
      </c>
      <c r="G54" s="257" t="str">
        <f>_xlfn.CONCAT("Total Cost for ",G$14)</f>
        <v>Total Cost for 13</v>
      </c>
      <c r="H54" s="257" t="str">
        <f>_xlfn.CONCAT("Total Cost for ",H$14)</f>
        <v>Total Cost for 20</v>
      </c>
      <c r="I54" s="257"/>
      <c r="J54" s="237"/>
      <c r="K54" s="238"/>
      <c r="L54" s="239"/>
      <c r="M54" s="13"/>
      <c r="N54" s="186"/>
      <c r="O54" s="186"/>
    </row>
    <row r="55" spans="2:15" outlineLevel="2" x14ac:dyDescent="0.35">
      <c r="B55" t="s">
        <v>59</v>
      </c>
      <c r="C55" s="203">
        <v>0</v>
      </c>
      <c r="D55" s="203">
        <v>0</v>
      </c>
      <c r="E55" s="203">
        <f t="shared" ref="E55:H59" si="16">$C55+$D55*E$14</f>
        <v>0</v>
      </c>
      <c r="F55" s="203">
        <f t="shared" si="16"/>
        <v>0</v>
      </c>
      <c r="G55" s="203">
        <f t="shared" si="16"/>
        <v>0</v>
      </c>
      <c r="H55" s="203">
        <f t="shared" si="16"/>
        <v>0</v>
      </c>
      <c r="I55" s="203"/>
      <c r="J55" s="240"/>
      <c r="K55" s="243"/>
      <c r="L55" s="244"/>
      <c r="M55" s="13"/>
      <c r="N55" s="186"/>
      <c r="O55" s="186"/>
    </row>
    <row r="56" spans="2:15" outlineLevel="2" x14ac:dyDescent="0.35">
      <c r="B56" t="s">
        <v>60</v>
      </c>
      <c r="C56" s="203">
        <v>0</v>
      </c>
      <c r="D56" s="203">
        <v>0</v>
      </c>
      <c r="E56" s="203">
        <f t="shared" si="16"/>
        <v>0</v>
      </c>
      <c r="F56" s="203">
        <f t="shared" si="16"/>
        <v>0</v>
      </c>
      <c r="G56" s="203">
        <f t="shared" si="16"/>
        <v>0</v>
      </c>
      <c r="H56" s="203">
        <f t="shared" si="16"/>
        <v>0</v>
      </c>
      <c r="I56" s="203"/>
      <c r="J56" s="203"/>
      <c r="K56" s="258"/>
      <c r="L56" s="259"/>
      <c r="M56" s="13"/>
      <c r="N56" s="186"/>
      <c r="O56" s="186"/>
    </row>
    <row r="57" spans="2:15" outlineLevel="2" x14ac:dyDescent="0.35">
      <c r="B57" t="s">
        <v>61</v>
      </c>
      <c r="C57" s="203">
        <v>0</v>
      </c>
      <c r="D57" s="203">
        <v>0</v>
      </c>
      <c r="E57" s="203">
        <f t="shared" si="16"/>
        <v>0</v>
      </c>
      <c r="F57" s="203">
        <f t="shared" si="16"/>
        <v>0</v>
      </c>
      <c r="G57" s="203">
        <f t="shared" si="16"/>
        <v>0</v>
      </c>
      <c r="H57" s="203">
        <f t="shared" si="16"/>
        <v>0</v>
      </c>
      <c r="I57" s="203"/>
      <c r="J57" s="240"/>
      <c r="K57" s="243"/>
      <c r="L57" s="244"/>
      <c r="M57" s="13"/>
      <c r="N57" s="186"/>
      <c r="O57" s="186"/>
    </row>
    <row r="58" spans="2:15" outlineLevel="2" x14ac:dyDescent="0.35">
      <c r="B58" t="s">
        <v>62</v>
      </c>
      <c r="C58" s="203">
        <v>0</v>
      </c>
      <c r="D58" s="203">
        <v>0</v>
      </c>
      <c r="E58" s="203">
        <f t="shared" si="16"/>
        <v>0</v>
      </c>
      <c r="F58" s="203">
        <f t="shared" si="16"/>
        <v>0</v>
      </c>
      <c r="G58" s="203">
        <f t="shared" si="16"/>
        <v>0</v>
      </c>
      <c r="H58" s="203">
        <f t="shared" si="16"/>
        <v>0</v>
      </c>
      <c r="I58" s="203"/>
      <c r="J58" s="203"/>
      <c r="K58" s="258"/>
      <c r="L58" s="259"/>
      <c r="M58" s="13"/>
      <c r="N58" s="186"/>
      <c r="O58" s="186"/>
    </row>
    <row r="59" spans="2:15" ht="15" outlineLevel="2" thickBot="1" x14ac:dyDescent="0.4">
      <c r="B59" s="213" t="s">
        <v>63</v>
      </c>
      <c r="C59" s="260">
        <v>0</v>
      </c>
      <c r="D59" s="260">
        <v>0</v>
      </c>
      <c r="E59" s="260">
        <f t="shared" si="16"/>
        <v>0</v>
      </c>
      <c r="F59" s="260">
        <f t="shared" si="16"/>
        <v>0</v>
      </c>
      <c r="G59" s="260">
        <f t="shared" si="16"/>
        <v>0</v>
      </c>
      <c r="H59" s="260">
        <f t="shared" si="16"/>
        <v>0</v>
      </c>
      <c r="I59" s="260"/>
      <c r="J59" s="246"/>
      <c r="K59" s="249"/>
      <c r="L59" s="250"/>
      <c r="M59" s="240"/>
      <c r="N59" s="186"/>
      <c r="O59" s="186"/>
    </row>
    <row r="60" spans="2:15" s="212" customFormat="1" ht="15" outlineLevel="1" thickTop="1" x14ac:dyDescent="0.35">
      <c r="B60" s="223" t="s">
        <v>64</v>
      </c>
      <c r="C60" s="261">
        <f t="shared" ref="C60:H60" si="17">SUM(C55:C59)</f>
        <v>0</v>
      </c>
      <c r="D60" s="261">
        <f t="shared" si="17"/>
        <v>0</v>
      </c>
      <c r="E60" s="261">
        <f t="shared" si="17"/>
        <v>0</v>
      </c>
      <c r="F60" s="261">
        <f t="shared" si="17"/>
        <v>0</v>
      </c>
      <c r="G60" s="261">
        <f t="shared" si="17"/>
        <v>0</v>
      </c>
      <c r="H60" s="261">
        <f t="shared" si="17"/>
        <v>0</v>
      </c>
      <c r="I60" s="261"/>
      <c r="J60" s="261"/>
      <c r="K60" s="262"/>
      <c r="L60" s="263"/>
      <c r="M60" s="185"/>
      <c r="N60" s="228"/>
      <c r="O60" s="228"/>
    </row>
    <row r="61" spans="2:15" s="212" customFormat="1" outlineLevel="1" x14ac:dyDescent="0.35">
      <c r="B61" s="223"/>
      <c r="C61" s="261"/>
      <c r="D61" s="261"/>
      <c r="E61" s="261"/>
      <c r="F61" s="261"/>
      <c r="G61" s="261"/>
      <c r="H61" s="261"/>
      <c r="I61" s="261"/>
      <c r="J61" s="261"/>
      <c r="K61" s="262"/>
      <c r="L61" s="263"/>
      <c r="M61" s="185"/>
      <c r="N61" s="228"/>
      <c r="O61" s="228"/>
    </row>
    <row r="62" spans="2:15" outlineLevel="1" x14ac:dyDescent="0.35">
      <c r="B62" s="336" t="s">
        <v>65</v>
      </c>
      <c r="C62" s="337" t="s">
        <v>33</v>
      </c>
      <c r="D62" s="337" t="s">
        <v>34</v>
      </c>
      <c r="E62" s="337" t="str">
        <f>_xlfn.CONCAT("Total Cost for ",E$14)</f>
        <v>Total Cost for 8</v>
      </c>
      <c r="F62" s="337" t="str">
        <f>_xlfn.CONCAT("Total Cost for ",F$14)</f>
        <v>Total Cost for 10</v>
      </c>
      <c r="G62" s="337" t="str">
        <f>_xlfn.CONCAT("Total Cost for ",G$14)</f>
        <v>Total Cost for 13</v>
      </c>
      <c r="H62" s="337" t="str">
        <f>_xlfn.CONCAT("Total Cost for ",H$14)</f>
        <v>Total Cost for 20</v>
      </c>
      <c r="I62" s="337"/>
      <c r="J62" s="338"/>
      <c r="K62" s="339"/>
      <c r="L62" s="340"/>
    </row>
    <row r="63" spans="2:15" outlineLevel="2" x14ac:dyDescent="0.35">
      <c r="B63" s="393" t="s">
        <v>66</v>
      </c>
      <c r="C63" s="394">
        <v>0</v>
      </c>
      <c r="D63" s="394">
        <v>175</v>
      </c>
      <c r="E63" s="394">
        <f t="shared" ref="E63:H64" si="18">$C63+$D63*E$14</f>
        <v>1400</v>
      </c>
      <c r="F63" s="394">
        <f t="shared" si="18"/>
        <v>1750</v>
      </c>
      <c r="G63" s="394">
        <f t="shared" si="18"/>
        <v>2275</v>
      </c>
      <c r="H63" s="394">
        <f t="shared" si="18"/>
        <v>3500</v>
      </c>
      <c r="I63" s="92"/>
      <c r="J63" s="92"/>
      <c r="K63" s="334"/>
      <c r="L63" s="335"/>
    </row>
    <row r="64" spans="2:15" ht="15" outlineLevel="2" thickBot="1" x14ac:dyDescent="0.4">
      <c r="B64" s="213" t="s">
        <v>67</v>
      </c>
      <c r="C64" s="342">
        <v>0</v>
      </c>
      <c r="D64" s="342">
        <v>0</v>
      </c>
      <c r="E64" s="342">
        <f t="shared" si="18"/>
        <v>0</v>
      </c>
      <c r="F64" s="342">
        <f t="shared" si="18"/>
        <v>0</v>
      </c>
      <c r="G64" s="342">
        <f t="shared" si="18"/>
        <v>0</v>
      </c>
      <c r="H64" s="342">
        <f t="shared" si="18"/>
        <v>0</v>
      </c>
      <c r="I64" s="342"/>
      <c r="J64" s="342"/>
      <c r="K64" s="343"/>
      <c r="L64" s="344"/>
    </row>
    <row r="65" spans="2:12" ht="15" outlineLevel="1" thickTop="1" x14ac:dyDescent="0.35">
      <c r="B65" s="345" t="s">
        <v>68</v>
      </c>
      <c r="C65" s="346">
        <f t="shared" ref="C65:G65" si="19">SUM(C63:C64)</f>
        <v>0</v>
      </c>
      <c r="D65" s="346">
        <f t="shared" si="19"/>
        <v>175</v>
      </c>
      <c r="E65" s="346">
        <f t="shared" si="19"/>
        <v>1400</v>
      </c>
      <c r="F65" s="346">
        <f t="shared" si="19"/>
        <v>1750</v>
      </c>
      <c r="G65" s="346">
        <f t="shared" si="19"/>
        <v>2275</v>
      </c>
      <c r="H65" s="346">
        <f>SUM(H63:H64)</f>
        <v>3500</v>
      </c>
      <c r="I65" s="346"/>
      <c r="J65" s="346"/>
      <c r="K65" s="347"/>
      <c r="L65" s="348"/>
    </row>
    <row r="66" spans="2:12" outlineLevel="1" x14ac:dyDescent="0.35">
      <c r="B66" s="264"/>
      <c r="J66" s="212"/>
      <c r="K66" s="349"/>
      <c r="L66" s="350"/>
    </row>
    <row r="67" spans="2:12" outlineLevel="1" x14ac:dyDescent="0.35">
      <c r="B67" s="336" t="s">
        <v>69</v>
      </c>
      <c r="C67" s="337" t="s">
        <v>33</v>
      </c>
      <c r="D67" s="337" t="s">
        <v>34</v>
      </c>
      <c r="E67" s="337" t="str">
        <f>_xlfn.CONCAT("Total Cost for ",E$14)</f>
        <v>Total Cost for 8</v>
      </c>
      <c r="F67" s="337" t="str">
        <f>_xlfn.CONCAT("Total Cost for ",F$14)</f>
        <v>Total Cost for 10</v>
      </c>
      <c r="G67" s="337" t="str">
        <f>_xlfn.CONCAT("Total Cost for ",G$14)</f>
        <v>Total Cost for 13</v>
      </c>
      <c r="H67" s="337" t="str">
        <f>_xlfn.CONCAT("Total Cost for ",H$14)</f>
        <v>Total Cost for 20</v>
      </c>
      <c r="I67" s="337"/>
      <c r="J67" s="338"/>
      <c r="K67" s="339"/>
      <c r="L67" s="340"/>
    </row>
    <row r="68" spans="2:12" ht="15" outlineLevel="2" thickBot="1" x14ac:dyDescent="0.4">
      <c r="B68" s="388" t="s">
        <v>70</v>
      </c>
      <c r="C68" s="389">
        <v>0</v>
      </c>
      <c r="D68" s="389">
        <v>25</v>
      </c>
      <c r="E68" s="389">
        <f>$C68+$D68*E$14</f>
        <v>200</v>
      </c>
      <c r="F68" s="389">
        <f>$C68+$D68*F$14</f>
        <v>250</v>
      </c>
      <c r="G68" s="389">
        <f>$C68+$D68*G$14</f>
        <v>325</v>
      </c>
      <c r="H68" s="389">
        <f>$C68+$D68*H$14</f>
        <v>500</v>
      </c>
      <c r="I68" s="92"/>
      <c r="J68" s="92"/>
      <c r="K68" s="334"/>
      <c r="L68" s="335"/>
    </row>
    <row r="69" spans="2:12" ht="15" outlineLevel="1" thickTop="1" x14ac:dyDescent="0.35">
      <c r="B69" s="345" t="s">
        <v>71</v>
      </c>
      <c r="C69" s="346">
        <f t="shared" ref="C69:H69" si="20">SUM(C68:C68)</f>
        <v>0</v>
      </c>
      <c r="D69" s="346">
        <f>SUM(D68:D68)</f>
        <v>25</v>
      </c>
      <c r="E69" s="346">
        <f t="shared" si="20"/>
        <v>200</v>
      </c>
      <c r="F69" s="346">
        <f t="shared" si="20"/>
        <v>250</v>
      </c>
      <c r="G69" s="346">
        <f t="shared" si="20"/>
        <v>325</v>
      </c>
      <c r="H69" s="346">
        <f t="shared" si="20"/>
        <v>500</v>
      </c>
      <c r="I69" s="346"/>
      <c r="J69" s="346"/>
      <c r="K69" s="347"/>
      <c r="L69" s="348"/>
    </row>
    <row r="70" spans="2:12" outlineLevel="1" x14ac:dyDescent="0.35">
      <c r="B70" s="264"/>
      <c r="J70" s="212"/>
      <c r="K70" s="349"/>
      <c r="L70" s="350"/>
    </row>
    <row r="71" spans="2:12" outlineLevel="1" x14ac:dyDescent="0.35">
      <c r="B71" s="336" t="s">
        <v>72</v>
      </c>
      <c r="C71" s="337" t="s">
        <v>33</v>
      </c>
      <c r="D71" s="337" t="s">
        <v>34</v>
      </c>
      <c r="E71" s="337" t="str">
        <f>_xlfn.CONCAT("Total Cost for ",E$14)</f>
        <v>Total Cost for 8</v>
      </c>
      <c r="F71" s="337" t="str">
        <f>_xlfn.CONCAT("Total Cost for ",F$14)</f>
        <v>Total Cost for 10</v>
      </c>
      <c r="G71" s="337" t="str">
        <f>_xlfn.CONCAT("Total Cost for ",G$14)</f>
        <v>Total Cost for 13</v>
      </c>
      <c r="H71" s="337" t="str">
        <f>_xlfn.CONCAT("Total Cost for ",H$14)</f>
        <v>Total Cost for 20</v>
      </c>
      <c r="I71" s="337"/>
      <c r="J71" s="338"/>
      <c r="K71" s="339"/>
      <c r="L71" s="340"/>
    </row>
    <row r="72" spans="2:12" outlineLevel="2" x14ac:dyDescent="0.35">
      <c r="B72" s="264" t="s">
        <v>73</v>
      </c>
      <c r="C72" s="92">
        <v>0</v>
      </c>
      <c r="D72" s="92">
        <v>0</v>
      </c>
      <c r="E72" s="92">
        <f t="shared" ref="E72:H74" si="21">$C72+$D72*E$14</f>
        <v>0</v>
      </c>
      <c r="F72" s="92">
        <f t="shared" si="21"/>
        <v>0</v>
      </c>
      <c r="G72" s="92">
        <f t="shared" si="21"/>
        <v>0</v>
      </c>
      <c r="H72" s="92">
        <f t="shared" si="21"/>
        <v>0</v>
      </c>
      <c r="I72" s="92"/>
      <c r="J72" s="92"/>
      <c r="K72" s="334"/>
      <c r="L72" s="335"/>
    </row>
    <row r="73" spans="2:12" outlineLevel="2" x14ac:dyDescent="0.35">
      <c r="B73" s="264" t="s">
        <v>74</v>
      </c>
      <c r="C73" s="92">
        <v>0</v>
      </c>
      <c r="D73" s="92">
        <v>0</v>
      </c>
      <c r="E73" s="92">
        <f t="shared" si="21"/>
        <v>0</v>
      </c>
      <c r="F73" s="92">
        <f t="shared" si="21"/>
        <v>0</v>
      </c>
      <c r="G73" s="92">
        <f t="shared" si="21"/>
        <v>0</v>
      </c>
      <c r="H73" s="92">
        <f t="shared" si="21"/>
        <v>0</v>
      </c>
      <c r="I73" s="92"/>
      <c r="J73" s="92"/>
      <c r="K73" s="334"/>
      <c r="L73" s="335"/>
    </row>
    <row r="74" spans="2:12" ht="15" outlineLevel="2" thickBot="1" x14ac:dyDescent="0.4">
      <c r="B74" s="395" t="s">
        <v>75</v>
      </c>
      <c r="C74" s="396">
        <v>0</v>
      </c>
      <c r="D74" s="396">
        <f>216*2</f>
        <v>432</v>
      </c>
      <c r="E74" s="396">
        <f t="shared" si="21"/>
        <v>3456</v>
      </c>
      <c r="F74" s="396">
        <f t="shared" si="21"/>
        <v>4320</v>
      </c>
      <c r="G74" s="396">
        <f t="shared" si="21"/>
        <v>5616</v>
      </c>
      <c r="H74" s="396">
        <f t="shared" si="21"/>
        <v>8640</v>
      </c>
      <c r="I74" s="342"/>
      <c r="J74" s="342"/>
      <c r="K74" s="351"/>
      <c r="L74" s="352"/>
    </row>
    <row r="75" spans="2:12" ht="15" outlineLevel="1" thickTop="1" x14ac:dyDescent="0.35">
      <c r="B75" s="345" t="s">
        <v>76</v>
      </c>
      <c r="C75" s="346">
        <f t="shared" ref="C75:H75" si="22">SUM(C72:C74)</f>
        <v>0</v>
      </c>
      <c r="D75" s="346">
        <f t="shared" si="22"/>
        <v>432</v>
      </c>
      <c r="E75" s="346">
        <f t="shared" si="22"/>
        <v>3456</v>
      </c>
      <c r="F75" s="346">
        <f t="shared" si="22"/>
        <v>4320</v>
      </c>
      <c r="G75" s="346">
        <f t="shared" si="22"/>
        <v>5616</v>
      </c>
      <c r="H75" s="346">
        <f t="shared" si="22"/>
        <v>8640</v>
      </c>
      <c r="I75" s="346"/>
      <c r="J75" s="346"/>
      <c r="K75" s="347"/>
      <c r="L75" s="348"/>
    </row>
    <row r="76" spans="2:12" outlineLevel="1" x14ac:dyDescent="0.35">
      <c r="B76" s="345"/>
      <c r="C76" s="346"/>
      <c r="D76" s="346"/>
      <c r="E76" s="346"/>
      <c r="F76" s="346"/>
      <c r="G76" s="346"/>
      <c r="H76" s="346"/>
      <c r="I76" s="346"/>
      <c r="J76" s="346"/>
      <c r="K76" s="347"/>
      <c r="L76" s="348"/>
    </row>
    <row r="77" spans="2:12" outlineLevel="1" x14ac:dyDescent="0.35">
      <c r="B77" s="336" t="s">
        <v>77</v>
      </c>
      <c r="C77" s="337" t="s">
        <v>33</v>
      </c>
      <c r="D77" s="337" t="s">
        <v>34</v>
      </c>
      <c r="E77" s="337" t="str">
        <f>_xlfn.CONCAT("Total Cost for ",E$14)</f>
        <v>Total Cost for 8</v>
      </c>
      <c r="F77" s="337" t="str">
        <f>_xlfn.CONCAT("Total Cost for ",F$14)</f>
        <v>Total Cost for 10</v>
      </c>
      <c r="G77" s="337" t="str">
        <f>_xlfn.CONCAT("Total Cost for ",G$14)</f>
        <v>Total Cost for 13</v>
      </c>
      <c r="H77" s="337" t="str">
        <f>_xlfn.CONCAT("Total Cost for ",H$14)</f>
        <v>Total Cost for 20</v>
      </c>
      <c r="I77" s="337"/>
      <c r="J77" s="338"/>
      <c r="K77" s="339"/>
      <c r="L77" s="340"/>
    </row>
    <row r="78" spans="2:12" outlineLevel="2" x14ac:dyDescent="0.35">
      <c r="B78" t="s">
        <v>78</v>
      </c>
      <c r="C78" s="92">
        <v>0</v>
      </c>
      <c r="D78" s="92">
        <v>15</v>
      </c>
      <c r="E78" s="92">
        <f t="shared" ref="E78:H82" si="23">$C78+$D78*E$14</f>
        <v>120</v>
      </c>
      <c r="F78" s="92">
        <f t="shared" si="23"/>
        <v>150</v>
      </c>
      <c r="G78" s="92">
        <f t="shared" si="23"/>
        <v>195</v>
      </c>
      <c r="H78" s="92">
        <f t="shared" si="23"/>
        <v>300</v>
      </c>
      <c r="I78" s="92"/>
      <c r="J78" s="92"/>
      <c r="K78" s="334"/>
      <c r="L78" s="335"/>
    </row>
    <row r="79" spans="2:12" outlineLevel="2" x14ac:dyDescent="0.35">
      <c r="B79" s="393" t="s">
        <v>79</v>
      </c>
      <c r="C79" s="394">
        <v>0</v>
      </c>
      <c r="D79" s="394">
        <v>20</v>
      </c>
      <c r="E79" s="394">
        <f t="shared" si="23"/>
        <v>160</v>
      </c>
      <c r="F79" s="394">
        <f t="shared" si="23"/>
        <v>200</v>
      </c>
      <c r="G79" s="394">
        <f t="shared" si="23"/>
        <v>260</v>
      </c>
      <c r="H79" s="394">
        <f t="shared" si="23"/>
        <v>400</v>
      </c>
      <c r="I79" s="92"/>
      <c r="J79" s="92"/>
      <c r="K79" s="334"/>
      <c r="L79" s="335"/>
    </row>
    <row r="80" spans="2:12" outlineLevel="2" x14ac:dyDescent="0.35">
      <c r="B80" t="s">
        <v>80</v>
      </c>
      <c r="C80" s="92">
        <v>0</v>
      </c>
      <c r="D80" s="92">
        <v>0</v>
      </c>
      <c r="E80" s="92">
        <f t="shared" si="23"/>
        <v>0</v>
      </c>
      <c r="F80" s="92">
        <f t="shared" si="23"/>
        <v>0</v>
      </c>
      <c r="G80" s="92">
        <f t="shared" si="23"/>
        <v>0</v>
      </c>
      <c r="H80" s="92">
        <f t="shared" si="23"/>
        <v>0</v>
      </c>
      <c r="I80" s="92"/>
      <c r="J80" s="92"/>
      <c r="K80" s="334"/>
      <c r="L80" s="335"/>
    </row>
    <row r="81" spans="1:17" outlineLevel="2" x14ac:dyDescent="0.35">
      <c r="B81" t="s">
        <v>81</v>
      </c>
      <c r="C81" s="92">
        <v>500</v>
      </c>
      <c r="D81" s="92">
        <v>0</v>
      </c>
      <c r="E81" s="92">
        <f t="shared" si="23"/>
        <v>500</v>
      </c>
      <c r="F81" s="92">
        <f t="shared" si="23"/>
        <v>500</v>
      </c>
      <c r="G81" s="92">
        <f t="shared" si="23"/>
        <v>500</v>
      </c>
      <c r="H81" s="92">
        <f t="shared" si="23"/>
        <v>500</v>
      </c>
      <c r="I81" s="92"/>
      <c r="J81" s="92"/>
      <c r="K81" s="334"/>
      <c r="L81" s="335"/>
    </row>
    <row r="82" spans="1:17" ht="15" outlineLevel="2" thickBot="1" x14ac:dyDescent="0.4">
      <c r="B82" s="213" t="s">
        <v>82</v>
      </c>
      <c r="C82" s="342">
        <v>0</v>
      </c>
      <c r="D82" s="342">
        <v>0</v>
      </c>
      <c r="E82" s="342">
        <f t="shared" si="23"/>
        <v>0</v>
      </c>
      <c r="F82" s="342">
        <f t="shared" si="23"/>
        <v>0</v>
      </c>
      <c r="G82" s="342">
        <f t="shared" si="23"/>
        <v>0</v>
      </c>
      <c r="H82" s="342">
        <f t="shared" si="23"/>
        <v>0</v>
      </c>
      <c r="I82" s="342"/>
      <c r="J82" s="342"/>
      <c r="K82" s="343"/>
      <c r="L82" s="344"/>
    </row>
    <row r="83" spans="1:17" ht="15.5" outlineLevel="1" thickTop="1" thickBot="1" x14ac:dyDescent="0.4">
      <c r="A83" s="213"/>
      <c r="B83" s="353" t="s">
        <v>83</v>
      </c>
      <c r="C83" s="354">
        <f t="shared" ref="C83:H83" si="24">SUM(C78:C82)</f>
        <v>500</v>
      </c>
      <c r="D83" s="354">
        <f t="shared" si="24"/>
        <v>35</v>
      </c>
      <c r="E83" s="354">
        <f t="shared" si="24"/>
        <v>780</v>
      </c>
      <c r="F83" s="354">
        <f t="shared" si="24"/>
        <v>850</v>
      </c>
      <c r="G83" s="354">
        <f t="shared" si="24"/>
        <v>955</v>
      </c>
      <c r="H83" s="354">
        <f t="shared" si="24"/>
        <v>1200</v>
      </c>
      <c r="I83" s="354"/>
      <c r="J83" s="354"/>
      <c r="K83" s="355"/>
      <c r="L83" s="356"/>
    </row>
    <row r="84" spans="1:17" ht="15" thickTop="1" x14ac:dyDescent="0.35">
      <c r="A84" s="212" t="s">
        <v>84</v>
      </c>
      <c r="B84" s="223"/>
      <c r="C84" s="261">
        <f>SUM(C83)</f>
        <v>500</v>
      </c>
      <c r="D84" s="261">
        <f>SUM(D83)</f>
        <v>35</v>
      </c>
      <c r="E84" s="261">
        <f>$G$44++E39+E52+E60+E65+E69+E75+E83</f>
        <v>53596</v>
      </c>
      <c r="F84" s="261">
        <f>$G$44++F39+F52+F60+F65+F69+F75+F83</f>
        <v>57570</v>
      </c>
      <c r="G84" s="261">
        <f>$G$44++G39+G52+G60+G65+G69+G75+G83</f>
        <v>63531</v>
      </c>
      <c r="H84" s="261">
        <f>$G$44++H39+H52+H60+H65+H69+H75+H83</f>
        <v>77440</v>
      </c>
      <c r="I84" s="261"/>
      <c r="J84" s="261"/>
      <c r="K84" s="265"/>
      <c r="L84" s="266"/>
      <c r="M84" s="13"/>
      <c r="N84" s="186"/>
      <c r="O84" s="186"/>
      <c r="P84" s="186"/>
      <c r="Q84" s="186"/>
    </row>
    <row r="85" spans="1:17" x14ac:dyDescent="0.35">
      <c r="A85" s="212"/>
      <c r="B85" s="223"/>
      <c r="C85" s="261"/>
      <c r="D85" s="261"/>
      <c r="E85" s="261"/>
      <c r="F85" s="261"/>
      <c r="G85" s="261"/>
      <c r="H85" s="261"/>
      <c r="I85" s="261"/>
      <c r="J85" s="261"/>
      <c r="K85" s="265"/>
      <c r="L85" s="266"/>
      <c r="M85" s="13"/>
      <c r="N85" s="186"/>
      <c r="O85" s="186"/>
      <c r="P85" s="186"/>
      <c r="Q85" s="186"/>
    </row>
    <row r="86" spans="1:17" x14ac:dyDescent="0.35">
      <c r="A86" s="369" t="s">
        <v>107</v>
      </c>
      <c r="B86" s="369"/>
      <c r="C86" s="369" t="s">
        <v>33</v>
      </c>
      <c r="D86" s="369" t="s">
        <v>34</v>
      </c>
      <c r="E86" s="369" t="str">
        <f>_xlfn.CONCAT("Total Cost for ",E$14)</f>
        <v>Total Cost for 8</v>
      </c>
      <c r="F86" s="369" t="str">
        <f>_xlfn.CONCAT("Total Cost for ",F$14)</f>
        <v>Total Cost for 10</v>
      </c>
      <c r="G86" s="369" t="str">
        <f>_xlfn.CONCAT("Total Cost for ",G$14)</f>
        <v>Total Cost for 13</v>
      </c>
      <c r="H86" s="369" t="str">
        <f>_xlfn.CONCAT("Total Cost for ",H$14)</f>
        <v>Total Cost for 20</v>
      </c>
      <c r="I86" s="257"/>
      <c r="J86" s="257"/>
      <c r="K86" s="272"/>
      <c r="L86" s="273"/>
      <c r="M86" s="13"/>
      <c r="N86" s="186"/>
      <c r="O86" s="186"/>
    </row>
    <row r="87" spans="1:17" outlineLevel="2" x14ac:dyDescent="0.35">
      <c r="A87" s="370"/>
      <c r="B87" s="371" t="str">
        <f t="shared" ref="B87:H87" si="25">B39</f>
        <v>Total Summer Quarter '23 - DCE Fees</v>
      </c>
      <c r="C87" s="372">
        <f t="shared" si="25"/>
        <v>3600</v>
      </c>
      <c r="D87" s="372">
        <f t="shared" si="25"/>
        <v>725</v>
      </c>
      <c r="E87" s="372">
        <f t="shared" si="25"/>
        <v>9400</v>
      </c>
      <c r="F87" s="372">
        <f t="shared" si="25"/>
        <v>10850</v>
      </c>
      <c r="G87" s="372">
        <f t="shared" si="25"/>
        <v>13025</v>
      </c>
      <c r="H87" s="372">
        <f t="shared" si="25"/>
        <v>18100</v>
      </c>
      <c r="I87" s="203"/>
      <c r="J87" s="203"/>
      <c r="K87" s="258"/>
      <c r="L87" s="259"/>
      <c r="M87" s="228"/>
      <c r="N87" s="228"/>
      <c r="O87" s="186"/>
      <c r="P87" s="186"/>
      <c r="Q87" s="234"/>
    </row>
    <row r="88" spans="1:17" outlineLevel="2" x14ac:dyDescent="0.35">
      <c r="A88" s="370"/>
      <c r="B88" s="373" t="str">
        <f>B52</f>
        <v>Total Fall Quarter '23 - DCE Fees</v>
      </c>
      <c r="C88" s="374">
        <f t="shared" ref="C88:H88" si="26">C52</f>
        <v>7000</v>
      </c>
      <c r="D88" s="374">
        <f t="shared" si="26"/>
        <v>595</v>
      </c>
      <c r="E88" s="374">
        <f t="shared" si="26"/>
        <v>11760</v>
      </c>
      <c r="F88" s="374">
        <f t="shared" si="26"/>
        <v>12950</v>
      </c>
      <c r="G88" s="374">
        <f t="shared" si="26"/>
        <v>14735</v>
      </c>
      <c r="H88" s="374">
        <f t="shared" si="26"/>
        <v>18900</v>
      </c>
      <c r="I88" s="203"/>
      <c r="J88" s="203"/>
      <c r="K88" s="258"/>
      <c r="L88" s="259"/>
      <c r="M88" s="228"/>
      <c r="N88" s="228"/>
      <c r="O88" s="186"/>
      <c r="P88" s="186"/>
      <c r="Q88" s="234"/>
    </row>
    <row r="89" spans="1:17" outlineLevel="2" x14ac:dyDescent="0.35">
      <c r="A89" s="370"/>
      <c r="B89" s="373"/>
      <c r="C89" s="374"/>
      <c r="D89" s="374"/>
      <c r="E89" s="374"/>
      <c r="F89" s="374"/>
      <c r="G89" s="374"/>
      <c r="H89" s="374"/>
      <c r="I89" s="203"/>
      <c r="J89" s="203"/>
      <c r="K89" s="258"/>
      <c r="L89" s="259"/>
      <c r="M89" s="228"/>
      <c r="N89" s="228"/>
      <c r="O89" s="186"/>
      <c r="P89" s="186"/>
      <c r="Q89" s="234"/>
    </row>
    <row r="90" spans="1:17" outlineLevel="2" x14ac:dyDescent="0.35">
      <c r="A90" s="370"/>
      <c r="B90" s="373"/>
      <c r="C90" s="374"/>
      <c r="D90" s="374"/>
      <c r="E90" s="374"/>
      <c r="F90" s="374"/>
      <c r="G90" s="374"/>
      <c r="H90" s="374"/>
      <c r="I90" s="203"/>
      <c r="J90" s="203"/>
      <c r="K90" s="258"/>
      <c r="L90" s="259"/>
      <c r="M90" s="228"/>
      <c r="N90" s="228"/>
      <c r="O90" s="186"/>
      <c r="P90" s="186"/>
      <c r="Q90" s="234"/>
    </row>
    <row r="91" spans="1:17" ht="15" outlineLevel="2" thickBot="1" x14ac:dyDescent="0.4">
      <c r="A91" s="370"/>
      <c r="B91" s="375"/>
      <c r="C91" s="376"/>
      <c r="D91" s="376"/>
      <c r="E91" s="376"/>
      <c r="F91" s="376"/>
      <c r="G91" s="376"/>
      <c r="H91" s="376"/>
      <c r="I91" s="341"/>
      <c r="J91" s="260"/>
      <c r="K91" s="267"/>
      <c r="L91" s="268"/>
      <c r="M91" s="228"/>
      <c r="N91" s="228"/>
      <c r="O91" s="186"/>
      <c r="P91" s="186"/>
      <c r="Q91" s="234"/>
    </row>
    <row r="92" spans="1:17" ht="15.5" outlineLevel="2" thickTop="1" thickBot="1" x14ac:dyDescent="0.4">
      <c r="A92" s="370"/>
      <c r="B92" s="375" t="s">
        <v>108</v>
      </c>
      <c r="C92" s="377">
        <f t="shared" ref="C92:H92" si="27">SUM(C87:C91)</f>
        <v>10600</v>
      </c>
      <c r="D92" s="377">
        <f t="shared" si="27"/>
        <v>1320</v>
      </c>
      <c r="E92" s="377">
        <f t="shared" si="27"/>
        <v>21160</v>
      </c>
      <c r="F92" s="377">
        <f t="shared" si="27"/>
        <v>23800</v>
      </c>
      <c r="G92" s="377">
        <f t="shared" si="27"/>
        <v>27760</v>
      </c>
      <c r="H92" s="377">
        <f t="shared" si="27"/>
        <v>37000</v>
      </c>
      <c r="I92" s="260"/>
      <c r="J92" s="246"/>
      <c r="K92" s="249"/>
      <c r="L92" s="250"/>
      <c r="M92" s="13"/>
      <c r="N92" s="186"/>
      <c r="O92" s="186"/>
      <c r="P92" s="186"/>
      <c r="Q92" s="186"/>
    </row>
    <row r="93" spans="1:17" ht="15" thickTop="1" x14ac:dyDescent="0.35">
      <c r="A93" s="378" t="s">
        <v>109</v>
      </c>
      <c r="B93" s="378"/>
      <c r="C93" s="379">
        <f>SUM(C92)</f>
        <v>10600</v>
      </c>
      <c r="D93" s="379">
        <f>SUM(D92)</f>
        <v>1320</v>
      </c>
      <c r="E93" s="379">
        <f>E84-E92</f>
        <v>32436</v>
      </c>
      <c r="F93" s="379">
        <f>F84-F92</f>
        <v>33770</v>
      </c>
      <c r="G93" s="379">
        <f>G84-G92</f>
        <v>35771</v>
      </c>
      <c r="H93" s="379">
        <f>H84-H92</f>
        <v>40440</v>
      </c>
      <c r="I93" s="292"/>
      <c r="J93" s="292"/>
      <c r="K93" s="294"/>
      <c r="L93" s="295"/>
      <c r="M93" s="13"/>
      <c r="N93" s="186"/>
      <c r="O93" s="186"/>
    </row>
    <row r="94" spans="1:17" x14ac:dyDescent="0.35">
      <c r="A94" s="212"/>
      <c r="B94" s="223"/>
      <c r="C94" s="261"/>
      <c r="D94" s="261"/>
      <c r="E94" s="261"/>
      <c r="F94" s="261"/>
      <c r="G94" s="261"/>
      <c r="H94" s="261"/>
      <c r="I94" s="261"/>
      <c r="J94" s="261"/>
      <c r="K94" s="265"/>
      <c r="L94" s="266"/>
      <c r="M94" s="13"/>
      <c r="N94" s="186"/>
      <c r="O94" s="186"/>
      <c r="P94" s="186"/>
      <c r="Q94" s="186"/>
    </row>
    <row r="95" spans="1:17" ht="15" thickBot="1" x14ac:dyDescent="0.4">
      <c r="A95" s="184" t="s">
        <v>85</v>
      </c>
      <c r="B95" s="231"/>
      <c r="C95" s="231"/>
      <c r="D95" s="231"/>
      <c r="E95" s="231"/>
      <c r="F95" s="231"/>
      <c r="G95" s="231"/>
      <c r="H95" s="231"/>
      <c r="I95" s="231"/>
      <c r="J95" s="231"/>
      <c r="K95" s="270"/>
      <c r="L95" s="271"/>
      <c r="M95" s="13"/>
      <c r="N95" s="186"/>
      <c r="O95" s="186"/>
    </row>
    <row r="96" spans="1:17" outlineLevel="1" x14ac:dyDescent="0.35">
      <c r="A96" s="212"/>
      <c r="B96" s="235" t="s">
        <v>86</v>
      </c>
      <c r="C96" s="257" t="s">
        <v>33</v>
      </c>
      <c r="D96" s="257" t="s">
        <v>34</v>
      </c>
      <c r="E96" s="257" t="str">
        <f>_xlfn.CONCAT("Total Cost for ",E$14)</f>
        <v>Total Cost for 8</v>
      </c>
      <c r="F96" s="257" t="str">
        <f>_xlfn.CONCAT("Total Cost for ",F$14)</f>
        <v>Total Cost for 10</v>
      </c>
      <c r="G96" s="257" t="str">
        <f>_xlfn.CONCAT("Total Cost for ",G$14)</f>
        <v>Total Cost for 13</v>
      </c>
      <c r="H96" s="257" t="str">
        <f>_xlfn.CONCAT("Total Cost for ",H$14)</f>
        <v>Total Cost for 20</v>
      </c>
      <c r="I96" s="257"/>
      <c r="J96" s="257"/>
      <c r="K96" s="272"/>
      <c r="L96" s="273"/>
      <c r="M96" s="13"/>
      <c r="N96" s="186"/>
      <c r="O96" s="186"/>
    </row>
    <row r="97" spans="1:18" ht="15" outlineLevel="2" thickBot="1" x14ac:dyDescent="0.4">
      <c r="A97" s="212"/>
      <c r="B97" s="216" t="s">
        <v>7</v>
      </c>
      <c r="C97" s="274">
        <v>0</v>
      </c>
      <c r="D97" s="392">
        <v>0.3</v>
      </c>
      <c r="E97" s="260">
        <f>$D97*E$16</f>
        <v>42074.802431999997</v>
      </c>
      <c r="F97" s="260">
        <f>$D97*F$16</f>
        <v>44539.26</v>
      </c>
      <c r="G97" s="260">
        <f>$D97*G$16</f>
        <v>55269.902999999998</v>
      </c>
      <c r="H97" s="260">
        <f>$D97*H$16</f>
        <v>80381.7</v>
      </c>
      <c r="I97" s="276"/>
      <c r="J97" s="276"/>
      <c r="K97" s="277"/>
      <c r="L97" s="278"/>
      <c r="M97" s="13"/>
      <c r="N97" s="186"/>
      <c r="O97" s="186"/>
    </row>
    <row r="98" spans="1:18" ht="15" outlineLevel="1" thickTop="1" x14ac:dyDescent="0.35">
      <c r="A98" s="212"/>
      <c r="B98" s="223" t="s">
        <v>87</v>
      </c>
      <c r="C98" s="261">
        <f>SUM(C97)</f>
        <v>0</v>
      </c>
      <c r="D98" s="279">
        <f>SUM(D97)</f>
        <v>0.3</v>
      </c>
      <c r="E98" s="261">
        <f>SUM(E97)</f>
        <v>42074.802431999997</v>
      </c>
      <c r="F98" s="261">
        <f t="shared" ref="F98:H98" si="28">SUM(F97)</f>
        <v>44539.26</v>
      </c>
      <c r="G98" s="261">
        <f t="shared" si="28"/>
        <v>55269.902999999998</v>
      </c>
      <c r="H98" s="261">
        <f t="shared" si="28"/>
        <v>80381.7</v>
      </c>
      <c r="I98" s="228"/>
      <c r="J98" s="228"/>
      <c r="K98" s="280"/>
      <c r="L98" s="281"/>
      <c r="M98" s="13"/>
      <c r="N98" s="186"/>
      <c r="O98" s="186"/>
    </row>
    <row r="99" spans="1:18" outlineLevel="1" x14ac:dyDescent="0.35">
      <c r="A99" s="212"/>
      <c r="B99" s="228"/>
      <c r="C99" s="228"/>
      <c r="D99" s="228"/>
      <c r="E99" s="228"/>
      <c r="F99" s="228"/>
      <c r="G99" s="228"/>
      <c r="H99" s="228"/>
      <c r="I99" s="228"/>
      <c r="J99" s="228"/>
      <c r="K99" s="280"/>
      <c r="L99" s="281"/>
      <c r="M99" s="13"/>
      <c r="N99" s="186"/>
      <c r="O99" s="186"/>
    </row>
    <row r="100" spans="1:18" outlineLevel="1" x14ac:dyDescent="0.35">
      <c r="A100" s="212"/>
      <c r="B100" s="257" t="s">
        <v>88</v>
      </c>
      <c r="C100" s="257" t="s">
        <v>33</v>
      </c>
      <c r="D100" s="257" t="s">
        <v>34</v>
      </c>
      <c r="E100" s="257" t="str">
        <f>_xlfn.CONCAT("Total Cost for ",E$14)</f>
        <v>Total Cost for 8</v>
      </c>
      <c r="F100" s="257" t="str">
        <f>_xlfn.CONCAT("Total Cost for ",F$14)</f>
        <v>Total Cost for 10</v>
      </c>
      <c r="G100" s="257" t="str">
        <f>_xlfn.CONCAT("Total Cost for ",G$14)</f>
        <v>Total Cost for 13</v>
      </c>
      <c r="H100" s="257" t="str">
        <f>_xlfn.CONCAT("Total Cost for ",H$14)</f>
        <v>Total Cost for 20</v>
      </c>
      <c r="I100" s="257"/>
      <c r="J100" s="257"/>
      <c r="K100" s="272"/>
      <c r="L100" s="273"/>
      <c r="M100" s="13"/>
      <c r="N100" s="186"/>
      <c r="O100" s="186"/>
    </row>
    <row r="101" spans="1:18" outlineLevel="2" x14ac:dyDescent="0.35">
      <c r="A101" s="212"/>
      <c r="B101" s="264" t="s">
        <v>89</v>
      </c>
      <c r="C101" s="282">
        <v>0</v>
      </c>
      <c r="D101" s="283">
        <v>0.34100000000000003</v>
      </c>
      <c r="E101" s="203">
        <f>$D101*(E$93+E$97)</f>
        <v>25408.183629312</v>
      </c>
      <c r="F101" s="203">
        <f>$D101*(F$93+F$97)</f>
        <v>26703.457660000004</v>
      </c>
      <c r="G101" s="203">
        <f>$D101*(G$93+G$97)</f>
        <v>31044.947923</v>
      </c>
      <c r="H101" s="203">
        <f>$D101*(H$93+H$97)</f>
        <v>41200.199700000005</v>
      </c>
      <c r="I101" s="203"/>
      <c r="J101" s="203"/>
      <c r="K101" s="258"/>
      <c r="L101" s="259"/>
      <c r="M101" s="228"/>
      <c r="N101" s="228"/>
      <c r="O101" s="186"/>
      <c r="P101" s="186"/>
      <c r="Q101" s="234"/>
    </row>
    <row r="102" spans="1:18" ht="15" outlineLevel="2" thickBot="1" x14ac:dyDescent="0.4">
      <c r="B102" s="216" t="s">
        <v>90</v>
      </c>
      <c r="C102" s="274">
        <v>0</v>
      </c>
      <c r="D102" s="275">
        <v>4.5400000000000003E-2</v>
      </c>
      <c r="E102" s="260">
        <f>$D102*(E$93+E$98+E101)</f>
        <v>4536.321967183565</v>
      </c>
      <c r="F102" s="260">
        <f>$D102*(F$93+F$98+F101)</f>
        <v>4767.5773817640011</v>
      </c>
      <c r="G102" s="260">
        <f>$D102*(G$93+G$98+G101)</f>
        <v>5542.6976319041996</v>
      </c>
      <c r="H102" s="260">
        <f>$D102*(H$93+H$98+H101)</f>
        <v>7355.7942463800009</v>
      </c>
      <c r="I102" s="260"/>
      <c r="J102" s="246"/>
      <c r="K102" s="249"/>
      <c r="L102" s="250"/>
      <c r="M102" s="13"/>
      <c r="N102" s="186"/>
      <c r="O102" s="186"/>
      <c r="P102" s="186"/>
      <c r="Q102" s="186"/>
    </row>
    <row r="103" spans="1:18" s="212" customFormat="1" ht="15.5" outlineLevel="1" thickTop="1" thickBot="1" x14ac:dyDescent="0.4">
      <c r="A103" s="284"/>
      <c r="B103" s="276" t="s">
        <v>91</v>
      </c>
      <c r="C103" s="269">
        <f>SUM(C101:C102)</f>
        <v>0</v>
      </c>
      <c r="D103" s="285">
        <f>SUM(D101:D102)</f>
        <v>0.38640000000000002</v>
      </c>
      <c r="E103" s="286">
        <f>SUM(E101:E102)</f>
        <v>29944.505596495565</v>
      </c>
      <c r="F103" s="286">
        <f t="shared" ref="F103:G103" si="29">SUM(F101:F102)</f>
        <v>31471.035041764004</v>
      </c>
      <c r="G103" s="286">
        <f t="shared" si="29"/>
        <v>36587.6455549042</v>
      </c>
      <c r="H103" s="286">
        <f>SUM(H101:H102)</f>
        <v>48555.993946380004</v>
      </c>
      <c r="I103" s="287"/>
      <c r="J103" s="287"/>
      <c r="K103" s="288"/>
      <c r="L103" s="289"/>
      <c r="M103" s="290"/>
      <c r="N103" s="228"/>
      <c r="O103" s="228"/>
      <c r="P103" s="228"/>
      <c r="Q103" s="228"/>
    </row>
    <row r="104" spans="1:18" ht="15" thickTop="1" x14ac:dyDescent="0.35">
      <c r="A104" s="291" t="s">
        <v>92</v>
      </c>
      <c r="B104" s="292"/>
      <c r="C104" s="293">
        <f>SUM(C103)</f>
        <v>0</v>
      </c>
      <c r="D104" s="361">
        <f>SUM(D103)</f>
        <v>0.38640000000000002</v>
      </c>
      <c r="E104" s="293">
        <f>E$103+E$98</f>
        <v>72019.308028495565</v>
      </c>
      <c r="F104" s="293">
        <f>F$103+F$98</f>
        <v>76010.29504176401</v>
      </c>
      <c r="G104" s="293">
        <f>G$103+G$98</f>
        <v>91857.548554904206</v>
      </c>
      <c r="H104" s="293">
        <f>H$103+H$98</f>
        <v>128937.69394637999</v>
      </c>
      <c r="I104" s="292"/>
      <c r="J104" s="292"/>
      <c r="K104" s="294"/>
      <c r="L104" s="295"/>
      <c r="M104" s="13"/>
      <c r="N104" s="186"/>
      <c r="O104" s="186"/>
    </row>
    <row r="105" spans="1:18" x14ac:dyDescent="0.35">
      <c r="B105" s="186"/>
      <c r="C105" s="296"/>
      <c r="D105" s="296"/>
      <c r="E105" s="296"/>
      <c r="F105" s="13"/>
      <c r="G105" s="13"/>
      <c r="H105" s="13"/>
      <c r="I105" s="13"/>
      <c r="J105" s="94"/>
      <c r="K105" s="297"/>
      <c r="L105" s="298"/>
      <c r="M105" s="299"/>
      <c r="N105" s="186"/>
      <c r="O105" s="186"/>
      <c r="P105" s="186"/>
      <c r="Q105" s="186"/>
    </row>
    <row r="106" spans="1:18" ht="15" thickBot="1" x14ac:dyDescent="0.4">
      <c r="A106" s="184" t="s">
        <v>93</v>
      </c>
      <c r="B106" s="231"/>
      <c r="C106" s="231"/>
      <c r="D106" s="231"/>
      <c r="E106" s="231" t="str">
        <f>_xlfn.CONCAT("Total Profit for ",E$14)</f>
        <v>Total Profit for 8</v>
      </c>
      <c r="F106" s="231" t="str">
        <f>_xlfn.CONCAT("Total Profit for ",F$14)</f>
        <v>Total Profit for 10</v>
      </c>
      <c r="G106" s="231" t="str">
        <f>_xlfn.CONCAT("Total Profit for ",G$14)</f>
        <v>Total Profit for 13</v>
      </c>
      <c r="H106" s="231" t="str">
        <f>_xlfn.CONCAT("Total Profit for ",H$14)</f>
        <v>Total Profit for 20</v>
      </c>
      <c r="I106" s="231"/>
      <c r="J106" s="231"/>
      <c r="K106" s="270"/>
      <c r="L106" s="271"/>
      <c r="M106" s="13"/>
      <c r="N106" s="186"/>
      <c r="O106" s="186"/>
    </row>
    <row r="107" spans="1:18" outlineLevel="1" x14ac:dyDescent="0.35">
      <c r="A107" s="300"/>
      <c r="B107" s="301" t="s">
        <v>94</v>
      </c>
      <c r="C107" s="302"/>
      <c r="D107" s="303"/>
      <c r="E107" s="332">
        <f>E$16-E$84</f>
        <v>86653.341439999989</v>
      </c>
      <c r="F107" s="332">
        <f>F$16-F$84</f>
        <v>90894.200000000012</v>
      </c>
      <c r="G107" s="366">
        <f>G$16-G$84</f>
        <v>120702.01000000001</v>
      </c>
      <c r="H107" s="332">
        <f>H$16-H$84</f>
        <v>190499</v>
      </c>
      <c r="I107" s="304"/>
      <c r="J107" s="304"/>
      <c r="K107" s="305"/>
      <c r="L107" s="306"/>
      <c r="M107" s="299"/>
      <c r="N107" s="186"/>
      <c r="O107" s="186"/>
      <c r="P107" s="186"/>
      <c r="Q107" s="186"/>
    </row>
    <row r="108" spans="1:18" ht="15" outlineLevel="1" thickBot="1" x14ac:dyDescent="0.4">
      <c r="A108" s="213"/>
      <c r="B108" s="245" t="s">
        <v>95</v>
      </c>
      <c r="C108" s="307"/>
      <c r="D108" s="307"/>
      <c r="E108" s="331">
        <f>E$16-E$84-E$98</f>
        <v>44578.539007999992</v>
      </c>
      <c r="F108" s="260">
        <f>F$16-F$84-F$98</f>
        <v>46354.94000000001</v>
      </c>
      <c r="G108" s="260">
        <f>G$16-G$84-G$98</f>
        <v>65432.107000000011</v>
      </c>
      <c r="H108" s="260">
        <f>H$16-H$84-H$98</f>
        <v>110117.3</v>
      </c>
      <c r="I108" s="308"/>
      <c r="J108" s="308"/>
      <c r="K108" s="309"/>
      <c r="L108" s="310"/>
      <c r="M108" s="13"/>
      <c r="N108" s="186"/>
      <c r="O108" s="186"/>
      <c r="P108" s="186"/>
      <c r="Q108" s="186"/>
    </row>
    <row r="109" spans="1:18" s="212" customFormat="1" ht="15" thickTop="1" x14ac:dyDescent="0.35">
      <c r="A109" s="212" t="s">
        <v>11</v>
      </c>
      <c r="B109" s="228"/>
      <c r="C109" s="311"/>
      <c r="D109" s="311"/>
      <c r="E109" s="330">
        <f>E108-E103</f>
        <v>14634.033411504428</v>
      </c>
      <c r="F109" s="312">
        <f>F107-F104</f>
        <v>14883.904958236002</v>
      </c>
      <c r="G109" s="312">
        <f>G107-G104</f>
        <v>28844.461445095803</v>
      </c>
      <c r="H109" s="312">
        <f t="shared" ref="H109" si="30">H107-H104</f>
        <v>61561.306053620006</v>
      </c>
      <c r="I109" s="313"/>
      <c r="J109" s="313"/>
      <c r="K109" s="314"/>
      <c r="L109" s="315"/>
      <c r="M109" s="190"/>
      <c r="N109" s="190"/>
      <c r="O109" s="228"/>
      <c r="P109" s="228"/>
      <c r="Q109" s="228"/>
    </row>
    <row r="110" spans="1:18" s="212" customFormat="1" ht="15" thickBot="1" x14ac:dyDescent="0.4">
      <c r="A110" s="316"/>
      <c r="B110" s="228" t="s">
        <v>96</v>
      </c>
      <c r="C110" s="311"/>
      <c r="D110" s="311"/>
      <c r="E110" s="317">
        <f>E$109/E$16</f>
        <v>0.10434297417193227</v>
      </c>
      <c r="F110" s="317">
        <f>F$109/F$16</f>
        <v>0.10025248482958182</v>
      </c>
      <c r="G110" s="367">
        <f>G$109/G$16</f>
        <v>0.15656510983072905</v>
      </c>
      <c r="H110" s="317">
        <f>H$109/H$16</f>
        <v>0.2297586616865033</v>
      </c>
      <c r="I110" s="318"/>
      <c r="J110" s="185"/>
      <c r="K110" s="319"/>
      <c r="L110" s="320"/>
      <c r="M110" s="290"/>
      <c r="N110" s="228"/>
      <c r="O110" s="229"/>
      <c r="P110" s="228"/>
      <c r="Q110" s="228"/>
    </row>
    <row r="111" spans="1:18" ht="15" thickTop="1" x14ac:dyDescent="0.35">
      <c r="B111" s="296"/>
      <c r="C111" s="296"/>
      <c r="D111" s="296"/>
      <c r="E111" s="317"/>
      <c r="F111" s="359"/>
      <c r="G111" s="368"/>
      <c r="H111" s="359"/>
      <c r="I111" s="13"/>
      <c r="J111" s="13"/>
      <c r="K111" s="13"/>
      <c r="L111" s="13"/>
      <c r="M111" s="299"/>
      <c r="N111" s="186"/>
      <c r="O111" s="186"/>
      <c r="P111" s="186"/>
      <c r="Q111" s="186"/>
      <c r="R111" s="125"/>
    </row>
    <row r="112" spans="1:18" x14ac:dyDescent="0.35">
      <c r="B112" s="186"/>
      <c r="C112" s="186"/>
      <c r="D112" s="186"/>
      <c r="E112" s="186"/>
      <c r="F112" s="186"/>
      <c r="G112" s="186"/>
      <c r="H112" s="186"/>
      <c r="I112" s="186"/>
      <c r="J112" s="186"/>
      <c r="K112" s="186"/>
      <c r="L112" s="186"/>
      <c r="M112" s="234"/>
      <c r="N112" s="186"/>
      <c r="O112" s="186"/>
      <c r="P112" s="186"/>
      <c r="Q112" s="186"/>
    </row>
    <row r="113" spans="2:17" x14ac:dyDescent="0.35">
      <c r="B113" s="186"/>
      <c r="C113" s="186"/>
      <c r="D113" s="321"/>
      <c r="E113" s="186"/>
      <c r="F113" s="186"/>
      <c r="G113" s="186"/>
      <c r="H113" s="186"/>
      <c r="I113" s="186"/>
      <c r="J113" s="186"/>
      <c r="K113" s="186"/>
      <c r="L113" s="186"/>
      <c r="M113" s="234"/>
      <c r="N113" s="186"/>
      <c r="O113" s="186"/>
      <c r="P113" s="186"/>
      <c r="Q113" s="186"/>
    </row>
    <row r="114" spans="2:17" x14ac:dyDescent="0.35">
      <c r="B114" s="186"/>
      <c r="C114" s="186"/>
      <c r="D114" s="186"/>
      <c r="E114" s="186"/>
      <c r="F114" s="186"/>
      <c r="G114" s="186"/>
      <c r="H114" s="186"/>
      <c r="I114" s="186"/>
      <c r="J114" s="186"/>
      <c r="K114" s="186"/>
      <c r="L114" s="186"/>
      <c r="M114" s="234"/>
      <c r="N114" s="186"/>
      <c r="O114" s="186"/>
      <c r="P114" s="186"/>
      <c r="Q114" s="186"/>
    </row>
    <row r="115" spans="2:17" x14ac:dyDescent="0.35">
      <c r="B115" s="186"/>
      <c r="C115" s="186"/>
      <c r="D115" s="234"/>
      <c r="E115" s="186"/>
      <c r="F115" s="186"/>
      <c r="G115" s="186"/>
      <c r="H115" s="186"/>
      <c r="I115" s="186"/>
      <c r="J115" s="186"/>
      <c r="K115" s="234"/>
      <c r="L115" s="234"/>
      <c r="M115" s="234"/>
      <c r="N115" s="186"/>
      <c r="O115" s="186"/>
      <c r="P115" s="186"/>
      <c r="Q115" s="186"/>
    </row>
    <row r="116" spans="2:17" x14ac:dyDescent="0.35">
      <c r="B116" s="186"/>
      <c r="C116" s="186"/>
      <c r="D116" s="234"/>
      <c r="E116" s="186"/>
      <c r="F116" s="186"/>
      <c r="G116" s="186"/>
      <c r="H116" s="186"/>
      <c r="I116" s="186"/>
      <c r="J116" s="186"/>
      <c r="K116" s="234"/>
      <c r="L116" s="234"/>
      <c r="M116" s="234"/>
      <c r="N116" s="186"/>
      <c r="O116" s="186"/>
      <c r="P116" s="186"/>
      <c r="Q116" s="186"/>
    </row>
    <row r="117" spans="2:17" x14ac:dyDescent="0.35">
      <c r="B117" s="186"/>
      <c r="C117" s="186"/>
      <c r="D117" s="234"/>
      <c r="E117" s="186"/>
      <c r="F117" s="186"/>
      <c r="G117" s="186"/>
      <c r="H117" s="186"/>
      <c r="I117" s="186"/>
      <c r="J117" s="186"/>
      <c r="K117" s="234"/>
      <c r="L117" s="234"/>
      <c r="M117" s="186"/>
      <c r="N117" s="186"/>
      <c r="O117" s="186"/>
      <c r="P117" s="186"/>
      <c r="Q117" s="186"/>
    </row>
    <row r="118" spans="2:17" x14ac:dyDescent="0.35">
      <c r="B118" s="186"/>
      <c r="C118" s="186"/>
      <c r="D118" s="186"/>
      <c r="E118" s="186"/>
      <c r="F118" s="186"/>
      <c r="G118" s="186"/>
      <c r="H118" s="186"/>
      <c r="I118" s="186"/>
      <c r="J118" s="186"/>
      <c r="K118" s="234"/>
      <c r="L118" s="234"/>
      <c r="M118" s="186"/>
      <c r="N118" s="186"/>
      <c r="O118" s="186"/>
      <c r="P118" s="186"/>
      <c r="Q118" s="186"/>
    </row>
    <row r="119" spans="2:17" x14ac:dyDescent="0.35">
      <c r="B119" s="186"/>
      <c r="C119" s="186"/>
      <c r="D119" s="186"/>
      <c r="E119" s="186"/>
      <c r="F119" s="186"/>
      <c r="G119" s="186"/>
      <c r="H119" s="186"/>
      <c r="I119" s="186"/>
      <c r="J119" s="186"/>
      <c r="K119" s="234"/>
      <c r="L119" s="234"/>
      <c r="M119" s="186"/>
      <c r="N119" s="186"/>
      <c r="O119" s="186"/>
      <c r="P119" s="186"/>
      <c r="Q119" s="186"/>
    </row>
    <row r="120" spans="2:17" x14ac:dyDescent="0.35">
      <c r="B120" s="186"/>
      <c r="C120" s="186"/>
      <c r="D120" s="186"/>
      <c r="E120" s="186"/>
      <c r="F120" s="186"/>
      <c r="G120" s="186"/>
      <c r="H120" s="186"/>
      <c r="I120" s="186"/>
      <c r="J120" s="186"/>
      <c r="K120" s="234"/>
      <c r="L120" s="234"/>
      <c r="M120" s="186"/>
      <c r="N120" s="186"/>
      <c r="O120" s="186"/>
      <c r="P120" s="186"/>
      <c r="Q120" s="186"/>
    </row>
    <row r="121" spans="2:17" x14ac:dyDescent="0.35">
      <c r="B121" s="186"/>
      <c r="C121" s="186"/>
      <c r="D121" s="186"/>
      <c r="E121" s="186"/>
      <c r="F121" s="186"/>
      <c r="G121" s="186"/>
      <c r="H121" s="186"/>
      <c r="I121" s="186"/>
      <c r="J121" s="186"/>
      <c r="K121" s="234"/>
      <c r="L121" s="234"/>
      <c r="M121" s="186"/>
      <c r="N121" s="186"/>
      <c r="O121" s="186"/>
      <c r="P121" s="186"/>
      <c r="Q121" s="186"/>
    </row>
    <row r="122" spans="2:17" x14ac:dyDescent="0.35">
      <c r="B122" s="186"/>
      <c r="C122" s="186"/>
      <c r="D122" s="186"/>
      <c r="E122" s="186"/>
      <c r="F122" s="186"/>
      <c r="G122" s="186"/>
      <c r="H122" s="186"/>
      <c r="I122" s="186"/>
      <c r="J122" s="186"/>
      <c r="K122" s="186"/>
      <c r="L122" s="186"/>
      <c r="M122" s="186"/>
      <c r="N122" s="186"/>
      <c r="O122" s="186"/>
      <c r="P122" s="186"/>
      <c r="Q122" s="186"/>
    </row>
    <row r="123" spans="2:17" x14ac:dyDescent="0.35">
      <c r="B123" s="186"/>
      <c r="C123" s="186"/>
      <c r="D123" s="186"/>
      <c r="E123" s="186"/>
      <c r="F123" s="186"/>
      <c r="G123" s="186"/>
      <c r="H123" s="186"/>
      <c r="I123" s="186"/>
      <c r="J123" s="186"/>
      <c r="K123" s="186"/>
      <c r="L123" s="186"/>
      <c r="M123" s="186"/>
      <c r="N123" s="186"/>
      <c r="O123" s="186"/>
      <c r="P123" s="186"/>
      <c r="Q123" s="186"/>
    </row>
    <row r="124" spans="2:17" x14ac:dyDescent="0.35">
      <c r="B124" s="186"/>
      <c r="C124" s="186"/>
      <c r="D124" s="186"/>
      <c r="E124" s="186"/>
      <c r="F124" s="186"/>
      <c r="G124" s="186"/>
      <c r="H124" s="186"/>
      <c r="I124" s="186"/>
      <c r="J124" s="186"/>
      <c r="K124" s="186"/>
      <c r="L124" s="186"/>
      <c r="M124" s="186"/>
      <c r="N124" s="186"/>
      <c r="O124" s="186"/>
      <c r="P124" s="186"/>
      <c r="Q124" s="186"/>
    </row>
    <row r="125" spans="2:17" x14ac:dyDescent="0.35">
      <c r="B125" s="186"/>
      <c r="C125" s="186"/>
      <c r="D125" s="186"/>
      <c r="E125" s="186"/>
      <c r="F125" s="186"/>
      <c r="G125" s="186"/>
      <c r="H125" s="186"/>
      <c r="I125" s="186"/>
      <c r="J125" s="186"/>
      <c r="K125" s="186"/>
      <c r="L125" s="186"/>
      <c r="M125" s="186"/>
      <c r="N125" s="186"/>
      <c r="O125" s="186"/>
      <c r="P125" s="186"/>
      <c r="Q125" s="186"/>
    </row>
    <row r="126" spans="2:17" x14ac:dyDescent="0.35">
      <c r="B126" s="186"/>
      <c r="C126" s="186"/>
      <c r="D126" s="186"/>
      <c r="E126" s="186"/>
      <c r="F126" s="186"/>
      <c r="G126" s="186"/>
      <c r="H126" s="186"/>
      <c r="I126" s="186"/>
      <c r="J126" s="186"/>
      <c r="K126" s="186"/>
      <c r="L126" s="186"/>
      <c r="M126" s="186"/>
      <c r="N126" s="186"/>
      <c r="O126" s="186"/>
      <c r="P126" s="186"/>
      <c r="Q126" s="186"/>
    </row>
    <row r="127" spans="2:17" x14ac:dyDescent="0.35">
      <c r="B127" s="186"/>
      <c r="C127" s="186"/>
      <c r="D127" s="186"/>
      <c r="E127" s="186"/>
      <c r="F127" s="186"/>
      <c r="G127" s="186"/>
      <c r="H127" s="186"/>
      <c r="I127" s="186"/>
      <c r="J127" s="186"/>
      <c r="K127" s="186"/>
      <c r="L127" s="186"/>
      <c r="M127" s="186"/>
      <c r="N127" s="186"/>
      <c r="O127" s="186"/>
      <c r="P127" s="186"/>
      <c r="Q127" s="186"/>
    </row>
    <row r="128" spans="2:17" x14ac:dyDescent="0.35">
      <c r="B128" s="186"/>
      <c r="C128" s="186"/>
      <c r="D128" s="186"/>
      <c r="E128" s="186"/>
      <c r="F128" s="186"/>
      <c r="G128" s="186"/>
      <c r="H128" s="186"/>
      <c r="I128" s="186"/>
      <c r="J128" s="186"/>
      <c r="K128" s="186"/>
      <c r="L128" s="186"/>
      <c r="M128" s="186"/>
      <c r="N128" s="186"/>
      <c r="O128" s="186"/>
      <c r="P128" s="186"/>
      <c r="Q128" s="186"/>
    </row>
    <row r="129" spans="2:17" x14ac:dyDescent="0.35">
      <c r="B129" s="186"/>
      <c r="C129" s="186"/>
      <c r="D129" s="186"/>
      <c r="E129" s="186"/>
      <c r="F129" s="186"/>
      <c r="G129" s="186"/>
      <c r="H129" s="186"/>
      <c r="I129" s="186"/>
      <c r="J129" s="186"/>
      <c r="K129" s="186"/>
      <c r="L129" s="186"/>
      <c r="M129" s="186"/>
      <c r="N129" s="186"/>
      <c r="O129" s="186"/>
      <c r="P129" s="186"/>
      <c r="Q129" s="186"/>
    </row>
    <row r="130" spans="2:17" x14ac:dyDescent="0.35">
      <c r="B130" s="186"/>
      <c r="C130" s="186"/>
      <c r="D130" s="186"/>
      <c r="E130" s="186"/>
      <c r="F130" s="186"/>
      <c r="G130" s="186"/>
      <c r="H130" s="186"/>
      <c r="I130" s="186"/>
      <c r="J130" s="186"/>
      <c r="K130" s="186"/>
      <c r="L130" s="186"/>
      <c r="M130" s="186"/>
      <c r="N130" s="186"/>
      <c r="O130" s="186"/>
      <c r="P130" s="186"/>
      <c r="Q130" s="186"/>
    </row>
    <row r="131" spans="2:17" x14ac:dyDescent="0.35">
      <c r="B131" s="186"/>
      <c r="C131" s="186"/>
      <c r="D131" s="186"/>
      <c r="E131" s="186"/>
      <c r="F131" s="186"/>
      <c r="G131" s="186"/>
      <c r="H131" s="186"/>
      <c r="I131" s="186"/>
      <c r="J131" s="186"/>
      <c r="K131" s="186"/>
      <c r="L131" s="186"/>
      <c r="M131" s="186"/>
      <c r="N131" s="186"/>
      <c r="O131" s="186"/>
      <c r="P131" s="186"/>
      <c r="Q131" s="186"/>
    </row>
    <row r="132" spans="2:17" x14ac:dyDescent="0.35">
      <c r="B132" s="186"/>
      <c r="C132" s="186"/>
      <c r="D132" s="186"/>
      <c r="E132" s="186"/>
      <c r="F132" s="186"/>
      <c r="G132" s="186"/>
      <c r="H132" s="186"/>
      <c r="I132" s="186"/>
      <c r="J132" s="186"/>
      <c r="K132" s="186"/>
      <c r="L132" s="186"/>
      <c r="M132" s="186"/>
      <c r="N132" s="186"/>
      <c r="O132" s="186"/>
      <c r="P132" s="186"/>
      <c r="Q132" s="186"/>
    </row>
    <row r="133" spans="2:17" x14ac:dyDescent="0.35">
      <c r="B133" s="186"/>
      <c r="C133" s="186"/>
      <c r="D133" s="186"/>
      <c r="E133" s="186"/>
      <c r="F133" s="186"/>
      <c r="G133" s="186"/>
      <c r="H133" s="186"/>
      <c r="I133" s="186"/>
      <c r="J133" s="186"/>
      <c r="K133" s="186"/>
      <c r="L133" s="186"/>
      <c r="M133" s="186"/>
      <c r="N133" s="186"/>
      <c r="O133" s="186"/>
      <c r="P133" s="186"/>
      <c r="Q133" s="186"/>
    </row>
    <row r="134" spans="2:17" x14ac:dyDescent="0.35">
      <c r="B134" s="186"/>
      <c r="C134" s="186"/>
      <c r="D134" s="186"/>
      <c r="E134" s="186"/>
      <c r="F134" s="186"/>
      <c r="G134" s="186"/>
      <c r="H134" s="186"/>
      <c r="I134" s="186"/>
      <c r="J134" s="186"/>
      <c r="K134" s="186"/>
      <c r="L134" s="186"/>
      <c r="M134" s="186"/>
      <c r="N134" s="186"/>
      <c r="O134" s="186"/>
      <c r="P134" s="186"/>
      <c r="Q134" s="186"/>
    </row>
    <row r="135" spans="2:17" x14ac:dyDescent="0.35">
      <c r="B135" s="186"/>
      <c r="C135" s="186"/>
      <c r="D135" s="186"/>
      <c r="E135" s="186"/>
      <c r="F135" s="186"/>
      <c r="G135" s="186"/>
      <c r="H135" s="186"/>
      <c r="I135" s="186"/>
      <c r="J135" s="186"/>
      <c r="K135" s="186"/>
      <c r="L135" s="186"/>
      <c r="M135" s="186"/>
      <c r="N135" s="186"/>
      <c r="O135" s="186"/>
      <c r="P135" s="186"/>
      <c r="Q135" s="186"/>
    </row>
    <row r="136" spans="2:17" x14ac:dyDescent="0.35">
      <c r="B136" s="186"/>
      <c r="C136" s="186"/>
      <c r="D136" s="186"/>
      <c r="E136" s="186"/>
      <c r="F136" s="186"/>
      <c r="G136" s="186"/>
      <c r="H136" s="186"/>
      <c r="I136" s="186"/>
      <c r="J136" s="186"/>
      <c r="K136" s="186"/>
      <c r="L136" s="186"/>
      <c r="M136" s="186"/>
      <c r="N136" s="186"/>
      <c r="O136" s="186"/>
      <c r="P136" s="186"/>
      <c r="Q136" s="186"/>
    </row>
    <row r="137" spans="2:17" x14ac:dyDescent="0.35">
      <c r="B137" s="186"/>
      <c r="C137" s="186"/>
      <c r="D137" s="186"/>
      <c r="E137" s="186"/>
      <c r="F137" s="186"/>
      <c r="G137" s="186"/>
      <c r="H137" s="186"/>
      <c r="I137" s="186"/>
      <c r="J137" s="186"/>
      <c r="K137" s="186"/>
      <c r="L137" s="186"/>
      <c r="M137" s="186"/>
      <c r="N137" s="186"/>
      <c r="O137" s="186"/>
      <c r="P137" s="186"/>
      <c r="Q137" s="186"/>
    </row>
    <row r="138" spans="2:17" x14ac:dyDescent="0.35">
      <c r="B138" s="186"/>
      <c r="C138" s="186"/>
      <c r="D138" s="186"/>
      <c r="E138" s="186"/>
      <c r="F138" s="186"/>
      <c r="G138" s="186"/>
      <c r="H138" s="186"/>
      <c r="I138" s="186"/>
      <c r="J138" s="186"/>
      <c r="K138" s="186"/>
      <c r="L138" s="186"/>
      <c r="M138" s="186"/>
      <c r="N138" s="186"/>
      <c r="O138" s="186"/>
      <c r="P138" s="186"/>
      <c r="Q138" s="186"/>
    </row>
    <row r="139" spans="2:17" x14ac:dyDescent="0.35">
      <c r="B139" s="186"/>
      <c r="C139" s="186"/>
      <c r="D139" s="186"/>
      <c r="E139" s="186"/>
      <c r="F139" s="186"/>
      <c r="G139" s="186"/>
      <c r="H139" s="186"/>
      <c r="I139" s="186"/>
      <c r="J139" s="186"/>
      <c r="K139" s="186"/>
      <c r="L139" s="186"/>
      <c r="M139" s="186"/>
      <c r="N139" s="186"/>
      <c r="O139" s="186"/>
      <c r="P139" s="186"/>
      <c r="Q139" s="186"/>
    </row>
    <row r="140" spans="2:17" x14ac:dyDescent="0.35">
      <c r="B140" s="186"/>
      <c r="C140" s="186"/>
      <c r="D140" s="186"/>
      <c r="E140" s="186"/>
      <c r="F140" s="186"/>
      <c r="G140" s="186"/>
      <c r="H140" s="186"/>
      <c r="I140" s="186"/>
      <c r="J140" s="186"/>
      <c r="K140" s="186"/>
      <c r="L140" s="186"/>
      <c r="M140" s="186"/>
      <c r="N140" s="186"/>
      <c r="O140" s="186"/>
      <c r="P140" s="186"/>
      <c r="Q140" s="186"/>
    </row>
    <row r="141" spans="2:17" x14ac:dyDescent="0.35">
      <c r="B141" s="186"/>
      <c r="C141" s="186"/>
      <c r="D141" s="186"/>
      <c r="E141" s="186"/>
      <c r="F141" s="186"/>
      <c r="G141" s="186"/>
      <c r="H141" s="186"/>
      <c r="I141" s="186"/>
      <c r="J141" s="186"/>
      <c r="K141" s="186"/>
      <c r="L141" s="186"/>
      <c r="M141" s="186"/>
      <c r="N141" s="186"/>
      <c r="O141" s="186"/>
      <c r="P141" s="186"/>
      <c r="Q141" s="186"/>
    </row>
    <row r="142" spans="2:17" x14ac:dyDescent="0.35">
      <c r="B142" s="186"/>
      <c r="C142" s="186"/>
      <c r="D142" s="186"/>
      <c r="E142" s="186"/>
      <c r="F142" s="186"/>
      <c r="G142" s="186"/>
      <c r="H142" s="186"/>
      <c r="I142" s="186"/>
      <c r="J142" s="186"/>
      <c r="K142" s="186"/>
      <c r="L142" s="186"/>
      <c r="M142" s="186"/>
      <c r="N142" s="186"/>
      <c r="O142" s="186"/>
      <c r="P142" s="186"/>
      <c r="Q142" s="186"/>
    </row>
    <row r="143" spans="2:17" x14ac:dyDescent="0.35">
      <c r="B143" s="186"/>
      <c r="C143" s="186"/>
      <c r="D143" s="186"/>
      <c r="E143" s="186"/>
      <c r="F143" s="186"/>
      <c r="G143" s="186"/>
      <c r="H143" s="186"/>
      <c r="I143" s="186"/>
      <c r="J143" s="186"/>
      <c r="K143" s="186"/>
      <c r="L143" s="186"/>
      <c r="M143" s="186"/>
      <c r="N143" s="186"/>
      <c r="O143" s="186"/>
      <c r="P143" s="186"/>
      <c r="Q143" s="186"/>
    </row>
    <row r="144" spans="2:17" x14ac:dyDescent="0.35">
      <c r="B144" s="186"/>
      <c r="C144" s="186"/>
      <c r="D144" s="186"/>
      <c r="E144" s="186"/>
      <c r="F144" s="186"/>
      <c r="G144" s="186"/>
      <c r="H144" s="186"/>
      <c r="I144" s="186"/>
      <c r="J144" s="186"/>
      <c r="K144" s="186"/>
      <c r="L144" s="186"/>
      <c r="M144" s="186"/>
      <c r="N144" s="186"/>
      <c r="O144" s="186"/>
      <c r="P144" s="186"/>
      <c r="Q144" s="186"/>
    </row>
    <row r="145" spans="2:17" x14ac:dyDescent="0.35">
      <c r="B145" s="186"/>
      <c r="C145" s="186"/>
      <c r="D145" s="186"/>
      <c r="E145" s="186"/>
      <c r="F145" s="186"/>
      <c r="G145" s="186"/>
      <c r="H145" s="186"/>
      <c r="I145" s="186"/>
      <c r="J145" s="186"/>
      <c r="K145" s="186"/>
      <c r="L145" s="186"/>
      <c r="M145" s="186"/>
      <c r="N145" s="186"/>
      <c r="O145" s="186"/>
      <c r="P145" s="186"/>
      <c r="Q145" s="186"/>
    </row>
    <row r="146" spans="2:17" x14ac:dyDescent="0.35">
      <c r="B146" s="186"/>
      <c r="C146" s="186"/>
      <c r="D146" s="186"/>
      <c r="E146" s="186"/>
      <c r="F146" s="186"/>
      <c r="G146" s="186"/>
      <c r="H146" s="186"/>
      <c r="I146" s="186"/>
      <c r="J146" s="186"/>
      <c r="K146" s="186"/>
      <c r="L146" s="186"/>
      <c r="M146" s="186"/>
      <c r="N146" s="186"/>
      <c r="O146" s="186"/>
      <c r="P146" s="186"/>
      <c r="Q146" s="186"/>
    </row>
    <row r="147" spans="2:17" x14ac:dyDescent="0.35">
      <c r="B147" s="186"/>
      <c r="C147" s="186"/>
      <c r="D147" s="186"/>
      <c r="E147" s="186"/>
      <c r="F147" s="186"/>
      <c r="G147" s="186"/>
      <c r="H147" s="186"/>
      <c r="I147" s="186"/>
      <c r="J147" s="186"/>
      <c r="K147" s="186"/>
      <c r="L147" s="186"/>
      <c r="M147" s="186"/>
      <c r="N147" s="186"/>
      <c r="O147" s="186"/>
      <c r="P147" s="186"/>
      <c r="Q147" s="186"/>
    </row>
    <row r="148" spans="2:17" x14ac:dyDescent="0.35">
      <c r="B148" s="186"/>
      <c r="C148" s="186"/>
      <c r="D148" s="186"/>
      <c r="E148" s="186"/>
      <c r="F148" s="186"/>
      <c r="G148" s="186"/>
      <c r="H148" s="186"/>
      <c r="I148" s="186"/>
      <c r="J148" s="186"/>
      <c r="K148" s="186"/>
      <c r="L148" s="186"/>
      <c r="M148" s="186"/>
      <c r="N148" s="186"/>
      <c r="O148" s="186"/>
      <c r="P148" s="186"/>
      <c r="Q148" s="186"/>
    </row>
    <row r="149" spans="2:17" x14ac:dyDescent="0.35">
      <c r="B149" s="186"/>
      <c r="C149" s="186"/>
      <c r="D149" s="186"/>
      <c r="E149" s="186"/>
      <c r="F149" s="186"/>
      <c r="G149" s="186"/>
      <c r="H149" s="186"/>
      <c r="I149" s="186"/>
      <c r="J149" s="186"/>
      <c r="K149" s="186"/>
      <c r="L149" s="186"/>
      <c r="M149" s="186"/>
      <c r="N149" s="186"/>
      <c r="O149" s="186"/>
      <c r="P149" s="186"/>
      <c r="Q149" s="186"/>
    </row>
    <row r="150" spans="2:17" x14ac:dyDescent="0.35">
      <c r="B150" s="186"/>
      <c r="C150" s="186"/>
      <c r="D150" s="186"/>
      <c r="E150" s="186"/>
      <c r="F150" s="186"/>
      <c r="G150" s="186"/>
      <c r="H150" s="186"/>
      <c r="I150" s="186"/>
      <c r="J150" s="186"/>
      <c r="K150" s="186"/>
      <c r="L150" s="186"/>
      <c r="M150" s="186"/>
      <c r="N150" s="186"/>
      <c r="O150" s="186"/>
      <c r="P150" s="186"/>
      <c r="Q150" s="186"/>
    </row>
    <row r="151" spans="2:17" x14ac:dyDescent="0.35">
      <c r="B151" s="186"/>
      <c r="C151" s="186"/>
      <c r="D151" s="186"/>
      <c r="E151" s="186"/>
      <c r="F151" s="186"/>
      <c r="G151" s="186"/>
      <c r="H151" s="186"/>
      <c r="I151" s="186"/>
      <c r="J151" s="186"/>
      <c r="K151" s="186"/>
      <c r="L151" s="186"/>
      <c r="M151" s="186"/>
      <c r="N151" s="186"/>
      <c r="O151" s="186"/>
      <c r="P151" s="186"/>
      <c r="Q151" s="186"/>
    </row>
    <row r="152" spans="2:17" x14ac:dyDescent="0.35">
      <c r="B152" s="186"/>
      <c r="C152" s="186"/>
      <c r="D152" s="186"/>
      <c r="E152" s="186"/>
      <c r="F152" s="186"/>
      <c r="G152" s="186"/>
      <c r="H152" s="186"/>
      <c r="I152" s="186"/>
      <c r="J152" s="186"/>
      <c r="K152" s="186"/>
      <c r="L152" s="186"/>
      <c r="M152" s="186"/>
      <c r="N152" s="186"/>
      <c r="O152" s="186"/>
      <c r="P152" s="186"/>
      <c r="Q152" s="186"/>
    </row>
    <row r="153" spans="2:17" x14ac:dyDescent="0.35">
      <c r="B153" s="186"/>
      <c r="C153" s="186"/>
      <c r="D153" s="186"/>
      <c r="E153" s="186"/>
      <c r="F153" s="186"/>
      <c r="G153" s="186"/>
      <c r="H153" s="186"/>
      <c r="I153" s="186"/>
      <c r="J153" s="186"/>
      <c r="K153" s="186"/>
      <c r="L153" s="186"/>
      <c r="M153" s="186"/>
      <c r="N153" s="186"/>
      <c r="O153" s="186"/>
      <c r="P153" s="186"/>
      <c r="Q153" s="186"/>
    </row>
    <row r="154" spans="2:17" x14ac:dyDescent="0.35">
      <c r="B154" s="186"/>
      <c r="C154" s="186"/>
      <c r="D154" s="186"/>
      <c r="E154" s="186"/>
      <c r="F154" s="186"/>
      <c r="G154" s="186"/>
      <c r="H154" s="186"/>
      <c r="I154" s="186"/>
      <c r="J154" s="186"/>
      <c r="K154" s="186"/>
      <c r="L154" s="186"/>
      <c r="M154" s="186"/>
      <c r="N154" s="186"/>
      <c r="O154" s="186"/>
      <c r="P154" s="186"/>
      <c r="Q154" s="186"/>
    </row>
    <row r="155" spans="2:17" x14ac:dyDescent="0.35">
      <c r="B155" s="186"/>
      <c r="C155" s="186"/>
      <c r="D155" s="186"/>
      <c r="E155" s="186"/>
      <c r="F155" s="186"/>
      <c r="G155" s="186"/>
      <c r="H155" s="186"/>
      <c r="I155" s="186"/>
      <c r="J155" s="186"/>
      <c r="K155" s="186"/>
      <c r="L155" s="186"/>
      <c r="M155" s="186"/>
      <c r="N155" s="186"/>
      <c r="O155" s="186"/>
      <c r="P155" s="186"/>
      <c r="Q155" s="186"/>
    </row>
    <row r="156" spans="2:17" x14ac:dyDescent="0.35">
      <c r="B156" s="186"/>
      <c r="C156" s="186"/>
      <c r="D156" s="186"/>
      <c r="E156" s="186"/>
      <c r="F156" s="186"/>
      <c r="G156" s="186"/>
      <c r="H156" s="186"/>
      <c r="I156" s="186"/>
      <c r="J156" s="186"/>
      <c r="K156" s="186"/>
      <c r="L156" s="186"/>
      <c r="M156" s="186"/>
      <c r="N156" s="186"/>
      <c r="O156" s="186"/>
      <c r="P156" s="186"/>
      <c r="Q156" s="186"/>
    </row>
    <row r="157" spans="2:17" x14ac:dyDescent="0.35">
      <c r="B157" s="186"/>
      <c r="C157" s="186"/>
      <c r="D157" s="186"/>
      <c r="E157" s="186"/>
      <c r="F157" s="186"/>
      <c r="G157" s="186"/>
      <c r="H157" s="186"/>
      <c r="I157" s="186"/>
      <c r="J157" s="186"/>
      <c r="K157" s="186"/>
      <c r="L157" s="186"/>
      <c r="M157" s="186"/>
      <c r="N157" s="186"/>
      <c r="O157" s="186"/>
      <c r="P157" s="186"/>
      <c r="Q157" s="186"/>
    </row>
    <row r="158" spans="2:17" x14ac:dyDescent="0.35">
      <c r="B158" s="186"/>
      <c r="C158" s="186"/>
      <c r="D158" s="186"/>
      <c r="E158" s="186"/>
      <c r="F158" s="186"/>
      <c r="G158" s="186"/>
      <c r="H158" s="186"/>
      <c r="I158" s="186"/>
      <c r="J158" s="186"/>
      <c r="K158" s="186"/>
      <c r="L158" s="186"/>
      <c r="M158" s="186"/>
      <c r="N158" s="186"/>
      <c r="O158" s="186"/>
      <c r="P158" s="186"/>
      <c r="Q158" s="186"/>
    </row>
    <row r="159" spans="2:17" x14ac:dyDescent="0.35">
      <c r="B159" s="186"/>
      <c r="C159" s="186"/>
      <c r="D159" s="186"/>
      <c r="E159" s="186"/>
      <c r="F159" s="186"/>
      <c r="G159" s="186"/>
      <c r="H159" s="186"/>
      <c r="I159" s="186"/>
      <c r="J159" s="186"/>
      <c r="K159" s="186"/>
      <c r="L159" s="186"/>
      <c r="M159" s="186"/>
      <c r="N159" s="186"/>
      <c r="O159" s="186"/>
      <c r="P159" s="186"/>
      <c r="Q159" s="186"/>
    </row>
    <row r="160" spans="2:17" x14ac:dyDescent="0.35">
      <c r="B160" s="186"/>
      <c r="C160" s="186"/>
      <c r="D160" s="186"/>
      <c r="E160" s="186"/>
      <c r="F160" s="186"/>
      <c r="G160" s="186"/>
      <c r="H160" s="186"/>
      <c r="I160" s="186"/>
      <c r="J160" s="186"/>
      <c r="K160" s="186"/>
      <c r="L160" s="186"/>
      <c r="M160" s="186"/>
      <c r="N160" s="186"/>
      <c r="O160" s="186"/>
      <c r="P160" s="186"/>
      <c r="Q160" s="186"/>
    </row>
    <row r="161" spans="2:17" x14ac:dyDescent="0.35">
      <c r="B161" s="186"/>
      <c r="C161" s="186"/>
      <c r="D161" s="186"/>
      <c r="E161" s="186"/>
      <c r="F161" s="186"/>
      <c r="G161" s="186"/>
      <c r="H161" s="186"/>
      <c r="I161" s="186"/>
      <c r="J161" s="186"/>
      <c r="K161" s="186"/>
      <c r="L161" s="186"/>
      <c r="M161" s="186"/>
      <c r="N161" s="186"/>
      <c r="O161" s="186"/>
      <c r="P161" s="186"/>
      <c r="Q161" s="186"/>
    </row>
    <row r="162" spans="2:17" x14ac:dyDescent="0.35">
      <c r="B162" s="186"/>
      <c r="C162" s="186"/>
      <c r="D162" s="186"/>
      <c r="E162" s="186"/>
      <c r="F162" s="186"/>
      <c r="G162" s="186"/>
      <c r="H162" s="186"/>
      <c r="I162" s="186"/>
      <c r="J162" s="186"/>
      <c r="K162" s="186"/>
      <c r="L162" s="186"/>
      <c r="M162" s="186"/>
      <c r="N162" s="186"/>
      <c r="O162" s="186"/>
      <c r="P162" s="186"/>
      <c r="Q162" s="186"/>
    </row>
    <row r="163" spans="2:17" x14ac:dyDescent="0.35">
      <c r="B163" s="186"/>
      <c r="C163" s="186"/>
      <c r="D163" s="186"/>
      <c r="E163" s="186"/>
      <c r="F163" s="186"/>
      <c r="G163" s="186"/>
      <c r="H163" s="186"/>
      <c r="I163" s="186"/>
      <c r="J163" s="186"/>
      <c r="K163" s="186"/>
      <c r="L163" s="186"/>
      <c r="M163" s="186"/>
      <c r="N163" s="186"/>
      <c r="O163" s="186"/>
      <c r="P163" s="186"/>
      <c r="Q163" s="186"/>
    </row>
    <row r="164" spans="2:17" x14ac:dyDescent="0.35">
      <c r="B164" s="186"/>
      <c r="C164" s="186"/>
      <c r="D164" s="186"/>
      <c r="E164" s="186"/>
      <c r="F164" s="186"/>
      <c r="G164" s="186"/>
      <c r="H164" s="186"/>
      <c r="I164" s="186"/>
      <c r="J164" s="186"/>
      <c r="K164" s="186"/>
      <c r="L164" s="186"/>
      <c r="M164" s="186"/>
      <c r="N164" s="186"/>
      <c r="O164" s="186"/>
      <c r="P164" s="186"/>
      <c r="Q164" s="186"/>
    </row>
    <row r="165" spans="2:17" x14ac:dyDescent="0.35">
      <c r="B165" s="186"/>
      <c r="C165" s="186"/>
      <c r="D165" s="186"/>
      <c r="E165" s="186"/>
      <c r="F165" s="186"/>
      <c r="G165" s="186"/>
      <c r="H165" s="186"/>
      <c r="I165" s="186"/>
      <c r="J165" s="186"/>
      <c r="K165" s="186"/>
      <c r="L165" s="186"/>
      <c r="M165" s="186"/>
      <c r="N165" s="186"/>
      <c r="O165" s="186"/>
      <c r="P165" s="186"/>
      <c r="Q165" s="186"/>
    </row>
    <row r="166" spans="2:17" x14ac:dyDescent="0.35">
      <c r="B166" s="186"/>
      <c r="C166" s="186"/>
      <c r="D166" s="186"/>
      <c r="E166" s="186"/>
      <c r="F166" s="186"/>
      <c r="G166" s="186"/>
      <c r="H166" s="186"/>
      <c r="I166" s="186"/>
      <c r="J166" s="186"/>
      <c r="K166" s="186"/>
      <c r="L166" s="186"/>
      <c r="M166" s="186"/>
      <c r="N166" s="186"/>
      <c r="O166" s="186"/>
      <c r="P166" s="186"/>
      <c r="Q166" s="186"/>
    </row>
    <row r="167" spans="2:17" x14ac:dyDescent="0.35">
      <c r="B167" s="186"/>
      <c r="C167" s="186"/>
      <c r="D167" s="186"/>
      <c r="E167" s="186"/>
      <c r="F167" s="186"/>
      <c r="G167" s="186"/>
      <c r="H167" s="186"/>
      <c r="I167" s="186"/>
      <c r="J167" s="186"/>
      <c r="K167" s="186"/>
      <c r="L167" s="186"/>
      <c r="M167" s="186"/>
      <c r="N167" s="186"/>
      <c r="O167" s="186"/>
      <c r="P167" s="186"/>
      <c r="Q167" s="186"/>
    </row>
    <row r="168" spans="2:17" x14ac:dyDescent="0.35">
      <c r="B168" s="186"/>
      <c r="C168" s="186"/>
      <c r="D168" s="186"/>
      <c r="E168" s="186"/>
      <c r="F168" s="186"/>
      <c r="G168" s="186"/>
      <c r="H168" s="186"/>
      <c r="I168" s="186"/>
      <c r="J168" s="186"/>
      <c r="K168" s="186"/>
      <c r="L168" s="186"/>
      <c r="M168" s="186"/>
      <c r="N168" s="186"/>
      <c r="O168" s="186"/>
      <c r="P168" s="186"/>
      <c r="Q168" s="186"/>
    </row>
    <row r="169" spans="2:17" x14ac:dyDescent="0.35">
      <c r="B169" s="186"/>
      <c r="C169" s="186"/>
      <c r="D169" s="186"/>
      <c r="E169" s="186"/>
      <c r="F169" s="186"/>
      <c r="G169" s="186"/>
      <c r="H169" s="186"/>
      <c r="I169" s="186"/>
      <c r="J169" s="186"/>
      <c r="K169" s="186"/>
      <c r="L169" s="186"/>
      <c r="M169" s="186"/>
      <c r="N169" s="186"/>
      <c r="O169" s="186"/>
      <c r="P169" s="186"/>
      <c r="Q169" s="186"/>
    </row>
    <row r="170" spans="2:17" x14ac:dyDescent="0.35">
      <c r="B170" s="186"/>
      <c r="C170" s="186"/>
      <c r="D170" s="186"/>
      <c r="E170" s="186"/>
      <c r="F170" s="186"/>
      <c r="G170" s="186"/>
      <c r="H170" s="186"/>
      <c r="I170" s="186"/>
      <c r="J170" s="186"/>
      <c r="K170" s="186"/>
      <c r="L170" s="186"/>
      <c r="M170" s="186"/>
      <c r="N170" s="186"/>
      <c r="O170" s="186"/>
      <c r="P170" s="186"/>
      <c r="Q170" s="186"/>
    </row>
    <row r="171" spans="2:17" x14ac:dyDescent="0.35">
      <c r="B171" s="186"/>
      <c r="C171" s="186"/>
      <c r="D171" s="186"/>
      <c r="E171" s="186"/>
      <c r="F171" s="186"/>
      <c r="G171" s="186"/>
      <c r="H171" s="186"/>
      <c r="I171" s="186"/>
      <c r="J171" s="186"/>
      <c r="K171" s="186"/>
      <c r="L171" s="186"/>
      <c r="M171" s="186"/>
      <c r="N171" s="186"/>
      <c r="O171" s="186"/>
      <c r="P171" s="186"/>
      <c r="Q171" s="186"/>
    </row>
    <row r="172" spans="2:17" x14ac:dyDescent="0.35">
      <c r="B172" s="186"/>
      <c r="C172" s="186"/>
      <c r="D172" s="186"/>
      <c r="E172" s="186"/>
      <c r="F172" s="186"/>
      <c r="G172" s="186"/>
      <c r="H172" s="186"/>
      <c r="I172" s="186"/>
      <c r="J172" s="186"/>
      <c r="K172" s="186"/>
      <c r="L172" s="186"/>
      <c r="M172" s="186"/>
      <c r="N172" s="186"/>
      <c r="O172" s="186"/>
      <c r="P172" s="186"/>
      <c r="Q172" s="186"/>
    </row>
    <row r="173" spans="2:17" x14ac:dyDescent="0.35">
      <c r="B173" s="186"/>
      <c r="C173" s="186"/>
      <c r="D173" s="186"/>
      <c r="E173" s="186"/>
      <c r="F173" s="186"/>
      <c r="G173" s="186"/>
      <c r="H173" s="186"/>
      <c r="I173" s="186"/>
      <c r="J173" s="186"/>
      <c r="K173" s="186"/>
      <c r="L173" s="186"/>
      <c r="M173" s="186"/>
      <c r="N173" s="186"/>
      <c r="O173" s="186"/>
      <c r="P173" s="186"/>
      <c r="Q173" s="186"/>
    </row>
    <row r="174" spans="2:17" x14ac:dyDescent="0.35">
      <c r="B174" s="186"/>
      <c r="C174" s="186"/>
      <c r="D174" s="186"/>
      <c r="E174" s="186"/>
      <c r="F174" s="186"/>
      <c r="G174" s="186"/>
      <c r="H174" s="186"/>
      <c r="I174" s="186"/>
      <c r="J174" s="186"/>
      <c r="K174" s="186"/>
      <c r="L174" s="186"/>
      <c r="M174" s="186"/>
      <c r="N174" s="186"/>
      <c r="O174" s="186"/>
      <c r="P174" s="186"/>
      <c r="Q174" s="186"/>
    </row>
    <row r="175" spans="2:17" x14ac:dyDescent="0.35">
      <c r="B175" s="186"/>
      <c r="C175" s="186"/>
      <c r="D175" s="186"/>
      <c r="E175" s="186"/>
      <c r="F175" s="186"/>
      <c r="G175" s="186"/>
      <c r="H175" s="186"/>
      <c r="I175" s="186"/>
      <c r="J175" s="186"/>
      <c r="K175" s="186"/>
      <c r="L175" s="186"/>
      <c r="M175" s="186"/>
      <c r="N175" s="186"/>
      <c r="O175" s="186"/>
      <c r="P175" s="186"/>
      <c r="Q175" s="186"/>
    </row>
    <row r="176" spans="2:17" x14ac:dyDescent="0.35">
      <c r="B176" s="186"/>
      <c r="C176" s="186"/>
      <c r="D176" s="186"/>
      <c r="E176" s="186"/>
      <c r="F176" s="186"/>
      <c r="G176" s="186"/>
      <c r="H176" s="186"/>
      <c r="I176" s="186"/>
      <c r="J176" s="186"/>
      <c r="K176" s="186"/>
      <c r="L176" s="186"/>
      <c r="M176" s="186"/>
      <c r="N176" s="186"/>
      <c r="O176" s="186"/>
      <c r="P176" s="186"/>
      <c r="Q176" s="186"/>
    </row>
    <row r="177" spans="2:17" x14ac:dyDescent="0.35">
      <c r="B177" s="186"/>
      <c r="C177" s="186"/>
      <c r="D177" s="186"/>
      <c r="E177" s="186"/>
      <c r="F177" s="186"/>
      <c r="G177" s="186"/>
      <c r="H177" s="186"/>
      <c r="I177" s="186"/>
      <c r="J177" s="186"/>
      <c r="K177" s="186"/>
      <c r="L177" s="186"/>
      <c r="M177" s="186"/>
      <c r="N177" s="186"/>
      <c r="O177" s="186"/>
      <c r="P177" s="186"/>
      <c r="Q177" s="186"/>
    </row>
    <row r="178" spans="2:17" x14ac:dyDescent="0.35">
      <c r="B178" s="186"/>
      <c r="C178" s="186"/>
      <c r="D178" s="186"/>
      <c r="E178" s="186"/>
      <c r="F178" s="186"/>
      <c r="G178" s="186"/>
      <c r="H178" s="186"/>
      <c r="I178" s="186"/>
      <c r="J178" s="186"/>
      <c r="K178" s="186"/>
      <c r="L178" s="186"/>
      <c r="M178" s="186"/>
      <c r="N178" s="186"/>
      <c r="O178" s="186"/>
      <c r="P178" s="186"/>
      <c r="Q178" s="186"/>
    </row>
    <row r="179" spans="2:17" x14ac:dyDescent="0.35">
      <c r="B179" s="186"/>
      <c r="C179" s="186"/>
      <c r="D179" s="186"/>
      <c r="E179" s="186"/>
      <c r="F179" s="186"/>
      <c r="G179" s="186"/>
      <c r="H179" s="186"/>
      <c r="I179" s="186"/>
      <c r="J179" s="186"/>
      <c r="K179" s="186"/>
      <c r="L179" s="186"/>
      <c r="M179" s="186"/>
      <c r="N179" s="186"/>
      <c r="O179" s="186"/>
      <c r="P179" s="186"/>
      <c r="Q179" s="186"/>
    </row>
    <row r="180" spans="2:17" x14ac:dyDescent="0.35">
      <c r="B180" s="186"/>
      <c r="C180" s="186"/>
      <c r="D180" s="186"/>
      <c r="E180" s="186"/>
      <c r="F180" s="186"/>
      <c r="G180" s="186"/>
      <c r="H180" s="186"/>
      <c r="I180" s="186"/>
      <c r="J180" s="186"/>
      <c r="K180" s="186"/>
      <c r="L180" s="186"/>
      <c r="M180" s="186"/>
      <c r="N180" s="186"/>
      <c r="O180" s="186"/>
      <c r="P180" s="186"/>
      <c r="Q180" s="186"/>
    </row>
    <row r="181" spans="2:17" x14ac:dyDescent="0.35">
      <c r="B181" s="186"/>
      <c r="C181" s="186"/>
      <c r="D181" s="186"/>
      <c r="E181" s="186"/>
      <c r="F181" s="186"/>
      <c r="G181" s="186"/>
      <c r="H181" s="186"/>
      <c r="I181" s="186"/>
      <c r="J181" s="186"/>
      <c r="K181" s="186"/>
      <c r="L181" s="186"/>
      <c r="M181" s="186"/>
      <c r="N181" s="186"/>
      <c r="O181" s="186"/>
      <c r="P181" s="186"/>
      <c r="Q181" s="186"/>
    </row>
    <row r="182" spans="2:17" x14ac:dyDescent="0.35">
      <c r="B182" s="186"/>
      <c r="C182" s="186"/>
      <c r="D182" s="186"/>
      <c r="E182" s="186"/>
      <c r="F182" s="186"/>
      <c r="G182" s="186"/>
      <c r="H182" s="186"/>
      <c r="I182" s="186"/>
      <c r="J182" s="186"/>
      <c r="K182" s="186"/>
      <c r="L182" s="186"/>
      <c r="M182" s="186"/>
      <c r="N182" s="186"/>
      <c r="O182" s="186"/>
      <c r="P182" s="186"/>
      <c r="Q182" s="186"/>
    </row>
    <row r="183" spans="2:17" x14ac:dyDescent="0.35">
      <c r="B183" s="186"/>
      <c r="C183" s="186"/>
      <c r="D183" s="186"/>
      <c r="E183" s="186"/>
      <c r="F183" s="186"/>
      <c r="G183" s="186"/>
      <c r="H183" s="186"/>
      <c r="I183" s="186"/>
      <c r="J183" s="186"/>
      <c r="K183" s="186"/>
      <c r="L183" s="186"/>
      <c r="M183" s="186"/>
      <c r="N183" s="186"/>
      <c r="O183" s="186"/>
      <c r="P183" s="186"/>
      <c r="Q183" s="186"/>
    </row>
    <row r="184" spans="2:17" x14ac:dyDescent="0.35">
      <c r="B184" s="186"/>
      <c r="C184" s="186"/>
      <c r="D184" s="186"/>
      <c r="E184" s="186"/>
      <c r="F184" s="186"/>
      <c r="G184" s="186"/>
      <c r="H184" s="186"/>
      <c r="I184" s="186"/>
      <c r="J184" s="186"/>
      <c r="K184" s="186"/>
      <c r="L184" s="186"/>
      <c r="M184" s="186"/>
      <c r="N184" s="186"/>
      <c r="O184" s="186"/>
      <c r="P184" s="186"/>
      <c r="Q184" s="186"/>
    </row>
    <row r="185" spans="2:17" x14ac:dyDescent="0.35">
      <c r="B185" s="186"/>
      <c r="C185" s="186"/>
      <c r="D185" s="186"/>
      <c r="E185" s="186"/>
      <c r="F185" s="186"/>
      <c r="G185" s="186"/>
      <c r="H185" s="186"/>
      <c r="I185" s="186"/>
      <c r="J185" s="186"/>
      <c r="K185" s="186"/>
      <c r="L185" s="186"/>
      <c r="M185" s="186"/>
      <c r="N185" s="186"/>
      <c r="O185" s="186"/>
      <c r="P185" s="186"/>
      <c r="Q185" s="186"/>
    </row>
    <row r="186" spans="2:17" x14ac:dyDescent="0.35">
      <c r="B186" s="186"/>
      <c r="C186" s="186"/>
      <c r="D186" s="186"/>
      <c r="E186" s="186"/>
      <c r="F186" s="186"/>
      <c r="G186" s="186"/>
      <c r="H186" s="186"/>
      <c r="I186" s="186"/>
      <c r="J186" s="186"/>
      <c r="K186" s="186"/>
      <c r="L186" s="186"/>
      <c r="M186" s="186"/>
      <c r="N186" s="186"/>
      <c r="O186" s="186"/>
      <c r="P186" s="186"/>
      <c r="Q186" s="186"/>
    </row>
    <row r="187" spans="2:17" x14ac:dyDescent="0.35">
      <c r="B187" s="186"/>
      <c r="C187" s="186"/>
      <c r="D187" s="186"/>
      <c r="E187" s="186"/>
      <c r="F187" s="186"/>
      <c r="G187" s="186"/>
      <c r="H187" s="186"/>
      <c r="I187" s="186"/>
      <c r="J187" s="186"/>
      <c r="K187" s="186"/>
      <c r="L187" s="186"/>
      <c r="M187" s="186"/>
      <c r="N187" s="186"/>
      <c r="O187" s="186"/>
      <c r="P187" s="186"/>
      <c r="Q187" s="186"/>
    </row>
    <row r="188" spans="2:17" x14ac:dyDescent="0.35">
      <c r="B188" s="186"/>
      <c r="C188" s="186"/>
      <c r="D188" s="186"/>
      <c r="E188" s="186"/>
      <c r="F188" s="186"/>
      <c r="G188" s="186"/>
      <c r="H188" s="186"/>
      <c r="I188" s="186"/>
      <c r="J188" s="186"/>
      <c r="K188" s="186"/>
      <c r="L188" s="186"/>
      <c r="M188" s="186"/>
      <c r="N188" s="186"/>
      <c r="O188" s="186"/>
      <c r="P188" s="186"/>
      <c r="Q188" s="186"/>
    </row>
    <row r="189" spans="2:17" x14ac:dyDescent="0.35">
      <c r="B189" s="186"/>
      <c r="C189" s="186"/>
      <c r="D189" s="186"/>
      <c r="E189" s="186"/>
      <c r="F189" s="186"/>
      <c r="G189" s="186"/>
      <c r="H189" s="186"/>
      <c r="I189" s="186"/>
      <c r="J189" s="186"/>
      <c r="K189" s="186"/>
      <c r="L189" s="186"/>
      <c r="M189" s="186"/>
      <c r="N189" s="186"/>
      <c r="O189" s="186"/>
      <c r="P189" s="186"/>
      <c r="Q189" s="186"/>
    </row>
    <row r="190" spans="2:17" x14ac:dyDescent="0.35">
      <c r="B190" s="186"/>
      <c r="C190" s="186"/>
      <c r="D190" s="186"/>
      <c r="E190" s="186"/>
      <c r="F190" s="186"/>
      <c r="G190" s="186"/>
      <c r="H190" s="186"/>
      <c r="I190" s="186"/>
      <c r="J190" s="186"/>
      <c r="K190" s="186"/>
      <c r="L190" s="186"/>
      <c r="M190" s="186"/>
      <c r="N190" s="186"/>
      <c r="O190" s="186"/>
      <c r="P190" s="186"/>
      <c r="Q190" s="186"/>
    </row>
    <row r="191" spans="2:17" x14ac:dyDescent="0.35">
      <c r="B191" s="186"/>
      <c r="C191" s="186"/>
      <c r="D191" s="186"/>
      <c r="E191" s="186"/>
      <c r="F191" s="186"/>
      <c r="G191" s="186"/>
      <c r="H191" s="186"/>
      <c r="I191" s="186"/>
      <c r="J191" s="186"/>
      <c r="K191" s="186"/>
      <c r="L191" s="186"/>
      <c r="M191" s="186"/>
      <c r="N191" s="186"/>
      <c r="O191" s="186"/>
      <c r="P191" s="186"/>
      <c r="Q191" s="186"/>
    </row>
    <row r="192" spans="2:17" x14ac:dyDescent="0.35">
      <c r="B192" s="186"/>
      <c r="C192" s="186"/>
      <c r="D192" s="186"/>
      <c r="E192" s="186"/>
      <c r="F192" s="186"/>
      <c r="G192" s="186"/>
      <c r="H192" s="186"/>
      <c r="I192" s="186"/>
      <c r="J192" s="186"/>
      <c r="K192" s="186"/>
      <c r="L192" s="186"/>
      <c r="M192" s="186"/>
      <c r="N192" s="186"/>
      <c r="O192" s="186"/>
      <c r="P192" s="186"/>
      <c r="Q192" s="186"/>
    </row>
    <row r="193" spans="2:17" x14ac:dyDescent="0.35">
      <c r="B193" s="186"/>
      <c r="C193" s="186"/>
      <c r="D193" s="186"/>
      <c r="E193" s="186"/>
      <c r="F193" s="186"/>
      <c r="G193" s="186"/>
      <c r="H193" s="186"/>
      <c r="I193" s="186"/>
      <c r="J193" s="186"/>
      <c r="K193" s="186"/>
      <c r="L193" s="186"/>
      <c r="M193" s="186"/>
      <c r="N193" s="186"/>
      <c r="O193" s="186"/>
      <c r="P193" s="186"/>
      <c r="Q193" s="186"/>
    </row>
    <row r="194" spans="2:17" x14ac:dyDescent="0.35">
      <c r="B194" s="186"/>
      <c r="C194" s="186"/>
      <c r="D194" s="186"/>
      <c r="E194" s="186"/>
      <c r="F194" s="186"/>
      <c r="G194" s="186"/>
      <c r="H194" s="186"/>
      <c r="I194" s="186"/>
      <c r="J194" s="186"/>
      <c r="K194" s="186"/>
      <c r="L194" s="186"/>
      <c r="M194" s="186"/>
      <c r="N194" s="186"/>
      <c r="O194" s="186"/>
      <c r="P194" s="186"/>
      <c r="Q194" s="186"/>
    </row>
    <row r="195" spans="2:17" x14ac:dyDescent="0.35">
      <c r="B195" s="186"/>
      <c r="C195" s="186"/>
      <c r="D195" s="186"/>
      <c r="E195" s="186"/>
      <c r="F195" s="186"/>
      <c r="G195" s="186"/>
      <c r="H195" s="186"/>
      <c r="I195" s="186"/>
      <c r="J195" s="186"/>
      <c r="K195" s="186"/>
      <c r="L195" s="186"/>
      <c r="M195" s="186"/>
      <c r="N195" s="186"/>
      <c r="O195" s="186"/>
      <c r="P195" s="186"/>
      <c r="Q195" s="186"/>
    </row>
    <row r="196" spans="2:17" x14ac:dyDescent="0.35">
      <c r="B196" s="186"/>
      <c r="C196" s="186"/>
      <c r="D196" s="186"/>
      <c r="E196" s="186"/>
      <c r="F196" s="186"/>
      <c r="G196" s="186"/>
      <c r="H196" s="186"/>
      <c r="I196" s="186"/>
      <c r="J196" s="186"/>
      <c r="K196" s="186"/>
      <c r="L196" s="186"/>
      <c r="M196" s="186"/>
      <c r="N196" s="186"/>
      <c r="O196" s="186"/>
      <c r="P196" s="186"/>
      <c r="Q196" s="186"/>
    </row>
    <row r="197" spans="2:17" x14ac:dyDescent="0.35">
      <c r="B197" s="186"/>
      <c r="C197" s="186"/>
      <c r="D197" s="186"/>
      <c r="E197" s="186"/>
      <c r="F197" s="186"/>
      <c r="G197" s="186"/>
      <c r="H197" s="186"/>
      <c r="I197" s="186"/>
      <c r="J197" s="186"/>
      <c r="K197" s="186"/>
      <c r="L197" s="186"/>
      <c r="M197" s="186"/>
      <c r="N197" s="186"/>
      <c r="O197" s="186"/>
      <c r="P197" s="186"/>
      <c r="Q197" s="186"/>
    </row>
    <row r="198" spans="2:17" x14ac:dyDescent="0.35">
      <c r="B198" s="186"/>
      <c r="C198" s="186"/>
      <c r="D198" s="186"/>
      <c r="E198" s="186"/>
      <c r="F198" s="186"/>
      <c r="G198" s="186"/>
      <c r="H198" s="186"/>
      <c r="I198" s="186"/>
      <c r="J198" s="186"/>
      <c r="K198" s="186"/>
      <c r="L198" s="186"/>
      <c r="M198" s="186"/>
      <c r="N198" s="186"/>
      <c r="O198" s="186"/>
      <c r="P198" s="186"/>
      <c r="Q198" s="186"/>
    </row>
    <row r="199" spans="2:17" x14ac:dyDescent="0.35">
      <c r="B199" s="186"/>
      <c r="C199" s="186"/>
      <c r="D199" s="186"/>
      <c r="E199" s="186"/>
      <c r="F199" s="186"/>
      <c r="G199" s="186"/>
      <c r="H199" s="186"/>
      <c r="I199" s="186"/>
      <c r="J199" s="186"/>
      <c r="K199" s="186"/>
      <c r="L199" s="186"/>
      <c r="M199" s="186"/>
      <c r="N199" s="186"/>
      <c r="O199" s="186"/>
      <c r="P199" s="186"/>
      <c r="Q199" s="186"/>
    </row>
    <row r="200" spans="2:17" x14ac:dyDescent="0.35">
      <c r="B200" s="186"/>
      <c r="C200" s="186"/>
      <c r="D200" s="186"/>
      <c r="E200" s="186"/>
      <c r="F200" s="186"/>
      <c r="G200" s="186"/>
      <c r="H200" s="186"/>
      <c r="I200" s="186"/>
      <c r="J200" s="186"/>
      <c r="K200" s="186"/>
      <c r="L200" s="186"/>
      <c r="M200" s="186"/>
      <c r="N200" s="186"/>
      <c r="O200" s="186"/>
      <c r="P200" s="186"/>
      <c r="Q200" s="186"/>
    </row>
    <row r="201" spans="2:17" x14ac:dyDescent="0.35">
      <c r="B201" s="186"/>
      <c r="C201" s="186"/>
      <c r="D201" s="186"/>
      <c r="E201" s="186"/>
      <c r="F201" s="186"/>
      <c r="G201" s="186"/>
      <c r="H201" s="186"/>
      <c r="I201" s="186"/>
      <c r="J201" s="186"/>
      <c r="K201" s="186"/>
      <c r="L201" s="186"/>
      <c r="M201" s="186"/>
      <c r="N201" s="186"/>
      <c r="O201" s="186"/>
      <c r="P201" s="186"/>
      <c r="Q201" s="186"/>
    </row>
    <row r="202" spans="2:17" x14ac:dyDescent="0.35">
      <c r="B202" s="186"/>
      <c r="C202" s="186"/>
      <c r="D202" s="186"/>
      <c r="E202" s="186"/>
      <c r="F202" s="186"/>
      <c r="G202" s="186"/>
      <c r="H202" s="186"/>
      <c r="I202" s="186"/>
      <c r="J202" s="186"/>
      <c r="K202" s="186"/>
      <c r="L202" s="186"/>
      <c r="M202" s="186"/>
      <c r="N202" s="186"/>
      <c r="O202" s="186"/>
      <c r="P202" s="186"/>
      <c r="Q202" s="186"/>
    </row>
    <row r="203" spans="2:17" x14ac:dyDescent="0.35">
      <c r="B203" s="186"/>
      <c r="C203" s="186"/>
      <c r="D203" s="186"/>
      <c r="E203" s="186"/>
      <c r="F203" s="186"/>
      <c r="G203" s="186"/>
      <c r="H203" s="186"/>
      <c r="I203" s="186"/>
      <c r="J203" s="186"/>
      <c r="K203" s="186"/>
      <c r="L203" s="186"/>
      <c r="M203" s="186"/>
      <c r="N203" s="186"/>
      <c r="O203" s="186"/>
      <c r="P203" s="186"/>
      <c r="Q203" s="186"/>
    </row>
    <row r="204" spans="2:17" x14ac:dyDescent="0.35">
      <c r="B204" s="186"/>
      <c r="C204" s="186"/>
      <c r="D204" s="186"/>
      <c r="E204" s="186"/>
      <c r="F204" s="186"/>
      <c r="G204" s="186"/>
      <c r="H204" s="186"/>
      <c r="I204" s="186"/>
      <c r="J204" s="186"/>
      <c r="K204" s="186"/>
      <c r="L204" s="186"/>
      <c r="M204" s="186"/>
      <c r="N204" s="186"/>
      <c r="O204" s="186"/>
      <c r="P204" s="186"/>
      <c r="Q204" s="186"/>
    </row>
    <row r="205" spans="2:17" x14ac:dyDescent="0.35">
      <c r="B205" s="186"/>
      <c r="C205" s="186"/>
      <c r="D205" s="186"/>
      <c r="E205" s="186"/>
      <c r="F205" s="186"/>
      <c r="G205" s="186"/>
      <c r="H205" s="186"/>
      <c r="I205" s="186"/>
      <c r="J205" s="186"/>
      <c r="K205" s="186"/>
      <c r="L205" s="186"/>
      <c r="M205" s="186"/>
      <c r="N205" s="186"/>
      <c r="O205" s="186"/>
      <c r="P205" s="186"/>
      <c r="Q205" s="186"/>
    </row>
    <row r="206" spans="2:17" x14ac:dyDescent="0.35">
      <c r="B206" s="186"/>
      <c r="C206" s="186"/>
      <c r="D206" s="186"/>
      <c r="E206" s="186"/>
      <c r="F206" s="186"/>
      <c r="G206" s="186"/>
      <c r="H206" s="186"/>
      <c r="I206" s="186"/>
      <c r="J206" s="186"/>
      <c r="K206" s="186"/>
      <c r="L206" s="186"/>
      <c r="M206" s="186"/>
      <c r="N206" s="186"/>
      <c r="O206" s="186"/>
      <c r="P206" s="186"/>
      <c r="Q206" s="186"/>
    </row>
    <row r="207" spans="2:17" x14ac:dyDescent="0.35">
      <c r="B207" s="186"/>
      <c r="C207" s="186"/>
      <c r="D207" s="186"/>
      <c r="E207" s="186"/>
      <c r="F207" s="186"/>
      <c r="G207" s="186"/>
      <c r="H207" s="186"/>
      <c r="I207" s="186"/>
      <c r="J207" s="186"/>
      <c r="K207" s="186"/>
      <c r="L207" s="186"/>
      <c r="M207" s="186"/>
      <c r="N207" s="186"/>
      <c r="O207" s="186"/>
      <c r="P207" s="186"/>
      <c r="Q207" s="186"/>
    </row>
    <row r="208" spans="2:17" x14ac:dyDescent="0.35">
      <c r="B208" s="186"/>
      <c r="C208" s="186"/>
      <c r="D208" s="186"/>
      <c r="E208" s="186"/>
      <c r="F208" s="186"/>
      <c r="G208" s="186"/>
      <c r="H208" s="186"/>
      <c r="I208" s="186"/>
      <c r="J208" s="186"/>
      <c r="K208" s="186"/>
      <c r="L208" s="186"/>
      <c r="M208" s="186"/>
      <c r="N208" s="186"/>
      <c r="O208" s="186"/>
      <c r="P208" s="186"/>
      <c r="Q208" s="186"/>
    </row>
    <row r="209" spans="2:17" x14ac:dyDescent="0.35">
      <c r="B209" s="186"/>
      <c r="C209" s="186"/>
      <c r="D209" s="186"/>
      <c r="E209" s="186"/>
      <c r="F209" s="186"/>
      <c r="G209" s="186"/>
      <c r="H209" s="186"/>
      <c r="I209" s="186"/>
      <c r="J209" s="186"/>
      <c r="K209" s="186"/>
      <c r="L209" s="186"/>
      <c r="M209" s="186"/>
      <c r="N209" s="186"/>
      <c r="O209" s="186"/>
      <c r="P209" s="186"/>
      <c r="Q209" s="186"/>
    </row>
    <row r="210" spans="2:17" x14ac:dyDescent="0.35">
      <c r="B210" s="186"/>
      <c r="C210" s="186"/>
      <c r="D210" s="186"/>
      <c r="E210" s="186"/>
      <c r="F210" s="186"/>
      <c r="G210" s="186"/>
      <c r="H210" s="186"/>
      <c r="I210" s="186"/>
      <c r="J210" s="186"/>
      <c r="K210" s="186"/>
      <c r="L210" s="186"/>
      <c r="M210" s="186"/>
      <c r="N210" s="186"/>
      <c r="O210" s="186"/>
      <c r="P210" s="186"/>
      <c r="Q210" s="186"/>
    </row>
    <row r="211" spans="2:17" x14ac:dyDescent="0.35">
      <c r="B211" s="186"/>
      <c r="C211" s="186"/>
      <c r="D211" s="186"/>
      <c r="E211" s="186"/>
      <c r="F211" s="186"/>
      <c r="G211" s="186"/>
      <c r="H211" s="186"/>
      <c r="I211" s="186"/>
      <c r="J211" s="186"/>
      <c r="K211" s="186"/>
      <c r="L211" s="186"/>
      <c r="M211" s="186"/>
      <c r="N211" s="186"/>
      <c r="O211" s="186"/>
      <c r="P211" s="186"/>
      <c r="Q211" s="186"/>
    </row>
    <row r="212" spans="2:17" x14ac:dyDescent="0.35">
      <c r="B212" s="186"/>
      <c r="C212" s="186"/>
      <c r="D212" s="186"/>
      <c r="E212" s="186"/>
      <c r="F212" s="186"/>
      <c r="G212" s="186"/>
      <c r="H212" s="186"/>
      <c r="I212" s="186"/>
      <c r="J212" s="186"/>
      <c r="K212" s="186"/>
      <c r="L212" s="186"/>
      <c r="M212" s="186"/>
      <c r="N212" s="186"/>
      <c r="O212" s="186"/>
      <c r="P212" s="186"/>
      <c r="Q212" s="186"/>
    </row>
    <row r="213" spans="2:17" x14ac:dyDescent="0.35">
      <c r="B213" s="186"/>
      <c r="C213" s="186"/>
      <c r="D213" s="186"/>
      <c r="E213" s="186"/>
      <c r="F213" s="186"/>
      <c r="G213" s="186"/>
      <c r="H213" s="186"/>
      <c r="I213" s="186"/>
      <c r="J213" s="186"/>
      <c r="K213" s="186"/>
      <c r="L213" s="186"/>
      <c r="M213" s="186"/>
      <c r="N213" s="186"/>
      <c r="O213" s="186"/>
      <c r="P213" s="186"/>
      <c r="Q213" s="186"/>
    </row>
    <row r="214" spans="2:17" x14ac:dyDescent="0.35">
      <c r="B214" s="186"/>
      <c r="C214" s="186"/>
      <c r="D214" s="186"/>
      <c r="E214" s="186"/>
      <c r="F214" s="186"/>
      <c r="G214" s="186"/>
      <c r="H214" s="186"/>
      <c r="I214" s="186"/>
      <c r="J214" s="186"/>
      <c r="K214" s="186"/>
      <c r="L214" s="186"/>
      <c r="M214" s="186"/>
      <c r="N214" s="186"/>
      <c r="O214" s="186"/>
      <c r="P214" s="186"/>
      <c r="Q214" s="186"/>
    </row>
    <row r="215" spans="2:17" x14ac:dyDescent="0.35">
      <c r="B215" s="186"/>
      <c r="C215" s="186"/>
      <c r="D215" s="186"/>
      <c r="E215" s="186"/>
      <c r="F215" s="186"/>
      <c r="G215" s="186"/>
      <c r="H215" s="186"/>
      <c r="I215" s="186"/>
      <c r="J215" s="186"/>
      <c r="K215" s="186"/>
      <c r="L215" s="186"/>
      <c r="M215" s="186"/>
      <c r="N215" s="186"/>
      <c r="O215" s="186"/>
      <c r="P215" s="186"/>
      <c r="Q215" s="186"/>
    </row>
    <row r="216" spans="2:17" x14ac:dyDescent="0.35">
      <c r="B216" s="186"/>
      <c r="C216" s="186"/>
      <c r="D216" s="186"/>
      <c r="E216" s="186"/>
      <c r="F216" s="186"/>
      <c r="G216" s="186"/>
      <c r="H216" s="186"/>
      <c r="I216" s="186"/>
      <c r="J216" s="186"/>
      <c r="K216" s="186"/>
      <c r="L216" s="186"/>
      <c r="M216" s="186"/>
      <c r="N216" s="186"/>
      <c r="O216" s="186"/>
      <c r="P216" s="186"/>
      <c r="Q216" s="186"/>
    </row>
    <row r="217" spans="2:17" x14ac:dyDescent="0.35">
      <c r="B217" s="186"/>
      <c r="C217" s="186"/>
      <c r="D217" s="186"/>
      <c r="E217" s="186"/>
      <c r="F217" s="186"/>
      <c r="G217" s="186"/>
      <c r="H217" s="186"/>
      <c r="I217" s="186"/>
      <c r="J217" s="186"/>
      <c r="K217" s="186"/>
      <c r="L217" s="186"/>
      <c r="M217" s="186"/>
      <c r="N217" s="186"/>
      <c r="O217" s="186"/>
      <c r="P217" s="186"/>
      <c r="Q217" s="186"/>
    </row>
    <row r="218" spans="2:17" x14ac:dyDescent="0.35">
      <c r="B218" s="186"/>
      <c r="C218" s="186"/>
      <c r="D218" s="186"/>
      <c r="E218" s="186"/>
      <c r="F218" s="186"/>
      <c r="G218" s="186"/>
      <c r="H218" s="186"/>
      <c r="I218" s="186"/>
      <c r="J218" s="186"/>
      <c r="K218" s="186"/>
      <c r="L218" s="186"/>
      <c r="M218" s="186"/>
      <c r="N218" s="186"/>
      <c r="O218" s="186"/>
      <c r="P218" s="186"/>
      <c r="Q218" s="186"/>
    </row>
    <row r="219" spans="2:17" x14ac:dyDescent="0.35">
      <c r="B219" s="186"/>
      <c r="C219" s="186"/>
      <c r="D219" s="186"/>
      <c r="E219" s="186"/>
      <c r="F219" s="186"/>
      <c r="G219" s="186"/>
      <c r="H219" s="186"/>
      <c r="I219" s="186"/>
      <c r="J219" s="186"/>
      <c r="K219" s="186"/>
      <c r="L219" s="186"/>
      <c r="M219" s="186"/>
      <c r="N219" s="186"/>
      <c r="O219" s="186"/>
      <c r="P219" s="186"/>
      <c r="Q219" s="186"/>
    </row>
    <row r="220" spans="2:17" x14ac:dyDescent="0.35">
      <c r="B220" s="186"/>
      <c r="C220" s="186"/>
      <c r="D220" s="186"/>
      <c r="E220" s="186"/>
      <c r="F220" s="186"/>
      <c r="G220" s="186"/>
      <c r="H220" s="186"/>
      <c r="I220" s="186"/>
      <c r="J220" s="186"/>
      <c r="K220" s="186"/>
      <c r="L220" s="186"/>
      <c r="M220" s="186"/>
      <c r="N220" s="186"/>
      <c r="O220" s="186"/>
      <c r="P220" s="186"/>
      <c r="Q220" s="186"/>
    </row>
    <row r="221" spans="2:17" x14ac:dyDescent="0.35">
      <c r="B221" s="186"/>
      <c r="C221" s="186"/>
      <c r="D221" s="186"/>
      <c r="E221" s="186"/>
      <c r="F221" s="186"/>
      <c r="G221" s="186"/>
      <c r="H221" s="186"/>
      <c r="I221" s="186"/>
      <c r="J221" s="186"/>
      <c r="K221" s="186"/>
      <c r="L221" s="186"/>
      <c r="M221" s="186"/>
      <c r="N221" s="186"/>
      <c r="O221" s="186"/>
      <c r="P221" s="186"/>
      <c r="Q221" s="186"/>
    </row>
    <row r="222" spans="2:17" x14ac:dyDescent="0.35">
      <c r="B222" s="186"/>
      <c r="C222" s="186"/>
      <c r="D222" s="186"/>
      <c r="E222" s="186"/>
      <c r="F222" s="186"/>
      <c r="G222" s="186"/>
      <c r="H222" s="186"/>
      <c r="I222" s="186"/>
      <c r="J222" s="186"/>
      <c r="K222" s="186"/>
      <c r="L222" s="186"/>
      <c r="M222" s="186"/>
      <c r="N222" s="186"/>
      <c r="O222" s="186"/>
      <c r="P222" s="186"/>
      <c r="Q222" s="186"/>
    </row>
    <row r="223" spans="2:17" x14ac:dyDescent="0.35">
      <c r="B223" s="186"/>
      <c r="C223" s="186"/>
      <c r="D223" s="186"/>
      <c r="E223" s="186"/>
      <c r="F223" s="186"/>
      <c r="G223" s="186"/>
      <c r="H223" s="186"/>
      <c r="I223" s="186"/>
      <c r="J223" s="186"/>
      <c r="K223" s="186"/>
      <c r="L223" s="186"/>
      <c r="M223" s="186"/>
      <c r="N223" s="186"/>
      <c r="O223" s="186"/>
      <c r="P223" s="186"/>
      <c r="Q223" s="186"/>
    </row>
    <row r="224" spans="2:17" x14ac:dyDescent="0.35">
      <c r="B224" s="186"/>
      <c r="C224" s="186"/>
      <c r="D224" s="186"/>
      <c r="E224" s="186"/>
      <c r="F224" s="186"/>
      <c r="G224" s="186"/>
      <c r="H224" s="186"/>
      <c r="I224" s="186"/>
      <c r="J224" s="186"/>
      <c r="K224" s="186"/>
      <c r="L224" s="186"/>
      <c r="M224" s="186"/>
      <c r="N224" s="186"/>
      <c r="O224" s="186"/>
      <c r="P224" s="186"/>
      <c r="Q224" s="186"/>
    </row>
    <row r="225" spans="2:17" x14ac:dyDescent="0.35">
      <c r="B225" s="186"/>
      <c r="C225" s="186"/>
      <c r="D225" s="186"/>
      <c r="E225" s="186"/>
      <c r="F225" s="186"/>
      <c r="G225" s="186"/>
      <c r="H225" s="186"/>
      <c r="I225" s="186"/>
      <c r="J225" s="186"/>
      <c r="K225" s="186"/>
      <c r="L225" s="186"/>
      <c r="M225" s="186"/>
      <c r="N225" s="186"/>
      <c r="O225" s="186"/>
      <c r="P225" s="186"/>
      <c r="Q225" s="186"/>
    </row>
    <row r="226" spans="2:17" x14ac:dyDescent="0.35">
      <c r="B226" s="186"/>
      <c r="C226" s="186"/>
      <c r="D226" s="186"/>
      <c r="E226" s="186"/>
      <c r="F226" s="186"/>
      <c r="G226" s="186"/>
      <c r="H226" s="186"/>
      <c r="I226" s="186"/>
      <c r="J226" s="186"/>
      <c r="K226" s="186"/>
      <c r="L226" s="186"/>
      <c r="M226" s="186"/>
      <c r="N226" s="186"/>
      <c r="O226" s="186"/>
      <c r="P226" s="186"/>
      <c r="Q226" s="186"/>
    </row>
    <row r="227" spans="2:17" x14ac:dyDescent="0.35">
      <c r="B227" s="186"/>
      <c r="C227" s="186"/>
      <c r="D227" s="186"/>
      <c r="E227" s="186"/>
      <c r="F227" s="186"/>
      <c r="G227" s="186"/>
      <c r="H227" s="186"/>
      <c r="I227" s="186"/>
      <c r="J227" s="186"/>
      <c r="K227" s="186"/>
      <c r="L227" s="186"/>
      <c r="M227" s="186"/>
      <c r="N227" s="186"/>
      <c r="O227" s="186"/>
      <c r="P227" s="186"/>
      <c r="Q227" s="186"/>
    </row>
    <row r="228" spans="2:17" x14ac:dyDescent="0.35">
      <c r="B228" s="186"/>
      <c r="C228" s="186"/>
      <c r="D228" s="186"/>
      <c r="E228" s="186"/>
      <c r="F228" s="186"/>
      <c r="G228" s="186"/>
      <c r="H228" s="186"/>
      <c r="I228" s="186"/>
      <c r="J228" s="186"/>
      <c r="K228" s="186"/>
      <c r="L228" s="186"/>
      <c r="M228" s="186"/>
      <c r="N228" s="186"/>
      <c r="O228" s="186"/>
      <c r="P228" s="186"/>
      <c r="Q228" s="186"/>
    </row>
    <row r="229" spans="2:17" x14ac:dyDescent="0.35">
      <c r="B229" s="186"/>
      <c r="C229" s="186"/>
      <c r="D229" s="186"/>
      <c r="E229" s="186"/>
      <c r="F229" s="186"/>
      <c r="G229" s="186"/>
      <c r="H229" s="186"/>
      <c r="I229" s="186"/>
      <c r="J229" s="186"/>
      <c r="K229" s="186"/>
      <c r="L229" s="186"/>
      <c r="M229" s="186"/>
      <c r="N229" s="186"/>
      <c r="O229" s="186"/>
      <c r="P229" s="186"/>
      <c r="Q229" s="186"/>
    </row>
    <row r="230" spans="2:17" x14ac:dyDescent="0.35">
      <c r="B230" s="186"/>
      <c r="C230" s="186"/>
      <c r="D230" s="186"/>
      <c r="E230" s="186"/>
      <c r="F230" s="186"/>
      <c r="G230" s="186"/>
      <c r="H230" s="186"/>
      <c r="I230" s="186"/>
      <c r="J230" s="186"/>
      <c r="K230" s="186"/>
      <c r="L230" s="186"/>
      <c r="M230" s="186"/>
      <c r="N230" s="186"/>
      <c r="O230" s="186"/>
      <c r="P230" s="186"/>
      <c r="Q230" s="186"/>
    </row>
    <row r="231" spans="2:17" x14ac:dyDescent="0.35">
      <c r="B231" s="186"/>
      <c r="C231" s="186"/>
      <c r="D231" s="186"/>
      <c r="E231" s="186"/>
      <c r="F231" s="186"/>
      <c r="G231" s="186"/>
      <c r="H231" s="186"/>
      <c r="I231" s="186"/>
      <c r="J231" s="186"/>
      <c r="K231" s="186"/>
      <c r="L231" s="186"/>
      <c r="M231" s="186"/>
      <c r="N231" s="186"/>
      <c r="O231" s="186"/>
      <c r="P231" s="186"/>
      <c r="Q231" s="186"/>
    </row>
    <row r="232" spans="2:17" x14ac:dyDescent="0.35">
      <c r="B232" s="186"/>
      <c r="C232" s="186"/>
      <c r="D232" s="186"/>
      <c r="E232" s="186"/>
      <c r="F232" s="186"/>
      <c r="G232" s="186"/>
      <c r="H232" s="186"/>
      <c r="I232" s="186"/>
      <c r="J232" s="186"/>
      <c r="K232" s="186"/>
      <c r="L232" s="186"/>
      <c r="M232" s="186"/>
      <c r="N232" s="186"/>
      <c r="O232" s="186"/>
      <c r="P232" s="186"/>
      <c r="Q232" s="186"/>
    </row>
    <row r="233" spans="2:17" x14ac:dyDescent="0.35">
      <c r="B233" s="186"/>
      <c r="C233" s="186"/>
      <c r="D233" s="186"/>
      <c r="E233" s="186"/>
      <c r="F233" s="186"/>
      <c r="G233" s="186"/>
      <c r="H233" s="186"/>
      <c r="I233" s="186"/>
      <c r="J233" s="186"/>
      <c r="K233" s="186"/>
      <c r="L233" s="186"/>
      <c r="M233" s="186"/>
      <c r="N233" s="186"/>
      <c r="O233" s="186"/>
      <c r="P233" s="186"/>
      <c r="Q233" s="186"/>
    </row>
    <row r="234" spans="2:17" x14ac:dyDescent="0.35">
      <c r="B234" s="186"/>
      <c r="C234" s="186"/>
      <c r="D234" s="186"/>
      <c r="E234" s="186"/>
      <c r="F234" s="186"/>
      <c r="G234" s="186"/>
      <c r="H234" s="186"/>
      <c r="I234" s="186"/>
      <c r="J234" s="186"/>
      <c r="K234" s="186"/>
      <c r="L234" s="186"/>
      <c r="M234" s="186"/>
      <c r="N234" s="186"/>
      <c r="O234" s="186"/>
      <c r="P234" s="186"/>
      <c r="Q234" s="186"/>
    </row>
    <row r="235" spans="2:17" x14ac:dyDescent="0.35">
      <c r="B235" s="186"/>
      <c r="C235" s="186"/>
      <c r="D235" s="186"/>
      <c r="E235" s="186"/>
      <c r="F235" s="186"/>
      <c r="G235" s="186"/>
      <c r="H235" s="186"/>
      <c r="I235" s="186"/>
      <c r="J235" s="186"/>
      <c r="K235" s="186"/>
      <c r="L235" s="186"/>
      <c r="M235" s="186"/>
      <c r="N235" s="186"/>
      <c r="O235" s="186"/>
      <c r="P235" s="186"/>
      <c r="Q235" s="186"/>
    </row>
    <row r="236" spans="2:17" x14ac:dyDescent="0.35">
      <c r="B236" s="186"/>
      <c r="C236" s="186"/>
      <c r="D236" s="186"/>
      <c r="E236" s="186"/>
      <c r="F236" s="186"/>
      <c r="G236" s="186"/>
      <c r="H236" s="186"/>
      <c r="I236" s="186"/>
      <c r="J236" s="186"/>
      <c r="K236" s="186"/>
      <c r="L236" s="186"/>
      <c r="M236" s="186"/>
      <c r="N236" s="186"/>
      <c r="O236" s="186"/>
      <c r="P236" s="186"/>
      <c r="Q236" s="186"/>
    </row>
    <row r="237" spans="2:17" x14ac:dyDescent="0.35">
      <c r="B237" s="186"/>
      <c r="C237" s="186"/>
      <c r="D237" s="186"/>
      <c r="E237" s="186"/>
      <c r="F237" s="186"/>
      <c r="G237" s="186"/>
      <c r="H237" s="186"/>
      <c r="I237" s="186"/>
      <c r="J237" s="186"/>
      <c r="K237" s="186"/>
      <c r="L237" s="186"/>
      <c r="M237" s="186"/>
      <c r="N237" s="186"/>
      <c r="O237" s="186"/>
      <c r="P237" s="186"/>
      <c r="Q237" s="186"/>
    </row>
    <row r="238" spans="2:17" x14ac:dyDescent="0.35">
      <c r="B238" s="186"/>
      <c r="C238" s="186"/>
      <c r="D238" s="186"/>
      <c r="E238" s="186"/>
      <c r="F238" s="186"/>
      <c r="G238" s="186"/>
      <c r="H238" s="186"/>
      <c r="I238" s="186"/>
      <c r="J238" s="186"/>
      <c r="K238" s="186"/>
      <c r="L238" s="186"/>
      <c r="M238" s="186"/>
      <c r="N238" s="186"/>
      <c r="O238" s="186"/>
      <c r="P238" s="186"/>
      <c r="Q238" s="186"/>
    </row>
    <row r="239" spans="2:17" x14ac:dyDescent="0.35">
      <c r="B239" s="186"/>
      <c r="C239" s="186"/>
      <c r="D239" s="186"/>
      <c r="E239" s="186"/>
      <c r="F239" s="186"/>
      <c r="G239" s="186"/>
      <c r="H239" s="186"/>
      <c r="I239" s="186"/>
      <c r="J239" s="186"/>
      <c r="K239" s="186"/>
      <c r="L239" s="186"/>
      <c r="M239" s="186"/>
      <c r="N239" s="186"/>
      <c r="O239" s="186"/>
      <c r="P239" s="186"/>
      <c r="Q239" s="186"/>
    </row>
    <row r="240" spans="2:17" x14ac:dyDescent="0.35">
      <c r="B240" s="186"/>
      <c r="C240" s="186"/>
      <c r="D240" s="186"/>
      <c r="E240" s="186"/>
      <c r="F240" s="186"/>
      <c r="G240" s="186"/>
      <c r="H240" s="186"/>
      <c r="I240" s="186"/>
      <c r="J240" s="186"/>
      <c r="K240" s="186"/>
      <c r="L240" s="186"/>
      <c r="M240" s="186"/>
      <c r="N240" s="186"/>
      <c r="O240" s="186"/>
      <c r="P240" s="186"/>
      <c r="Q240" s="186"/>
    </row>
    <row r="241" spans="2:17" x14ac:dyDescent="0.35">
      <c r="B241" s="186"/>
      <c r="C241" s="186"/>
      <c r="D241" s="186"/>
      <c r="E241" s="186"/>
      <c r="F241" s="186"/>
      <c r="G241" s="186"/>
      <c r="H241" s="186"/>
      <c r="I241" s="186"/>
      <c r="J241" s="186"/>
      <c r="K241" s="186"/>
      <c r="L241" s="186"/>
      <c r="M241" s="186"/>
      <c r="N241" s="186"/>
      <c r="O241" s="186"/>
      <c r="P241" s="186"/>
      <c r="Q241" s="186"/>
    </row>
    <row r="242" spans="2:17" x14ac:dyDescent="0.35">
      <c r="B242" s="186"/>
      <c r="C242" s="186"/>
      <c r="D242" s="186"/>
      <c r="E242" s="186"/>
      <c r="F242" s="186"/>
      <c r="G242" s="186"/>
      <c r="H242" s="186"/>
      <c r="I242" s="186"/>
      <c r="J242" s="186"/>
      <c r="K242" s="186"/>
      <c r="L242" s="186"/>
      <c r="M242" s="186"/>
      <c r="N242" s="186"/>
      <c r="O242" s="186"/>
      <c r="P242" s="186"/>
      <c r="Q242" s="186"/>
    </row>
    <row r="243" spans="2:17" x14ac:dyDescent="0.35">
      <c r="B243" s="186"/>
      <c r="C243" s="186"/>
      <c r="D243" s="186"/>
      <c r="E243" s="186"/>
      <c r="F243" s="186"/>
      <c r="G243" s="186"/>
      <c r="H243" s="186"/>
      <c r="I243" s="186"/>
      <c r="J243" s="186"/>
      <c r="K243" s="186"/>
      <c r="L243" s="186"/>
      <c r="M243" s="186"/>
      <c r="N243" s="186"/>
      <c r="O243" s="186"/>
      <c r="P243" s="186"/>
      <c r="Q243" s="186"/>
    </row>
    <row r="244" spans="2:17" x14ac:dyDescent="0.35">
      <c r="B244" s="186"/>
      <c r="C244" s="186"/>
      <c r="D244" s="186"/>
      <c r="E244" s="186"/>
      <c r="F244" s="186"/>
      <c r="G244" s="186"/>
      <c r="H244" s="186"/>
      <c r="I244" s="186"/>
      <c r="J244" s="186"/>
      <c r="K244" s="186"/>
      <c r="L244" s="186"/>
      <c r="M244" s="186"/>
      <c r="N244" s="186"/>
      <c r="O244" s="186"/>
      <c r="P244" s="186"/>
      <c r="Q244" s="186"/>
    </row>
    <row r="245" spans="2:17" x14ac:dyDescent="0.35">
      <c r="B245" s="186"/>
      <c r="C245" s="186"/>
      <c r="D245" s="186"/>
      <c r="E245" s="186"/>
      <c r="F245" s="186"/>
      <c r="G245" s="186"/>
      <c r="H245" s="186"/>
      <c r="I245" s="186"/>
      <c r="J245" s="186"/>
      <c r="K245" s="186"/>
      <c r="L245" s="186"/>
      <c r="M245" s="186"/>
      <c r="N245" s="186"/>
      <c r="O245" s="186"/>
      <c r="P245" s="186"/>
      <c r="Q245" s="186"/>
    </row>
    <row r="246" spans="2:17" x14ac:dyDescent="0.35">
      <c r="B246" s="186"/>
      <c r="C246" s="186"/>
      <c r="D246" s="186"/>
      <c r="E246" s="186"/>
      <c r="F246" s="186"/>
      <c r="G246" s="186"/>
      <c r="H246" s="186"/>
      <c r="I246" s="186"/>
      <c r="J246" s="186"/>
      <c r="K246" s="186"/>
      <c r="L246" s="186"/>
      <c r="M246" s="186"/>
      <c r="N246" s="186"/>
      <c r="O246" s="186"/>
      <c r="P246" s="186"/>
      <c r="Q246" s="186"/>
    </row>
    <row r="247" spans="2:17" x14ac:dyDescent="0.35">
      <c r="B247" s="186"/>
      <c r="C247" s="186"/>
      <c r="D247" s="186"/>
      <c r="E247" s="186"/>
      <c r="F247" s="186"/>
      <c r="G247" s="186"/>
      <c r="H247" s="186"/>
      <c r="I247" s="186"/>
      <c r="J247" s="186"/>
      <c r="K247" s="186"/>
      <c r="L247" s="186"/>
      <c r="M247" s="186"/>
      <c r="N247" s="186"/>
      <c r="O247" s="186"/>
      <c r="P247" s="186"/>
      <c r="Q247" s="186"/>
    </row>
    <row r="248" spans="2:17" x14ac:dyDescent="0.35">
      <c r="B248" s="186"/>
      <c r="C248" s="186"/>
      <c r="D248" s="186"/>
      <c r="E248" s="186"/>
      <c r="F248" s="186"/>
      <c r="G248" s="186"/>
      <c r="H248" s="186"/>
      <c r="I248" s="186"/>
      <c r="J248" s="186"/>
      <c r="K248" s="186"/>
      <c r="L248" s="186"/>
      <c r="M248" s="186"/>
      <c r="N248" s="186"/>
      <c r="O248" s="186"/>
      <c r="P248" s="186"/>
      <c r="Q248" s="186"/>
    </row>
    <row r="249" spans="2:17" x14ac:dyDescent="0.35">
      <c r="B249" s="186"/>
      <c r="C249" s="186"/>
      <c r="D249" s="186"/>
      <c r="E249" s="186"/>
      <c r="F249" s="186"/>
      <c r="G249" s="186"/>
      <c r="H249" s="186"/>
      <c r="I249" s="186"/>
      <c r="J249" s="186"/>
      <c r="K249" s="186"/>
      <c r="L249" s="186"/>
      <c r="M249" s="186"/>
      <c r="N249" s="186"/>
      <c r="O249" s="186"/>
      <c r="P249" s="186"/>
      <c r="Q249" s="186"/>
    </row>
    <row r="250" spans="2:17" x14ac:dyDescent="0.35">
      <c r="B250" s="186"/>
      <c r="C250" s="186"/>
      <c r="D250" s="186"/>
      <c r="E250" s="186"/>
      <c r="F250" s="186"/>
      <c r="G250" s="186"/>
      <c r="H250" s="186"/>
      <c r="I250" s="186"/>
      <c r="J250" s="186"/>
      <c r="K250" s="186"/>
      <c r="L250" s="186"/>
      <c r="M250" s="186"/>
      <c r="N250" s="186"/>
      <c r="O250" s="186"/>
      <c r="P250" s="186"/>
      <c r="Q250" s="186"/>
    </row>
    <row r="251" spans="2:17" x14ac:dyDescent="0.35">
      <c r="B251" s="186"/>
      <c r="C251" s="186"/>
      <c r="D251" s="186"/>
      <c r="E251" s="186"/>
      <c r="F251" s="186"/>
      <c r="G251" s="186"/>
      <c r="H251" s="186"/>
      <c r="I251" s="186"/>
      <c r="J251" s="186"/>
      <c r="K251" s="186"/>
      <c r="L251" s="186"/>
      <c r="M251" s="186"/>
      <c r="N251" s="186"/>
      <c r="O251" s="186"/>
      <c r="P251" s="186"/>
      <c r="Q251" s="186"/>
    </row>
    <row r="252" spans="2:17" x14ac:dyDescent="0.35">
      <c r="B252" s="186"/>
      <c r="C252" s="186"/>
      <c r="D252" s="186"/>
      <c r="E252" s="186"/>
      <c r="F252" s="186"/>
      <c r="G252" s="186"/>
      <c r="H252" s="186"/>
      <c r="I252" s="186"/>
      <c r="J252" s="186"/>
      <c r="K252" s="186"/>
      <c r="L252" s="186"/>
      <c r="M252" s="186"/>
      <c r="N252" s="186"/>
      <c r="O252" s="186"/>
      <c r="P252" s="186"/>
      <c r="Q252" s="186"/>
    </row>
    <row r="253" spans="2:17" x14ac:dyDescent="0.35">
      <c r="B253" s="186"/>
      <c r="C253" s="186"/>
      <c r="D253" s="186"/>
      <c r="E253" s="186"/>
      <c r="F253" s="186"/>
      <c r="G253" s="186"/>
      <c r="H253" s="186"/>
      <c r="I253" s="186"/>
      <c r="J253" s="186"/>
      <c r="K253" s="186"/>
      <c r="L253" s="186"/>
      <c r="M253" s="186"/>
      <c r="N253" s="186"/>
      <c r="O253" s="186"/>
      <c r="P253" s="186"/>
      <c r="Q253" s="186"/>
    </row>
    <row r="254" spans="2:17" x14ac:dyDescent="0.35">
      <c r="B254" s="186"/>
      <c r="C254" s="186"/>
      <c r="D254" s="186"/>
      <c r="E254" s="186"/>
      <c r="F254" s="186"/>
      <c r="G254" s="186"/>
      <c r="H254" s="186"/>
      <c r="I254" s="186"/>
      <c r="J254" s="186"/>
      <c r="K254" s="186"/>
      <c r="L254" s="186"/>
      <c r="M254" s="186"/>
      <c r="N254" s="186"/>
      <c r="O254" s="186"/>
      <c r="P254" s="186"/>
      <c r="Q254" s="186"/>
    </row>
    <row r="255" spans="2:17" x14ac:dyDescent="0.35">
      <c r="B255" s="186"/>
      <c r="C255" s="186"/>
      <c r="D255" s="186"/>
      <c r="E255" s="186"/>
      <c r="F255" s="186"/>
      <c r="G255" s="186"/>
      <c r="H255" s="186"/>
      <c r="I255" s="186"/>
      <c r="J255" s="186"/>
      <c r="K255" s="186"/>
      <c r="L255" s="186"/>
      <c r="M255" s="186"/>
      <c r="N255" s="186"/>
      <c r="O255" s="186"/>
      <c r="P255" s="186"/>
      <c r="Q255" s="186"/>
    </row>
    <row r="256" spans="2:17" x14ac:dyDescent="0.35">
      <c r="B256" s="186"/>
      <c r="C256" s="186"/>
      <c r="D256" s="186"/>
      <c r="E256" s="186"/>
      <c r="F256" s="186"/>
      <c r="G256" s="186"/>
      <c r="H256" s="186"/>
      <c r="I256" s="186"/>
      <c r="J256" s="186"/>
      <c r="K256" s="186"/>
      <c r="L256" s="186"/>
      <c r="M256" s="186"/>
      <c r="N256" s="186"/>
      <c r="O256" s="186"/>
      <c r="P256" s="186"/>
      <c r="Q256" s="186"/>
    </row>
    <row r="257" spans="2:17" x14ac:dyDescent="0.35">
      <c r="B257" s="186"/>
      <c r="C257" s="186"/>
      <c r="D257" s="186"/>
      <c r="E257" s="186"/>
      <c r="F257" s="186"/>
      <c r="G257" s="186"/>
      <c r="H257" s="186"/>
      <c r="I257" s="186"/>
      <c r="J257" s="186"/>
      <c r="K257" s="186"/>
      <c r="L257" s="186"/>
      <c r="M257" s="186"/>
      <c r="N257" s="186"/>
      <c r="O257" s="186"/>
      <c r="P257" s="186"/>
      <c r="Q257" s="186"/>
    </row>
    <row r="258" spans="2:17" x14ac:dyDescent="0.35">
      <c r="B258" s="186"/>
      <c r="C258" s="186"/>
      <c r="D258" s="186"/>
      <c r="E258" s="186"/>
      <c r="F258" s="186"/>
      <c r="G258" s="186"/>
      <c r="H258" s="186"/>
      <c r="I258" s="186"/>
      <c r="J258" s="186"/>
      <c r="K258" s="186"/>
      <c r="L258" s="186"/>
      <c r="M258" s="186"/>
      <c r="N258" s="186"/>
      <c r="O258" s="186"/>
      <c r="P258" s="186"/>
      <c r="Q258" s="186"/>
    </row>
    <row r="259" spans="2:17" x14ac:dyDescent="0.35">
      <c r="B259" s="186"/>
      <c r="C259" s="186"/>
      <c r="D259" s="186"/>
      <c r="E259" s="186"/>
      <c r="F259" s="186"/>
      <c r="G259" s="186"/>
      <c r="H259" s="186"/>
      <c r="I259" s="186"/>
      <c r="J259" s="186"/>
      <c r="K259" s="186"/>
      <c r="L259" s="186"/>
      <c r="M259" s="186"/>
      <c r="N259" s="186"/>
      <c r="O259" s="186"/>
      <c r="P259" s="186"/>
      <c r="Q259" s="186"/>
    </row>
    <row r="260" spans="2:17" x14ac:dyDescent="0.35">
      <c r="B260" s="186"/>
      <c r="C260" s="186"/>
      <c r="D260" s="186"/>
      <c r="E260" s="186"/>
      <c r="F260" s="186"/>
      <c r="G260" s="186"/>
      <c r="H260" s="186"/>
      <c r="I260" s="186"/>
      <c r="J260" s="186"/>
      <c r="K260" s="186"/>
      <c r="L260" s="186"/>
      <c r="M260" s="186"/>
      <c r="N260" s="186"/>
      <c r="O260" s="186"/>
      <c r="P260" s="186"/>
      <c r="Q260" s="186"/>
    </row>
    <row r="261" spans="2:17" x14ac:dyDescent="0.35">
      <c r="B261" s="186"/>
      <c r="C261" s="186"/>
      <c r="D261" s="186"/>
      <c r="E261" s="186"/>
      <c r="F261" s="186"/>
      <c r="G261" s="186"/>
      <c r="H261" s="186"/>
      <c r="I261" s="186"/>
      <c r="J261" s="186"/>
      <c r="K261" s="186"/>
      <c r="L261" s="186"/>
      <c r="M261" s="186"/>
      <c r="N261" s="186"/>
      <c r="O261" s="186"/>
      <c r="P261" s="186"/>
      <c r="Q261" s="186"/>
    </row>
    <row r="262" spans="2:17" x14ac:dyDescent="0.35">
      <c r="B262" s="186"/>
      <c r="C262" s="186"/>
      <c r="D262" s="186"/>
      <c r="E262" s="186"/>
      <c r="F262" s="186"/>
      <c r="G262" s="186"/>
      <c r="H262" s="186"/>
      <c r="I262" s="186"/>
      <c r="J262" s="186"/>
      <c r="K262" s="186"/>
      <c r="L262" s="186"/>
      <c r="M262" s="186"/>
      <c r="N262" s="186"/>
      <c r="O262" s="186"/>
      <c r="P262" s="186"/>
      <c r="Q262" s="186"/>
    </row>
    <row r="263" spans="2:17" x14ac:dyDescent="0.35">
      <c r="B263" s="186"/>
      <c r="C263" s="186"/>
      <c r="D263" s="186"/>
      <c r="E263" s="186"/>
      <c r="F263" s="186"/>
      <c r="G263" s="186"/>
      <c r="H263" s="186"/>
      <c r="I263" s="186"/>
      <c r="J263" s="186"/>
      <c r="K263" s="186"/>
      <c r="L263" s="186"/>
      <c r="M263" s="186"/>
      <c r="N263" s="186"/>
      <c r="O263" s="186"/>
      <c r="P263" s="186"/>
      <c r="Q263" s="186"/>
    </row>
    <row r="264" spans="2:17" x14ac:dyDescent="0.35">
      <c r="B264" s="186"/>
      <c r="C264" s="186"/>
      <c r="D264" s="186"/>
      <c r="E264" s="186"/>
      <c r="F264" s="186"/>
      <c r="G264" s="186"/>
      <c r="H264" s="186"/>
      <c r="I264" s="186"/>
      <c r="J264" s="186"/>
      <c r="K264" s="186"/>
      <c r="L264" s="186"/>
      <c r="M264" s="186"/>
      <c r="N264" s="186"/>
      <c r="O264" s="186"/>
      <c r="P264" s="186"/>
      <c r="Q264" s="186"/>
    </row>
    <row r="265" spans="2:17" x14ac:dyDescent="0.35">
      <c r="B265" s="186"/>
      <c r="C265" s="186"/>
      <c r="D265" s="186"/>
      <c r="E265" s="186"/>
      <c r="F265" s="186"/>
      <c r="G265" s="186"/>
      <c r="H265" s="186"/>
      <c r="I265" s="186"/>
      <c r="J265" s="186"/>
      <c r="K265" s="186"/>
      <c r="L265" s="186"/>
      <c r="M265" s="186"/>
      <c r="N265" s="186"/>
      <c r="O265" s="186"/>
      <c r="P265" s="186"/>
      <c r="Q265" s="186"/>
    </row>
    <row r="266" spans="2:17" x14ac:dyDescent="0.35">
      <c r="B266" s="186"/>
      <c r="C266" s="186"/>
      <c r="D266" s="186"/>
      <c r="E266" s="186"/>
      <c r="F266" s="186"/>
      <c r="G266" s="186"/>
      <c r="H266" s="186"/>
      <c r="I266" s="186"/>
      <c r="J266" s="186"/>
      <c r="K266" s="186"/>
      <c r="L266" s="186"/>
      <c r="M266" s="186"/>
      <c r="N266" s="186"/>
      <c r="O266" s="186"/>
      <c r="P266" s="186"/>
      <c r="Q266" s="186"/>
    </row>
    <row r="267" spans="2:17" x14ac:dyDescent="0.35">
      <c r="B267" s="186"/>
      <c r="C267" s="186"/>
      <c r="D267" s="186"/>
      <c r="E267" s="186"/>
      <c r="F267" s="186"/>
      <c r="G267" s="186"/>
      <c r="H267" s="186"/>
      <c r="I267" s="186"/>
      <c r="J267" s="186"/>
      <c r="K267" s="186"/>
      <c r="L267" s="186"/>
      <c r="M267" s="186"/>
      <c r="N267" s="186"/>
      <c r="O267" s="186"/>
      <c r="P267" s="186"/>
      <c r="Q267" s="186"/>
    </row>
    <row r="268" spans="2:17" x14ac:dyDescent="0.35">
      <c r="B268" s="186"/>
      <c r="C268" s="186"/>
      <c r="D268" s="186"/>
      <c r="E268" s="186"/>
      <c r="F268" s="186"/>
      <c r="G268" s="186"/>
      <c r="H268" s="186"/>
      <c r="I268" s="186"/>
      <c r="J268" s="186"/>
      <c r="K268" s="186"/>
      <c r="L268" s="186"/>
      <c r="M268" s="186"/>
      <c r="N268" s="186"/>
      <c r="O268" s="186"/>
      <c r="P268" s="186"/>
      <c r="Q268" s="186"/>
    </row>
    <row r="269" spans="2:17" x14ac:dyDescent="0.35">
      <c r="B269" s="186"/>
      <c r="C269" s="186"/>
      <c r="D269" s="186"/>
      <c r="E269" s="186"/>
      <c r="F269" s="186"/>
      <c r="G269" s="186"/>
      <c r="H269" s="186"/>
      <c r="I269" s="186"/>
      <c r="J269" s="186"/>
      <c r="K269" s="186"/>
      <c r="L269" s="186"/>
      <c r="M269" s="186"/>
      <c r="N269" s="186"/>
      <c r="O269" s="186"/>
      <c r="P269" s="186"/>
      <c r="Q269" s="186"/>
    </row>
    <row r="270" spans="2:17" x14ac:dyDescent="0.35">
      <c r="B270" s="186"/>
      <c r="C270" s="186"/>
      <c r="D270" s="186"/>
      <c r="E270" s="186"/>
      <c r="F270" s="186"/>
      <c r="G270" s="186"/>
      <c r="H270" s="186"/>
      <c r="I270" s="186"/>
      <c r="J270" s="186"/>
      <c r="K270" s="186"/>
      <c r="L270" s="186"/>
      <c r="M270" s="186"/>
      <c r="N270" s="186"/>
      <c r="O270" s="186"/>
      <c r="P270" s="186"/>
      <c r="Q270" s="186"/>
    </row>
    <row r="271" spans="2:17" x14ac:dyDescent="0.35">
      <c r="B271" s="186"/>
      <c r="C271" s="186"/>
      <c r="D271" s="186"/>
      <c r="E271" s="186"/>
      <c r="F271" s="186"/>
      <c r="G271" s="186"/>
      <c r="H271" s="186"/>
      <c r="I271" s="186"/>
      <c r="J271" s="186"/>
      <c r="K271" s="186"/>
      <c r="L271" s="186"/>
      <c r="M271" s="186"/>
      <c r="N271" s="186"/>
      <c r="O271" s="186"/>
      <c r="P271" s="186"/>
      <c r="Q271" s="186"/>
    </row>
    <row r="272" spans="2:17" x14ac:dyDescent="0.35">
      <c r="B272" s="186"/>
      <c r="C272" s="186"/>
      <c r="D272" s="186"/>
      <c r="E272" s="186"/>
      <c r="F272" s="186"/>
      <c r="G272" s="186"/>
      <c r="H272" s="186"/>
      <c r="I272" s="186"/>
      <c r="J272" s="186"/>
      <c r="K272" s="186"/>
      <c r="L272" s="186"/>
      <c r="M272" s="186"/>
      <c r="N272" s="186"/>
      <c r="O272" s="186"/>
      <c r="P272" s="186"/>
      <c r="Q272" s="186"/>
    </row>
    <row r="273" spans="2:17" x14ac:dyDescent="0.35">
      <c r="B273" s="186"/>
      <c r="C273" s="186"/>
      <c r="D273" s="186"/>
      <c r="E273" s="186"/>
      <c r="F273" s="186"/>
      <c r="G273" s="186"/>
      <c r="H273" s="186"/>
      <c r="I273" s="186"/>
      <c r="J273" s="186"/>
      <c r="K273" s="186"/>
      <c r="L273" s="186"/>
      <c r="M273" s="186"/>
      <c r="N273" s="186"/>
      <c r="O273" s="186"/>
      <c r="P273" s="186"/>
      <c r="Q273" s="186"/>
    </row>
    <row r="274" spans="2:17" x14ac:dyDescent="0.35">
      <c r="B274" s="186"/>
      <c r="C274" s="186"/>
      <c r="D274" s="186"/>
      <c r="E274" s="186"/>
      <c r="F274" s="186"/>
      <c r="G274" s="186"/>
      <c r="H274" s="186"/>
      <c r="I274" s="186"/>
      <c r="J274" s="186"/>
      <c r="K274" s="186"/>
      <c r="L274" s="186"/>
      <c r="M274" s="186"/>
      <c r="N274" s="186"/>
      <c r="O274" s="186"/>
      <c r="P274" s="186"/>
      <c r="Q274" s="186"/>
    </row>
    <row r="275" spans="2:17" x14ac:dyDescent="0.35">
      <c r="B275" s="186"/>
      <c r="C275" s="186"/>
      <c r="D275" s="186"/>
      <c r="E275" s="186"/>
      <c r="F275" s="186"/>
      <c r="G275" s="186"/>
      <c r="H275" s="186"/>
      <c r="I275" s="186"/>
      <c r="J275" s="186"/>
      <c r="K275" s="186"/>
      <c r="L275" s="186"/>
      <c r="M275" s="186"/>
      <c r="N275" s="186"/>
      <c r="O275" s="186"/>
      <c r="P275" s="186"/>
      <c r="Q275" s="186"/>
    </row>
    <row r="276" spans="2:17" x14ac:dyDescent="0.35">
      <c r="B276" s="186"/>
      <c r="C276" s="186"/>
      <c r="D276" s="186"/>
      <c r="E276" s="186"/>
      <c r="F276" s="186"/>
      <c r="G276" s="186"/>
      <c r="H276" s="186"/>
      <c r="I276" s="186"/>
      <c r="J276" s="186"/>
      <c r="K276" s="186"/>
      <c r="L276" s="186"/>
      <c r="M276" s="186"/>
      <c r="N276" s="186"/>
      <c r="O276" s="186"/>
      <c r="P276" s="186"/>
      <c r="Q276" s="186"/>
    </row>
    <row r="277" spans="2:17" x14ac:dyDescent="0.35">
      <c r="B277" s="186"/>
      <c r="C277" s="186"/>
      <c r="D277" s="186"/>
      <c r="E277" s="186"/>
      <c r="F277" s="186"/>
      <c r="G277" s="186"/>
      <c r="H277" s="186"/>
      <c r="I277" s="186"/>
      <c r="J277" s="186"/>
      <c r="K277" s="186"/>
      <c r="L277" s="186"/>
      <c r="M277" s="186"/>
      <c r="N277" s="186"/>
      <c r="O277" s="186"/>
      <c r="P277" s="186"/>
      <c r="Q277" s="186"/>
    </row>
    <row r="278" spans="2:17" x14ac:dyDescent="0.35">
      <c r="B278" s="186"/>
      <c r="C278" s="186"/>
      <c r="D278" s="186"/>
      <c r="E278" s="186"/>
      <c r="F278" s="186"/>
      <c r="G278" s="186"/>
      <c r="H278" s="186"/>
      <c r="I278" s="186"/>
      <c r="J278" s="186"/>
      <c r="K278" s="186"/>
      <c r="L278" s="186"/>
      <c r="M278" s="186"/>
      <c r="N278" s="186"/>
      <c r="O278" s="186"/>
      <c r="P278" s="186"/>
      <c r="Q278" s="186"/>
    </row>
    <row r="279" spans="2:17" x14ac:dyDescent="0.35">
      <c r="B279" s="186"/>
      <c r="C279" s="186"/>
      <c r="D279" s="186"/>
      <c r="E279" s="186"/>
      <c r="F279" s="186"/>
      <c r="G279" s="186"/>
      <c r="H279" s="186"/>
      <c r="I279" s="186"/>
      <c r="J279" s="186"/>
      <c r="K279" s="186"/>
      <c r="L279" s="186"/>
      <c r="M279" s="186"/>
      <c r="N279" s="186"/>
      <c r="O279" s="186"/>
      <c r="P279" s="186"/>
      <c r="Q279" s="186"/>
    </row>
    <row r="280" spans="2:17" x14ac:dyDescent="0.35">
      <c r="B280" s="186"/>
      <c r="C280" s="186"/>
      <c r="D280" s="186"/>
      <c r="E280" s="186"/>
      <c r="F280" s="186"/>
      <c r="G280" s="186"/>
      <c r="H280" s="186"/>
      <c r="I280" s="186"/>
      <c r="J280" s="186"/>
      <c r="K280" s="186"/>
      <c r="L280" s="186"/>
      <c r="M280" s="186"/>
      <c r="N280" s="186"/>
      <c r="O280" s="186"/>
      <c r="P280" s="186"/>
      <c r="Q280" s="186"/>
    </row>
    <row r="281" spans="2:17" x14ac:dyDescent="0.35">
      <c r="B281" s="186"/>
      <c r="C281" s="186"/>
      <c r="D281" s="186"/>
      <c r="E281" s="186"/>
      <c r="F281" s="186"/>
      <c r="G281" s="186"/>
      <c r="H281" s="186"/>
      <c r="I281" s="186"/>
      <c r="J281" s="186"/>
      <c r="K281" s="186"/>
      <c r="L281" s="186"/>
      <c r="M281" s="186"/>
      <c r="N281" s="186"/>
      <c r="O281" s="186"/>
      <c r="P281" s="186"/>
      <c r="Q281" s="186"/>
    </row>
    <row r="282" spans="2:17" x14ac:dyDescent="0.35">
      <c r="B282" s="186"/>
      <c r="C282" s="186"/>
      <c r="D282" s="186"/>
      <c r="E282" s="186"/>
      <c r="F282" s="186"/>
      <c r="G282" s="186"/>
      <c r="H282" s="186"/>
      <c r="I282" s="186"/>
      <c r="J282" s="186"/>
      <c r="K282" s="186"/>
      <c r="L282" s="186"/>
      <c r="M282" s="186"/>
      <c r="N282" s="186"/>
      <c r="O282" s="186"/>
      <c r="P282" s="186"/>
      <c r="Q282" s="186"/>
    </row>
    <row r="283" spans="2:17" x14ac:dyDescent="0.35">
      <c r="B283" s="186"/>
      <c r="C283" s="186"/>
      <c r="D283" s="186"/>
      <c r="E283" s="186"/>
      <c r="F283" s="186"/>
      <c r="G283" s="186"/>
      <c r="H283" s="186"/>
      <c r="I283" s="186"/>
      <c r="J283" s="186"/>
      <c r="K283" s="186"/>
      <c r="L283" s="186"/>
      <c r="M283" s="186"/>
      <c r="N283" s="186"/>
      <c r="O283" s="186"/>
      <c r="P283" s="186"/>
      <c r="Q283" s="186"/>
    </row>
    <row r="284" spans="2:17" x14ac:dyDescent="0.35">
      <c r="B284" s="186"/>
      <c r="C284" s="186"/>
      <c r="D284" s="186"/>
      <c r="E284" s="186"/>
      <c r="F284" s="186"/>
      <c r="G284" s="186"/>
      <c r="H284" s="186"/>
      <c r="I284" s="186"/>
      <c r="J284" s="186"/>
      <c r="K284" s="186"/>
      <c r="L284" s="186"/>
      <c r="M284" s="186"/>
      <c r="N284" s="186"/>
      <c r="O284" s="186"/>
      <c r="P284" s="186"/>
      <c r="Q284" s="186"/>
    </row>
    <row r="285" spans="2:17" x14ac:dyDescent="0.35">
      <c r="B285" s="186"/>
      <c r="C285" s="186"/>
      <c r="D285" s="186"/>
      <c r="E285" s="186"/>
      <c r="F285" s="186"/>
      <c r="G285" s="186"/>
      <c r="H285" s="186"/>
      <c r="I285" s="186"/>
      <c r="J285" s="186"/>
      <c r="K285" s="186"/>
      <c r="L285" s="186"/>
      <c r="M285" s="186"/>
      <c r="N285" s="186"/>
      <c r="O285" s="186"/>
      <c r="P285" s="186"/>
      <c r="Q285" s="186"/>
    </row>
    <row r="286" spans="2:17" x14ac:dyDescent="0.35">
      <c r="B286" s="186"/>
      <c r="C286" s="186"/>
      <c r="D286" s="186"/>
      <c r="E286" s="186"/>
      <c r="F286" s="186"/>
      <c r="G286" s="186"/>
      <c r="H286" s="186"/>
      <c r="I286" s="186"/>
      <c r="J286" s="186"/>
      <c r="K286" s="186"/>
      <c r="L286" s="186"/>
      <c r="M286" s="186"/>
      <c r="N286" s="186"/>
      <c r="O286" s="186"/>
      <c r="P286" s="186"/>
      <c r="Q286" s="186"/>
    </row>
    <row r="287" spans="2:17" x14ac:dyDescent="0.35">
      <c r="B287" s="186"/>
      <c r="C287" s="186"/>
      <c r="D287" s="186"/>
      <c r="E287" s="186"/>
      <c r="F287" s="186"/>
      <c r="G287" s="186"/>
      <c r="H287" s="186"/>
      <c r="I287" s="186"/>
      <c r="J287" s="186"/>
      <c r="K287" s="186"/>
      <c r="L287" s="186"/>
      <c r="M287" s="186"/>
      <c r="N287" s="186"/>
      <c r="O287" s="186"/>
      <c r="P287" s="186"/>
      <c r="Q287" s="186"/>
    </row>
    <row r="288" spans="2:17" x14ac:dyDescent="0.35">
      <c r="B288" s="186"/>
      <c r="C288" s="186"/>
      <c r="D288" s="186"/>
      <c r="E288" s="186"/>
      <c r="F288" s="186"/>
      <c r="G288" s="186"/>
      <c r="H288" s="186"/>
      <c r="I288" s="186"/>
      <c r="J288" s="186"/>
      <c r="K288" s="186"/>
      <c r="L288" s="186"/>
      <c r="M288" s="186"/>
      <c r="N288" s="186"/>
      <c r="O288" s="186"/>
      <c r="P288" s="186"/>
      <c r="Q288" s="186"/>
    </row>
    <row r="289" spans="2:17" x14ac:dyDescent="0.35">
      <c r="B289" s="186"/>
      <c r="C289" s="186"/>
      <c r="D289" s="186"/>
      <c r="E289" s="186"/>
      <c r="F289" s="186"/>
      <c r="G289" s="186"/>
      <c r="H289" s="186"/>
      <c r="I289" s="186"/>
      <c r="J289" s="186"/>
      <c r="K289" s="186"/>
      <c r="L289" s="186"/>
      <c r="M289" s="186"/>
      <c r="N289" s="186"/>
      <c r="O289" s="186"/>
      <c r="P289" s="186"/>
      <c r="Q289" s="186"/>
    </row>
    <row r="290" spans="2:17" x14ac:dyDescent="0.35">
      <c r="B290" s="186"/>
      <c r="C290" s="186"/>
      <c r="D290" s="186"/>
      <c r="E290" s="186"/>
      <c r="F290" s="186"/>
      <c r="G290" s="186"/>
      <c r="H290" s="186"/>
      <c r="I290" s="186"/>
      <c r="J290" s="186"/>
      <c r="K290" s="186"/>
      <c r="L290" s="186"/>
      <c r="M290" s="186"/>
      <c r="N290" s="186"/>
      <c r="O290" s="186"/>
      <c r="P290" s="186"/>
      <c r="Q290" s="186"/>
    </row>
    <row r="291" spans="2:17" x14ac:dyDescent="0.35">
      <c r="B291" s="186"/>
      <c r="C291" s="186"/>
      <c r="D291" s="186"/>
      <c r="E291" s="186"/>
      <c r="F291" s="186"/>
      <c r="G291" s="186"/>
      <c r="H291" s="186"/>
      <c r="I291" s="186"/>
      <c r="J291" s="186"/>
      <c r="K291" s="186"/>
      <c r="L291" s="186"/>
      <c r="M291" s="186"/>
      <c r="N291" s="186"/>
      <c r="O291" s="186"/>
      <c r="P291" s="186"/>
      <c r="Q291" s="186"/>
    </row>
    <row r="292" spans="2:17" x14ac:dyDescent="0.35">
      <c r="B292" s="186"/>
      <c r="C292" s="186"/>
      <c r="D292" s="186"/>
      <c r="E292" s="186"/>
      <c r="F292" s="186"/>
      <c r="G292" s="186"/>
      <c r="H292" s="186"/>
      <c r="I292" s="186"/>
      <c r="J292" s="186"/>
      <c r="K292" s="186"/>
      <c r="L292" s="186"/>
      <c r="M292" s="186"/>
      <c r="N292" s="186"/>
      <c r="O292" s="186"/>
      <c r="P292" s="186"/>
      <c r="Q292" s="186"/>
    </row>
    <row r="293" spans="2:17" x14ac:dyDescent="0.35">
      <c r="B293" s="186"/>
      <c r="C293" s="186"/>
      <c r="D293" s="186"/>
      <c r="E293" s="186"/>
      <c r="F293" s="186"/>
      <c r="G293" s="186"/>
      <c r="H293" s="186"/>
      <c r="I293" s="186"/>
      <c r="J293" s="186"/>
      <c r="K293" s="186"/>
      <c r="L293" s="186"/>
      <c r="M293" s="186"/>
      <c r="N293" s="186"/>
      <c r="O293" s="186"/>
      <c r="P293" s="186"/>
      <c r="Q293" s="186"/>
    </row>
    <row r="294" spans="2:17" x14ac:dyDescent="0.35">
      <c r="B294" s="186"/>
      <c r="C294" s="186"/>
      <c r="D294" s="186"/>
      <c r="E294" s="186"/>
      <c r="F294" s="186"/>
      <c r="G294" s="186"/>
      <c r="H294" s="186"/>
      <c r="I294" s="186"/>
      <c r="J294" s="186"/>
      <c r="K294" s="186"/>
      <c r="L294" s="186"/>
      <c r="M294" s="186"/>
      <c r="N294" s="186"/>
      <c r="O294" s="186"/>
      <c r="P294" s="186"/>
      <c r="Q294" s="186"/>
    </row>
    <row r="295" spans="2:17" x14ac:dyDescent="0.35">
      <c r="B295" s="186"/>
      <c r="C295" s="186"/>
      <c r="D295" s="186"/>
      <c r="E295" s="186"/>
      <c r="F295" s="186"/>
      <c r="G295" s="186"/>
      <c r="H295" s="186"/>
      <c r="I295" s="186"/>
      <c r="J295" s="186"/>
      <c r="K295" s="186"/>
      <c r="L295" s="186"/>
      <c r="M295" s="186"/>
      <c r="N295" s="186"/>
      <c r="O295" s="186"/>
      <c r="P295" s="186"/>
      <c r="Q295" s="186"/>
    </row>
    <row r="296" spans="2:17" x14ac:dyDescent="0.35">
      <c r="B296" s="186"/>
      <c r="C296" s="186"/>
      <c r="D296" s="186"/>
      <c r="E296" s="186"/>
      <c r="F296" s="186"/>
      <c r="G296" s="186"/>
      <c r="H296" s="186"/>
      <c r="I296" s="186"/>
      <c r="J296" s="186"/>
      <c r="K296" s="186"/>
      <c r="L296" s="186"/>
      <c r="M296" s="186"/>
      <c r="N296" s="186"/>
      <c r="O296" s="186"/>
      <c r="P296" s="186"/>
      <c r="Q296" s="186"/>
    </row>
    <row r="297" spans="2:17" x14ac:dyDescent="0.35">
      <c r="B297" s="186"/>
      <c r="C297" s="186"/>
      <c r="D297" s="186"/>
      <c r="E297" s="186"/>
      <c r="F297" s="186"/>
      <c r="G297" s="186"/>
      <c r="H297" s="186"/>
      <c r="I297" s="186"/>
      <c r="J297" s="186"/>
      <c r="K297" s="186"/>
      <c r="L297" s="186"/>
      <c r="M297" s="186"/>
      <c r="N297" s="186"/>
      <c r="O297" s="186"/>
      <c r="P297" s="186"/>
      <c r="Q297" s="186"/>
    </row>
    <row r="298" spans="2:17" x14ac:dyDescent="0.35">
      <c r="B298" s="186"/>
      <c r="C298" s="186"/>
      <c r="D298" s="186"/>
      <c r="E298" s="186"/>
      <c r="F298" s="186"/>
      <c r="G298" s="186"/>
      <c r="H298" s="186"/>
      <c r="I298" s="186"/>
      <c r="J298" s="186"/>
      <c r="K298" s="186"/>
      <c r="L298" s="186"/>
      <c r="M298" s="186"/>
      <c r="N298" s="186"/>
      <c r="O298" s="186"/>
      <c r="P298" s="186"/>
      <c r="Q298" s="186"/>
    </row>
    <row r="299" spans="2:17" x14ac:dyDescent="0.35">
      <c r="B299" s="186"/>
      <c r="C299" s="186"/>
      <c r="D299" s="186"/>
      <c r="E299" s="186"/>
      <c r="F299" s="186"/>
      <c r="G299" s="186"/>
      <c r="H299" s="186"/>
      <c r="I299" s="186"/>
      <c r="J299" s="186"/>
      <c r="K299" s="186"/>
      <c r="L299" s="186"/>
      <c r="M299" s="186"/>
      <c r="N299" s="186"/>
      <c r="O299" s="186"/>
      <c r="P299" s="186"/>
      <c r="Q299" s="186"/>
    </row>
    <row r="300" spans="2:17" x14ac:dyDescent="0.35">
      <c r="B300" s="186"/>
      <c r="C300" s="186"/>
      <c r="D300" s="186"/>
      <c r="E300" s="186"/>
      <c r="F300" s="186"/>
      <c r="G300" s="186"/>
      <c r="H300" s="186"/>
      <c r="I300" s="186"/>
      <c r="J300" s="186"/>
      <c r="K300" s="186"/>
      <c r="L300" s="186"/>
      <c r="M300" s="186"/>
      <c r="N300" s="186"/>
      <c r="O300" s="186"/>
      <c r="P300" s="186"/>
      <c r="Q300" s="186"/>
    </row>
    <row r="301" spans="2:17" x14ac:dyDescent="0.35">
      <c r="B301" s="186"/>
      <c r="C301" s="186"/>
      <c r="D301" s="186"/>
      <c r="E301" s="186"/>
      <c r="F301" s="186"/>
      <c r="G301" s="186"/>
      <c r="H301" s="186"/>
      <c r="I301" s="186"/>
      <c r="J301" s="186"/>
      <c r="K301" s="186"/>
      <c r="L301" s="186"/>
      <c r="M301" s="186"/>
      <c r="N301" s="186"/>
      <c r="O301" s="186"/>
      <c r="P301" s="186"/>
      <c r="Q301" s="186"/>
    </row>
    <row r="302" spans="2:17" x14ac:dyDescent="0.35">
      <c r="B302" s="186"/>
      <c r="C302" s="186"/>
      <c r="D302" s="186"/>
      <c r="E302" s="186"/>
      <c r="F302" s="186"/>
      <c r="G302" s="186"/>
      <c r="H302" s="186"/>
      <c r="I302" s="186"/>
      <c r="J302" s="186"/>
      <c r="K302" s="186"/>
      <c r="L302" s="186"/>
      <c r="M302" s="186"/>
      <c r="N302" s="186"/>
      <c r="O302" s="186"/>
      <c r="P302" s="186"/>
      <c r="Q302" s="186"/>
    </row>
    <row r="303" spans="2:17" x14ac:dyDescent="0.35">
      <c r="B303" s="186"/>
      <c r="C303" s="186"/>
      <c r="D303" s="186"/>
      <c r="E303" s="186"/>
      <c r="F303" s="186"/>
      <c r="G303" s="186"/>
      <c r="H303" s="186"/>
      <c r="I303" s="186"/>
      <c r="J303" s="186"/>
      <c r="K303" s="186"/>
      <c r="L303" s="186"/>
      <c r="M303" s="186"/>
      <c r="N303" s="186"/>
      <c r="O303" s="186"/>
      <c r="P303" s="186"/>
      <c r="Q303" s="186"/>
    </row>
    <row r="304" spans="2:17" x14ac:dyDescent="0.35">
      <c r="B304" s="186"/>
      <c r="C304" s="186"/>
      <c r="D304" s="186"/>
      <c r="E304" s="186"/>
      <c r="F304" s="186"/>
      <c r="G304" s="186"/>
      <c r="H304" s="186"/>
      <c r="I304" s="186"/>
      <c r="J304" s="186"/>
      <c r="K304" s="186"/>
      <c r="L304" s="186"/>
      <c r="M304" s="186"/>
      <c r="N304" s="186"/>
      <c r="O304" s="186"/>
      <c r="P304" s="186"/>
      <c r="Q304" s="186"/>
    </row>
    <row r="305" spans="2:17" x14ac:dyDescent="0.35">
      <c r="B305" s="186"/>
      <c r="C305" s="186"/>
      <c r="D305" s="186"/>
      <c r="E305" s="186"/>
      <c r="F305" s="186"/>
      <c r="G305" s="186"/>
      <c r="H305" s="186"/>
      <c r="I305" s="186"/>
      <c r="J305" s="186"/>
      <c r="K305" s="186"/>
      <c r="L305" s="186"/>
      <c r="M305" s="186"/>
      <c r="N305" s="186"/>
      <c r="O305" s="186"/>
      <c r="P305" s="186"/>
      <c r="Q305" s="186"/>
    </row>
    <row r="306" spans="2:17" x14ac:dyDescent="0.35">
      <c r="B306" s="186"/>
      <c r="C306" s="186"/>
      <c r="D306" s="186"/>
      <c r="E306" s="186"/>
      <c r="F306" s="186"/>
      <c r="G306" s="186"/>
      <c r="H306" s="186"/>
      <c r="I306" s="186"/>
      <c r="J306" s="186"/>
      <c r="K306" s="186"/>
      <c r="L306" s="186"/>
      <c r="M306" s="186"/>
      <c r="N306" s="186"/>
      <c r="O306" s="186"/>
      <c r="P306" s="186"/>
      <c r="Q306" s="186"/>
    </row>
    <row r="307" spans="2:17" x14ac:dyDescent="0.35">
      <c r="B307" s="186"/>
      <c r="C307" s="186"/>
      <c r="D307" s="186"/>
      <c r="E307" s="186"/>
      <c r="F307" s="186"/>
      <c r="G307" s="186"/>
      <c r="H307" s="186"/>
      <c r="I307" s="186"/>
      <c r="J307" s="186"/>
      <c r="K307" s="186"/>
      <c r="L307" s="186"/>
      <c r="M307" s="186"/>
      <c r="N307" s="186"/>
      <c r="O307" s="186"/>
      <c r="P307" s="186"/>
      <c r="Q307" s="186"/>
    </row>
    <row r="308" spans="2:17" x14ac:dyDescent="0.35">
      <c r="B308" s="186"/>
      <c r="C308" s="186"/>
      <c r="D308" s="186"/>
      <c r="E308" s="186"/>
      <c r="F308" s="186"/>
      <c r="G308" s="186"/>
      <c r="H308" s="186"/>
      <c r="I308" s="186"/>
      <c r="J308" s="186"/>
      <c r="K308" s="186"/>
      <c r="L308" s="186"/>
      <c r="M308" s="186"/>
      <c r="N308" s="186"/>
      <c r="O308" s="186"/>
      <c r="P308" s="186"/>
      <c r="Q308" s="186"/>
    </row>
    <row r="309" spans="2:17" x14ac:dyDescent="0.35">
      <c r="B309" s="186"/>
      <c r="C309" s="186"/>
      <c r="D309" s="186"/>
      <c r="E309" s="186"/>
      <c r="F309" s="186"/>
      <c r="G309" s="186"/>
      <c r="H309" s="186"/>
      <c r="I309" s="186"/>
      <c r="J309" s="186"/>
      <c r="K309" s="186"/>
      <c r="L309" s="186"/>
      <c r="M309" s="186"/>
      <c r="N309" s="186"/>
      <c r="O309" s="186"/>
      <c r="P309" s="186"/>
      <c r="Q309" s="186"/>
    </row>
    <row r="310" spans="2:17" x14ac:dyDescent="0.35">
      <c r="B310" s="186"/>
      <c r="C310" s="186"/>
      <c r="D310" s="186"/>
      <c r="E310" s="186"/>
      <c r="F310" s="186"/>
      <c r="G310" s="186"/>
      <c r="H310" s="186"/>
      <c r="I310" s="186"/>
      <c r="J310" s="186"/>
      <c r="K310" s="186"/>
      <c r="L310" s="186"/>
      <c r="M310" s="186"/>
      <c r="N310" s="186"/>
      <c r="O310" s="186"/>
      <c r="P310" s="186"/>
      <c r="Q310" s="186"/>
    </row>
    <row r="311" spans="2:17" x14ac:dyDescent="0.35">
      <c r="B311" s="186"/>
      <c r="C311" s="186"/>
      <c r="D311" s="186"/>
      <c r="E311" s="186"/>
      <c r="F311" s="186"/>
      <c r="G311" s="186"/>
      <c r="H311" s="186"/>
      <c r="I311" s="186"/>
      <c r="J311" s="186"/>
      <c r="K311" s="186"/>
      <c r="L311" s="186"/>
      <c r="M311" s="186"/>
      <c r="N311" s="186"/>
      <c r="O311" s="186"/>
      <c r="P311" s="186"/>
      <c r="Q311" s="186"/>
    </row>
    <row r="312" spans="2:17" x14ac:dyDescent="0.35">
      <c r="B312" s="186"/>
      <c r="C312" s="186"/>
      <c r="D312" s="186"/>
      <c r="E312" s="186"/>
      <c r="F312" s="186"/>
      <c r="G312" s="186"/>
      <c r="H312" s="186"/>
      <c r="I312" s="186"/>
      <c r="J312" s="186"/>
      <c r="K312" s="186"/>
      <c r="L312" s="186"/>
      <c r="M312" s="186"/>
      <c r="N312" s="186"/>
      <c r="O312" s="186"/>
      <c r="P312" s="186"/>
      <c r="Q312" s="186"/>
    </row>
    <row r="313" spans="2:17" x14ac:dyDescent="0.35">
      <c r="B313" s="186"/>
      <c r="C313" s="186"/>
      <c r="D313" s="186"/>
      <c r="E313" s="186"/>
      <c r="F313" s="186"/>
      <c r="G313" s="186"/>
      <c r="H313" s="186"/>
      <c r="I313" s="186"/>
      <c r="J313" s="186"/>
      <c r="K313" s="186"/>
      <c r="L313" s="186"/>
      <c r="M313" s="186"/>
      <c r="N313" s="186"/>
      <c r="O313" s="186"/>
      <c r="P313" s="186"/>
      <c r="Q313" s="186"/>
    </row>
    <row r="314" spans="2:17" x14ac:dyDescent="0.35">
      <c r="B314" s="186"/>
      <c r="C314" s="186"/>
      <c r="D314" s="186"/>
      <c r="E314" s="186"/>
      <c r="F314" s="186"/>
      <c r="G314" s="186"/>
      <c r="H314" s="186"/>
      <c r="I314" s="186"/>
      <c r="J314" s="186"/>
      <c r="K314" s="186"/>
      <c r="L314" s="186"/>
      <c r="M314" s="186"/>
      <c r="N314" s="186"/>
      <c r="O314" s="186"/>
      <c r="P314" s="186"/>
      <c r="Q314" s="186"/>
    </row>
    <row r="315" spans="2:17" x14ac:dyDescent="0.35">
      <c r="B315" s="186"/>
      <c r="C315" s="186"/>
      <c r="D315" s="186"/>
      <c r="E315" s="186"/>
      <c r="F315" s="186"/>
      <c r="G315" s="186"/>
      <c r="H315" s="186"/>
      <c r="I315" s="186"/>
      <c r="J315" s="186"/>
      <c r="K315" s="186"/>
      <c r="L315" s="186"/>
      <c r="M315" s="186"/>
      <c r="N315" s="186"/>
      <c r="O315" s="186"/>
      <c r="P315" s="186"/>
      <c r="Q315" s="186"/>
    </row>
    <row r="316" spans="2:17" x14ac:dyDescent="0.35">
      <c r="B316" s="186"/>
      <c r="C316" s="186"/>
      <c r="D316" s="186"/>
      <c r="E316" s="186"/>
      <c r="F316" s="186"/>
      <c r="G316" s="186"/>
      <c r="H316" s="186"/>
      <c r="I316" s="186"/>
      <c r="J316" s="186"/>
      <c r="K316" s="186"/>
      <c r="L316" s="186"/>
      <c r="M316" s="186"/>
      <c r="N316" s="186"/>
      <c r="O316" s="186"/>
      <c r="P316" s="186"/>
      <c r="Q316" s="186"/>
    </row>
    <row r="317" spans="2:17" x14ac:dyDescent="0.35">
      <c r="B317" s="186"/>
      <c r="C317" s="186"/>
      <c r="D317" s="186"/>
      <c r="E317" s="186"/>
      <c r="F317" s="186"/>
      <c r="G317" s="186"/>
      <c r="H317" s="186"/>
      <c r="I317" s="186"/>
      <c r="J317" s="186"/>
      <c r="K317" s="186"/>
      <c r="L317" s="186"/>
      <c r="M317" s="186"/>
      <c r="N317" s="186"/>
      <c r="O317" s="186"/>
      <c r="P317" s="186"/>
      <c r="Q317" s="186"/>
    </row>
    <row r="318" spans="2:17" x14ac:dyDescent="0.35">
      <c r="B318" s="186"/>
      <c r="C318" s="186"/>
      <c r="D318" s="186"/>
      <c r="E318" s="186"/>
      <c r="F318" s="186"/>
      <c r="G318" s="186"/>
      <c r="H318" s="186"/>
      <c r="I318" s="186"/>
      <c r="J318" s="186"/>
      <c r="K318" s="186"/>
      <c r="L318" s="186"/>
      <c r="M318" s="186"/>
      <c r="N318" s="186"/>
      <c r="O318" s="186"/>
      <c r="P318" s="186"/>
      <c r="Q318" s="186"/>
    </row>
    <row r="319" spans="2:17" x14ac:dyDescent="0.35">
      <c r="B319" s="186"/>
      <c r="C319" s="186"/>
      <c r="D319" s="186"/>
      <c r="E319" s="186"/>
      <c r="F319" s="186"/>
      <c r="G319" s="186"/>
      <c r="H319" s="186"/>
      <c r="I319" s="186"/>
      <c r="J319" s="186"/>
      <c r="K319" s="186"/>
      <c r="L319" s="186"/>
      <c r="M319" s="186"/>
      <c r="N319" s="186"/>
      <c r="O319" s="186"/>
      <c r="P319" s="186"/>
      <c r="Q319" s="186"/>
    </row>
    <row r="320" spans="2:17" x14ac:dyDescent="0.35">
      <c r="B320" s="186"/>
      <c r="C320" s="186"/>
      <c r="D320" s="186"/>
      <c r="E320" s="186"/>
      <c r="F320" s="186"/>
      <c r="G320" s="186"/>
      <c r="H320" s="186"/>
      <c r="I320" s="186"/>
      <c r="J320" s="186"/>
      <c r="K320" s="186"/>
      <c r="L320" s="186"/>
      <c r="M320" s="186"/>
      <c r="N320" s="186"/>
      <c r="O320" s="186"/>
      <c r="P320" s="186"/>
      <c r="Q320" s="186"/>
    </row>
    <row r="321" spans="2:17" x14ac:dyDescent="0.35">
      <c r="B321" s="186"/>
      <c r="C321" s="186"/>
      <c r="D321" s="186"/>
      <c r="E321" s="186"/>
      <c r="F321" s="186"/>
      <c r="G321" s="186"/>
      <c r="H321" s="186"/>
      <c r="I321" s="186"/>
      <c r="J321" s="186"/>
      <c r="K321" s="186"/>
      <c r="L321" s="186"/>
      <c r="M321" s="186"/>
      <c r="N321" s="186"/>
      <c r="O321" s="186"/>
      <c r="P321" s="186"/>
      <c r="Q321" s="186"/>
    </row>
    <row r="322" spans="2:17" x14ac:dyDescent="0.35">
      <c r="B322" s="186"/>
      <c r="C322" s="186"/>
      <c r="D322" s="186"/>
      <c r="E322" s="186"/>
      <c r="F322" s="186"/>
      <c r="G322" s="186"/>
      <c r="H322" s="186"/>
      <c r="I322" s="186"/>
      <c r="J322" s="186"/>
      <c r="K322" s="186"/>
      <c r="L322" s="186"/>
      <c r="M322" s="186"/>
      <c r="N322" s="186"/>
      <c r="O322" s="186"/>
      <c r="P322" s="186"/>
      <c r="Q322" s="186"/>
    </row>
    <row r="323" spans="2:17" x14ac:dyDescent="0.35">
      <c r="B323" s="186"/>
      <c r="C323" s="186"/>
      <c r="D323" s="186"/>
      <c r="E323" s="186"/>
      <c r="F323" s="186"/>
      <c r="G323" s="186"/>
      <c r="H323" s="186"/>
      <c r="I323" s="186"/>
      <c r="J323" s="186"/>
      <c r="K323" s="186"/>
      <c r="L323" s="186"/>
      <c r="M323" s="186"/>
      <c r="N323" s="186"/>
      <c r="O323" s="186"/>
      <c r="P323" s="186"/>
      <c r="Q323" s="186"/>
    </row>
    <row r="324" spans="2:17" x14ac:dyDescent="0.35">
      <c r="B324" s="186"/>
      <c r="C324" s="186"/>
      <c r="D324" s="186"/>
      <c r="E324" s="186"/>
      <c r="F324" s="186"/>
      <c r="G324" s="186"/>
      <c r="H324" s="186"/>
      <c r="I324" s="186"/>
      <c r="J324" s="186"/>
      <c r="K324" s="186"/>
      <c r="L324" s="186"/>
      <c r="M324" s="186"/>
      <c r="N324" s="186"/>
      <c r="O324" s="186"/>
      <c r="P324" s="186"/>
      <c r="Q324" s="186"/>
    </row>
    <row r="325" spans="2:17" x14ac:dyDescent="0.35">
      <c r="B325" s="186"/>
      <c r="C325" s="186"/>
      <c r="D325" s="186"/>
      <c r="E325" s="186"/>
      <c r="F325" s="186"/>
      <c r="G325" s="186"/>
      <c r="H325" s="186"/>
      <c r="I325" s="186"/>
      <c r="J325" s="186"/>
      <c r="K325" s="186"/>
      <c r="L325" s="186"/>
      <c r="M325" s="186"/>
      <c r="N325" s="186"/>
      <c r="O325" s="186"/>
      <c r="P325" s="186"/>
      <c r="Q325" s="186"/>
    </row>
    <row r="326" spans="2:17" x14ac:dyDescent="0.35">
      <c r="B326" s="186"/>
      <c r="C326" s="186"/>
      <c r="D326" s="186"/>
      <c r="E326" s="186"/>
      <c r="F326" s="186"/>
      <c r="G326" s="186"/>
      <c r="H326" s="186"/>
      <c r="I326" s="186"/>
      <c r="J326" s="186"/>
      <c r="K326" s="186"/>
      <c r="L326" s="186"/>
      <c r="M326" s="186"/>
      <c r="N326" s="186"/>
      <c r="O326" s="186"/>
      <c r="P326" s="186"/>
      <c r="Q326" s="186"/>
    </row>
    <row r="327" spans="2:17" x14ac:dyDescent="0.35">
      <c r="B327" s="186"/>
      <c r="C327" s="186"/>
      <c r="D327" s="186"/>
      <c r="E327" s="186"/>
      <c r="F327" s="186"/>
      <c r="G327" s="186"/>
      <c r="H327" s="186"/>
      <c r="I327" s="186"/>
      <c r="J327" s="186"/>
      <c r="K327" s="186"/>
      <c r="L327" s="186"/>
      <c r="M327" s="186"/>
      <c r="N327" s="186"/>
      <c r="O327" s="186"/>
      <c r="P327" s="186"/>
      <c r="Q327" s="186"/>
    </row>
    <row r="328" spans="2:17" x14ac:dyDescent="0.35">
      <c r="B328" s="186"/>
      <c r="C328" s="186"/>
      <c r="D328" s="186"/>
      <c r="E328" s="186"/>
      <c r="F328" s="186"/>
      <c r="G328" s="186"/>
      <c r="H328" s="186"/>
      <c r="I328" s="186"/>
      <c r="J328" s="186"/>
      <c r="K328" s="186"/>
      <c r="L328" s="186"/>
      <c r="M328" s="186"/>
      <c r="N328" s="186"/>
      <c r="O328" s="186"/>
      <c r="P328" s="186"/>
      <c r="Q328" s="186"/>
    </row>
    <row r="329" spans="2:17" x14ac:dyDescent="0.35">
      <c r="B329" s="186"/>
      <c r="C329" s="186"/>
      <c r="D329" s="186"/>
      <c r="E329" s="186"/>
      <c r="F329" s="186"/>
      <c r="G329" s="186"/>
      <c r="H329" s="186"/>
      <c r="I329" s="186"/>
      <c r="J329" s="186"/>
      <c r="K329" s="186"/>
      <c r="L329" s="186"/>
      <c r="M329" s="186"/>
      <c r="N329" s="186"/>
      <c r="O329" s="186"/>
      <c r="P329" s="186"/>
      <c r="Q329" s="186"/>
    </row>
    <row r="330" spans="2:17" x14ac:dyDescent="0.35">
      <c r="B330" s="186"/>
      <c r="C330" s="186"/>
      <c r="D330" s="186"/>
      <c r="E330" s="186"/>
      <c r="F330" s="186"/>
      <c r="G330" s="186"/>
      <c r="H330" s="186"/>
      <c r="I330" s="186"/>
      <c r="J330" s="186"/>
      <c r="K330" s="186"/>
      <c r="L330" s="186"/>
      <c r="M330" s="186"/>
      <c r="N330" s="186"/>
      <c r="O330" s="186"/>
      <c r="P330" s="186"/>
      <c r="Q330" s="186"/>
    </row>
    <row r="331" spans="2:17" x14ac:dyDescent="0.35">
      <c r="B331" s="186"/>
      <c r="C331" s="186"/>
      <c r="D331" s="186"/>
      <c r="E331" s="186"/>
      <c r="F331" s="186"/>
      <c r="G331" s="186"/>
      <c r="H331" s="186"/>
      <c r="I331" s="186"/>
      <c r="J331" s="186"/>
      <c r="K331" s="186"/>
      <c r="L331" s="186"/>
      <c r="M331" s="186"/>
      <c r="N331" s="186"/>
      <c r="O331" s="186"/>
      <c r="P331" s="186"/>
      <c r="Q331" s="186"/>
    </row>
    <row r="332" spans="2:17" x14ac:dyDescent="0.35">
      <c r="B332" s="186"/>
      <c r="C332" s="186"/>
      <c r="D332" s="186"/>
      <c r="E332" s="186"/>
      <c r="F332" s="186"/>
      <c r="G332" s="186"/>
      <c r="H332" s="186"/>
      <c r="I332" s="186"/>
      <c r="J332" s="186"/>
      <c r="K332" s="186"/>
      <c r="L332" s="186"/>
      <c r="M332" s="186"/>
      <c r="N332" s="186"/>
      <c r="O332" s="186"/>
      <c r="P332" s="186"/>
      <c r="Q332" s="186"/>
    </row>
    <row r="333" spans="2:17" x14ac:dyDescent="0.35">
      <c r="B333" s="186"/>
      <c r="C333" s="186"/>
      <c r="D333" s="186"/>
      <c r="E333" s="186"/>
      <c r="F333" s="186"/>
      <c r="G333" s="186"/>
      <c r="H333" s="186"/>
      <c r="I333" s="186"/>
      <c r="J333" s="186"/>
      <c r="K333" s="186"/>
      <c r="L333" s="186"/>
      <c r="M333" s="186"/>
      <c r="N333" s="186"/>
      <c r="O333" s="186"/>
      <c r="P333" s="186"/>
      <c r="Q333" s="186"/>
    </row>
    <row r="334" spans="2:17" x14ac:dyDescent="0.35">
      <c r="B334" s="186"/>
      <c r="C334" s="186"/>
      <c r="D334" s="186"/>
      <c r="E334" s="186"/>
      <c r="F334" s="186"/>
      <c r="G334" s="186"/>
      <c r="H334" s="186"/>
      <c r="I334" s="186"/>
      <c r="J334" s="186"/>
      <c r="K334" s="186"/>
      <c r="L334" s="186"/>
      <c r="M334" s="186"/>
      <c r="N334" s="186"/>
      <c r="O334" s="186"/>
      <c r="P334" s="186"/>
      <c r="Q334" s="186"/>
    </row>
    <row r="335" spans="2:17" x14ac:dyDescent="0.35">
      <c r="B335" s="186"/>
      <c r="C335" s="186"/>
      <c r="D335" s="186"/>
      <c r="E335" s="186"/>
      <c r="F335" s="186"/>
      <c r="G335" s="186"/>
      <c r="H335" s="186"/>
      <c r="I335" s="186"/>
      <c r="J335" s="186"/>
      <c r="K335" s="186"/>
      <c r="L335" s="186"/>
      <c r="M335" s="186"/>
      <c r="N335" s="186"/>
      <c r="O335" s="186"/>
      <c r="P335" s="186"/>
      <c r="Q335" s="186"/>
    </row>
    <row r="336" spans="2:17" x14ac:dyDescent="0.35">
      <c r="B336" s="186"/>
      <c r="C336" s="186"/>
      <c r="D336" s="186"/>
      <c r="E336" s="186"/>
      <c r="F336" s="186"/>
      <c r="G336" s="186"/>
      <c r="H336" s="186"/>
      <c r="I336" s="186"/>
      <c r="J336" s="186"/>
      <c r="K336" s="186"/>
      <c r="L336" s="186"/>
      <c r="M336" s="186"/>
      <c r="N336" s="186"/>
      <c r="O336" s="186"/>
      <c r="P336" s="186"/>
      <c r="Q336" s="186"/>
    </row>
    <row r="337" spans="2:17" x14ac:dyDescent="0.35">
      <c r="B337" s="186"/>
      <c r="C337" s="186"/>
      <c r="D337" s="186"/>
      <c r="E337" s="186"/>
      <c r="F337" s="186"/>
      <c r="G337" s="186"/>
      <c r="H337" s="186"/>
      <c r="I337" s="186"/>
      <c r="J337" s="186"/>
      <c r="K337" s="186"/>
      <c r="L337" s="186"/>
      <c r="M337" s="186"/>
      <c r="N337" s="186"/>
      <c r="O337" s="186"/>
      <c r="P337" s="186"/>
      <c r="Q337" s="186"/>
    </row>
    <row r="338" spans="2:17" x14ac:dyDescent="0.35">
      <c r="B338" s="186"/>
      <c r="C338" s="186"/>
      <c r="D338" s="186"/>
      <c r="E338" s="186"/>
      <c r="F338" s="186"/>
      <c r="G338" s="186"/>
      <c r="H338" s="186"/>
      <c r="I338" s="186"/>
      <c r="J338" s="186"/>
      <c r="K338" s="186"/>
      <c r="L338" s="186"/>
      <c r="M338" s="186"/>
      <c r="N338" s="186"/>
      <c r="O338" s="186"/>
      <c r="P338" s="186"/>
      <c r="Q338" s="186"/>
    </row>
    <row r="339" spans="2:17" x14ac:dyDescent="0.35">
      <c r="B339" s="186"/>
      <c r="C339" s="186"/>
      <c r="D339" s="186"/>
      <c r="E339" s="186"/>
      <c r="F339" s="186"/>
      <c r="G339" s="186"/>
      <c r="H339" s="186"/>
      <c r="I339" s="186"/>
      <c r="J339" s="186"/>
      <c r="K339" s="186"/>
      <c r="L339" s="186"/>
      <c r="M339" s="186"/>
      <c r="N339" s="186"/>
      <c r="O339" s="186"/>
      <c r="P339" s="186"/>
      <c r="Q339" s="186"/>
    </row>
    <row r="340" spans="2:17" x14ac:dyDescent="0.35">
      <c r="B340" s="186"/>
      <c r="C340" s="186"/>
      <c r="D340" s="186"/>
      <c r="E340" s="186"/>
      <c r="F340" s="186"/>
      <c r="G340" s="186"/>
      <c r="H340" s="186"/>
      <c r="I340" s="186"/>
      <c r="J340" s="186"/>
      <c r="K340" s="186"/>
      <c r="L340" s="186"/>
      <c r="M340" s="186"/>
      <c r="N340" s="186"/>
      <c r="O340" s="186"/>
      <c r="P340" s="186"/>
      <c r="Q340" s="186"/>
    </row>
    <row r="341" spans="2:17" x14ac:dyDescent="0.35">
      <c r="B341" s="186"/>
      <c r="C341" s="186"/>
      <c r="D341" s="186"/>
      <c r="E341" s="186"/>
      <c r="F341" s="186"/>
      <c r="G341" s="186"/>
      <c r="H341" s="186"/>
      <c r="I341" s="186"/>
      <c r="J341" s="186"/>
      <c r="K341" s="186"/>
      <c r="L341" s="186"/>
      <c r="M341" s="186"/>
      <c r="N341" s="186"/>
      <c r="O341" s="186"/>
      <c r="P341" s="186"/>
      <c r="Q341" s="186"/>
    </row>
    <row r="342" spans="2:17" x14ac:dyDescent="0.35">
      <c r="B342" s="186"/>
      <c r="C342" s="186"/>
      <c r="D342" s="186"/>
      <c r="E342" s="186"/>
      <c r="F342" s="186"/>
      <c r="G342" s="186"/>
      <c r="H342" s="186"/>
      <c r="I342" s="186"/>
      <c r="J342" s="186"/>
      <c r="K342" s="186"/>
      <c r="L342" s="186"/>
      <c r="M342" s="186"/>
      <c r="N342" s="186"/>
      <c r="O342" s="186"/>
      <c r="P342" s="186"/>
      <c r="Q342" s="186"/>
    </row>
    <row r="343" spans="2:17" x14ac:dyDescent="0.35">
      <c r="B343" s="186"/>
      <c r="C343" s="186"/>
      <c r="D343" s="186"/>
      <c r="E343" s="186"/>
      <c r="F343" s="186"/>
      <c r="G343" s="186"/>
      <c r="H343" s="186"/>
      <c r="I343" s="186"/>
      <c r="J343" s="186"/>
      <c r="K343" s="186"/>
      <c r="L343" s="186"/>
      <c r="M343" s="186"/>
      <c r="N343" s="186"/>
      <c r="O343" s="186"/>
      <c r="P343" s="186"/>
      <c r="Q343" s="186"/>
    </row>
    <row r="344" spans="2:17" x14ac:dyDescent="0.35">
      <c r="B344" s="186"/>
      <c r="C344" s="186"/>
      <c r="D344" s="186"/>
      <c r="E344" s="186"/>
      <c r="F344" s="186"/>
      <c r="G344" s="186"/>
      <c r="H344" s="186"/>
      <c r="I344" s="186"/>
      <c r="J344" s="186"/>
      <c r="K344" s="186"/>
      <c r="L344" s="186"/>
      <c r="M344" s="186"/>
      <c r="N344" s="186"/>
      <c r="O344" s="186"/>
      <c r="P344" s="186"/>
      <c r="Q344" s="186"/>
    </row>
    <row r="345" spans="2:17" x14ac:dyDescent="0.35">
      <c r="B345" s="186"/>
      <c r="C345" s="186"/>
      <c r="D345" s="186"/>
      <c r="E345" s="186"/>
      <c r="F345" s="186"/>
      <c r="G345" s="186"/>
      <c r="H345" s="186"/>
      <c r="I345" s="186"/>
      <c r="J345" s="186"/>
      <c r="K345" s="186"/>
      <c r="L345" s="186"/>
    </row>
    <row r="346" spans="2:17" x14ac:dyDescent="0.35">
      <c r="B346" s="186"/>
      <c r="C346" s="186"/>
      <c r="D346" s="186"/>
      <c r="E346" s="186"/>
      <c r="F346" s="186"/>
      <c r="G346" s="186"/>
      <c r="H346" s="186"/>
      <c r="I346" s="186"/>
      <c r="J346" s="186"/>
      <c r="K346" s="186"/>
      <c r="L346" s="186"/>
    </row>
    <row r="347" spans="2:17" x14ac:dyDescent="0.35">
      <c r="B347" s="186"/>
      <c r="C347" s="186"/>
      <c r="D347" s="186"/>
      <c r="E347" s="186"/>
      <c r="F347" s="186"/>
      <c r="G347" s="186"/>
      <c r="H347" s="186"/>
      <c r="I347" s="186"/>
      <c r="J347" s="186"/>
      <c r="K347" s="186"/>
      <c r="L347" s="186"/>
    </row>
    <row r="348" spans="2:17" x14ac:dyDescent="0.35">
      <c r="B348" s="186"/>
      <c r="C348" s="186"/>
      <c r="D348" s="186"/>
      <c r="E348" s="186"/>
      <c r="F348" s="186"/>
      <c r="G348" s="186"/>
      <c r="H348" s="186"/>
      <c r="I348" s="186"/>
      <c r="J348" s="186"/>
      <c r="K348" s="186"/>
      <c r="L348" s="186"/>
    </row>
    <row r="349" spans="2:17" x14ac:dyDescent="0.35">
      <c r="B349" s="186"/>
      <c r="C349" s="186"/>
      <c r="D349" s="186"/>
      <c r="E349" s="186"/>
      <c r="F349" s="186"/>
      <c r="G349" s="186"/>
      <c r="H349" s="186"/>
      <c r="I349" s="186"/>
      <c r="J349" s="186"/>
      <c r="K349" s="186"/>
      <c r="L349" s="186"/>
    </row>
  </sheetData>
  <conditionalFormatting sqref="A41:G43 J41:XFD43 A44:XFD1048576">
    <cfRule type="cellIs" dxfId="10" priority="17" operator="lessThan">
      <formula>0</formula>
    </cfRule>
  </conditionalFormatting>
  <conditionalFormatting sqref="A1:XFD40">
    <cfRule type="cellIs" dxfId="9" priority="1" operator="lessThan">
      <formula>0</formula>
    </cfRule>
  </conditionalFormatting>
  <pageMargins left="0.7" right="0.7" top="0.75" bottom="0.75" header="0.3" footer="0.3"/>
  <pageSetup scale="3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D153E-E1A5-40A5-9ED8-5B13DB996B9B}">
  <sheetPr>
    <tabColor theme="4"/>
  </sheetPr>
  <dimension ref="A1:R349"/>
  <sheetViews>
    <sheetView workbookViewId="0"/>
  </sheetViews>
  <sheetFormatPr defaultRowHeight="14.5" outlineLevelRow="2" x14ac:dyDescent="0.35"/>
  <cols>
    <col min="1" max="1" width="3.1796875" customWidth="1"/>
    <col min="2" max="2" width="54.1796875" customWidth="1"/>
    <col min="3" max="3" width="19.7265625" customWidth="1"/>
    <col min="4" max="4" width="16.81640625" customWidth="1"/>
    <col min="5" max="12" width="17" customWidth="1"/>
    <col min="13" max="13" width="13.7265625" bestFit="1" customWidth="1"/>
    <col min="14" max="14" width="17.81640625" bestFit="1" customWidth="1"/>
    <col min="15" max="15" width="11.453125" bestFit="1" customWidth="1"/>
    <col min="17" max="18" width="10.81640625" bestFit="1" customWidth="1"/>
    <col min="19" max="19" width="11.81640625" bestFit="1" customWidth="1"/>
  </cols>
  <sheetData>
    <row r="1" spans="1:17" x14ac:dyDescent="0.35">
      <c r="A1" s="198" t="s">
        <v>97</v>
      </c>
      <c r="B1" s="199"/>
      <c r="C1" s="199"/>
      <c r="D1" s="199"/>
      <c r="E1" s="199"/>
      <c r="F1" s="199"/>
      <c r="G1" s="199"/>
      <c r="H1" s="199"/>
      <c r="I1" s="199"/>
      <c r="J1" s="199"/>
      <c r="K1" s="199"/>
      <c r="L1" s="199"/>
    </row>
    <row r="2" spans="1:17" ht="15" thickBot="1" x14ac:dyDescent="0.4">
      <c r="A2" s="184" t="s">
        <v>1</v>
      </c>
      <c r="B2" s="184"/>
      <c r="C2" s="184"/>
      <c r="D2" s="184"/>
      <c r="E2" s="184"/>
      <c r="F2" s="184"/>
      <c r="G2" s="184"/>
      <c r="H2" s="184"/>
      <c r="I2" s="184"/>
      <c r="J2" s="184"/>
      <c r="K2" s="184"/>
      <c r="L2" s="184"/>
      <c r="M2" s="185"/>
      <c r="N2" s="185"/>
      <c r="O2" s="186"/>
      <c r="P2" s="186"/>
      <c r="Q2" s="186"/>
    </row>
    <row r="3" spans="1:17" outlineLevel="1" x14ac:dyDescent="0.35">
      <c r="B3" s="187" t="s">
        <v>2</v>
      </c>
      <c r="C3" s="188" t="s">
        <v>3</v>
      </c>
      <c r="D3" s="187" t="s">
        <v>4</v>
      </c>
      <c r="E3" s="187" t="s">
        <v>5</v>
      </c>
      <c r="F3" s="187" t="s">
        <v>6</v>
      </c>
      <c r="G3" s="187" t="s">
        <v>7</v>
      </c>
      <c r="H3" s="189" t="s">
        <v>8</v>
      </c>
      <c r="I3" s="189" t="s">
        <v>9</v>
      </c>
      <c r="J3" s="189" t="s">
        <v>10</v>
      </c>
      <c r="K3" s="189" t="s">
        <v>11</v>
      </c>
      <c r="L3" s="189" t="s">
        <v>12</v>
      </c>
      <c r="M3" s="190"/>
      <c r="N3" s="186"/>
      <c r="O3" s="186"/>
      <c r="P3" s="186"/>
    </row>
    <row r="4" spans="1:17" outlineLevel="1" x14ac:dyDescent="0.35">
      <c r="B4" s="191">
        <f>F14</f>
        <v>10</v>
      </c>
      <c r="C4" s="192">
        <v>2500</v>
      </c>
      <c r="D4" s="193">
        <f>$F$16</f>
        <v>148464.20000000001</v>
      </c>
      <c r="E4" s="194">
        <f>$F$84</f>
        <v>56345</v>
      </c>
      <c r="F4" s="194">
        <f>$F$107</f>
        <v>92119.200000000012</v>
      </c>
      <c r="G4" s="363">
        <f>$F$98</f>
        <v>44539.26</v>
      </c>
      <c r="H4" s="170">
        <f>$F$108</f>
        <v>47579.94000000001</v>
      </c>
      <c r="I4" s="170">
        <f>$F$101</f>
        <v>26703.457660000004</v>
      </c>
      <c r="J4" s="170">
        <f>$F$102</f>
        <v>4767.5773817640011</v>
      </c>
      <c r="K4" s="170">
        <f>F4-G4-I4-J4</f>
        <v>16108.904958236006</v>
      </c>
      <c r="L4" s="195">
        <f>K4/D4</f>
        <v>0.10850363224424477</v>
      </c>
      <c r="M4" s="196"/>
      <c r="N4" s="186"/>
      <c r="O4" s="186"/>
      <c r="P4" s="197"/>
    </row>
    <row r="5" spans="1:17" x14ac:dyDescent="0.35">
      <c r="B5" s="211"/>
      <c r="C5" s="192"/>
      <c r="D5" s="201"/>
      <c r="E5" s="202"/>
      <c r="F5" s="203"/>
      <c r="G5" s="204"/>
      <c r="H5" s="204"/>
      <c r="I5" s="204"/>
      <c r="J5" s="205"/>
      <c r="K5" s="206"/>
      <c r="L5" s="206"/>
      <c r="M5" s="207"/>
      <c r="N5" s="196"/>
      <c r="O5" s="186"/>
      <c r="P5" s="208"/>
      <c r="Q5" s="186"/>
    </row>
    <row r="6" spans="1:17" ht="15" thickBot="1" x14ac:dyDescent="0.4">
      <c r="A6" s="184" t="s">
        <v>13</v>
      </c>
      <c r="B6" s="184"/>
      <c r="C6" s="184"/>
      <c r="D6" s="184"/>
      <c r="E6" s="184"/>
      <c r="F6" s="184"/>
      <c r="G6" s="184"/>
      <c r="H6" s="184"/>
      <c r="I6" s="184"/>
      <c r="J6" s="184"/>
      <c r="K6" s="184"/>
      <c r="L6" s="184"/>
      <c r="M6" s="185"/>
      <c r="N6" s="185"/>
      <c r="O6" s="186"/>
      <c r="P6" s="186"/>
      <c r="Q6" s="186"/>
    </row>
    <row r="7" spans="1:17" outlineLevel="1" x14ac:dyDescent="0.35">
      <c r="A7" s="212"/>
      <c r="B7" s="187" t="s">
        <v>14</v>
      </c>
      <c r="C7" s="188" t="s">
        <v>15</v>
      </c>
      <c r="D7" s="187" t="s">
        <v>16</v>
      </c>
      <c r="E7" s="188" t="s">
        <v>17</v>
      </c>
      <c r="F7" s="187" t="s">
        <v>18</v>
      </c>
      <c r="G7" s="187"/>
      <c r="H7" s="189"/>
      <c r="I7" s="189"/>
      <c r="J7" s="189"/>
      <c r="K7" s="189"/>
      <c r="L7" s="189"/>
      <c r="M7" s="185"/>
      <c r="N7" s="185"/>
      <c r="O7" s="186"/>
      <c r="P7" s="186"/>
      <c r="Q7" s="186"/>
    </row>
    <row r="8" spans="1:17" outlineLevel="1" x14ac:dyDescent="0.35">
      <c r="A8" s="212"/>
      <c r="B8" s="360" t="s">
        <v>19</v>
      </c>
      <c r="C8" s="391">
        <v>17289.12</v>
      </c>
      <c r="D8" s="195">
        <v>1.4E-2</v>
      </c>
      <c r="E8" s="391">
        <f>C8+(C8*D8)</f>
        <v>17531.167679999999</v>
      </c>
      <c r="F8" s="383"/>
      <c r="G8" s="383"/>
      <c r="H8" s="212"/>
      <c r="I8" s="212"/>
      <c r="J8" s="212"/>
      <c r="K8" s="212"/>
      <c r="L8" s="212"/>
      <c r="M8" s="185"/>
      <c r="N8" s="185"/>
      <c r="O8" s="186"/>
      <c r="P8" s="186"/>
      <c r="Q8" s="186"/>
    </row>
    <row r="9" spans="1:17" outlineLevel="1" x14ac:dyDescent="0.35">
      <c r="B9" s="360" t="s">
        <v>20</v>
      </c>
      <c r="C9" s="192">
        <v>14414</v>
      </c>
      <c r="D9" s="195">
        <v>0.03</v>
      </c>
      <c r="E9" s="391">
        <f>C9+(C9*D9)</f>
        <v>14846.42</v>
      </c>
      <c r="F9" s="194">
        <f>E9-C9</f>
        <v>432.42000000000007</v>
      </c>
      <c r="G9" s="363"/>
      <c r="H9" s="170"/>
      <c r="I9" s="170"/>
      <c r="J9" s="170"/>
      <c r="K9" s="170"/>
      <c r="L9" s="195"/>
      <c r="M9" s="207"/>
      <c r="N9" s="196"/>
      <c r="O9" s="186"/>
      <c r="P9" s="208"/>
      <c r="Q9" s="186"/>
    </row>
    <row r="10" spans="1:17" outlineLevel="1" x14ac:dyDescent="0.35">
      <c r="B10" s="322" t="s">
        <v>21</v>
      </c>
      <c r="C10" s="192">
        <v>13759</v>
      </c>
      <c r="D10" s="195">
        <v>0.03</v>
      </c>
      <c r="E10" s="391">
        <f>C10+(C10*D10)</f>
        <v>14171.77</v>
      </c>
      <c r="F10" s="194">
        <f t="shared" ref="F10:F11" si="0">E10-C10</f>
        <v>412.77000000000044</v>
      </c>
      <c r="G10" s="363"/>
      <c r="H10" s="170"/>
      <c r="I10" s="170"/>
      <c r="J10" s="170"/>
      <c r="K10" s="170"/>
      <c r="L10" s="195"/>
      <c r="M10" s="207"/>
      <c r="N10" s="196"/>
      <c r="O10" s="186"/>
      <c r="P10" s="208"/>
      <c r="Q10" s="186"/>
    </row>
    <row r="11" spans="1:17" outlineLevel="1" x14ac:dyDescent="0.35">
      <c r="B11" s="322" t="s">
        <v>22</v>
      </c>
      <c r="C11" s="192">
        <v>12759</v>
      </c>
      <c r="D11" s="195">
        <v>0.05</v>
      </c>
      <c r="E11" s="391">
        <f t="shared" ref="E11" si="1">C11+(C11*D11)</f>
        <v>13396.95</v>
      </c>
      <c r="F11" s="194">
        <f t="shared" si="0"/>
        <v>637.95000000000073</v>
      </c>
      <c r="G11" s="363"/>
      <c r="H11" s="170"/>
      <c r="I11" s="170"/>
      <c r="J11" s="170"/>
      <c r="K11" s="170"/>
      <c r="L11" s="195"/>
      <c r="M11" s="207"/>
      <c r="N11" s="196"/>
      <c r="O11" s="186"/>
      <c r="P11" s="208"/>
      <c r="Q11" s="186"/>
    </row>
    <row r="12" spans="1:17" s="212" customFormat="1" x14ac:dyDescent="0.35">
      <c r="B12" s="221"/>
      <c r="C12" s="222"/>
      <c r="D12" s="223"/>
      <c r="E12" s="224"/>
      <c r="F12" s="225"/>
      <c r="G12" s="225"/>
      <c r="H12" s="225"/>
      <c r="I12" s="204"/>
      <c r="J12" s="226"/>
      <c r="K12" s="196"/>
      <c r="L12" s="196"/>
      <c r="M12" s="227"/>
      <c r="N12" s="196"/>
      <c r="O12" s="228"/>
      <c r="P12" s="229"/>
      <c r="Q12" s="228"/>
    </row>
    <row r="13" spans="1:17" ht="15" thickBot="1" x14ac:dyDescent="0.4">
      <c r="A13" s="184" t="s">
        <v>23</v>
      </c>
      <c r="B13" s="184"/>
      <c r="C13" s="184"/>
      <c r="D13" s="184"/>
      <c r="E13" s="184"/>
      <c r="F13" s="184"/>
      <c r="G13" s="184"/>
      <c r="H13" s="184"/>
      <c r="I13" s="184"/>
      <c r="J13" s="184"/>
      <c r="K13" s="184"/>
      <c r="L13" s="184"/>
      <c r="M13" s="185"/>
      <c r="N13" s="185"/>
      <c r="O13" s="186"/>
      <c r="P13" s="186"/>
      <c r="Q13" s="186"/>
    </row>
    <row r="14" spans="1:17" outlineLevel="1" x14ac:dyDescent="0.35">
      <c r="A14" s="212"/>
      <c r="B14" t="s">
        <v>27</v>
      </c>
      <c r="C14" s="212"/>
      <c r="D14" s="212"/>
      <c r="E14" s="202">
        <v>8</v>
      </c>
      <c r="F14">
        <v>10</v>
      </c>
      <c r="G14">
        <v>13</v>
      </c>
      <c r="H14">
        <v>20</v>
      </c>
      <c r="I14" s="212"/>
      <c r="J14" s="212"/>
      <c r="K14" s="212"/>
      <c r="L14" s="212"/>
      <c r="M14" s="185"/>
      <c r="N14" s="185"/>
      <c r="O14" s="186"/>
      <c r="P14" s="186"/>
      <c r="Q14" s="186"/>
    </row>
    <row r="15" spans="1:17" ht="15" outlineLevel="1" thickBot="1" x14ac:dyDescent="0.4">
      <c r="A15" s="213"/>
      <c r="B15" s="214" t="s">
        <v>28</v>
      </c>
      <c r="C15" s="215"/>
      <c r="D15" s="215"/>
      <c r="E15" s="217">
        <f>E8</f>
        <v>17531.167679999999</v>
      </c>
      <c r="F15" s="217">
        <f>E9</f>
        <v>14846.42</v>
      </c>
      <c r="G15" s="217">
        <f>E10</f>
        <v>14171.77</v>
      </c>
      <c r="H15" s="217">
        <f>E11</f>
        <v>13396.95</v>
      </c>
      <c r="I15" s="218"/>
      <c r="J15" s="219"/>
      <c r="K15" s="220"/>
      <c r="L15" s="220"/>
      <c r="M15" s="207"/>
      <c r="N15" s="196"/>
      <c r="O15" s="186"/>
      <c r="P15" s="208"/>
      <c r="Q15" s="186"/>
    </row>
    <row r="16" spans="1:17" s="212" customFormat="1" ht="15" thickTop="1" x14ac:dyDescent="0.35">
      <c r="A16" s="212" t="s">
        <v>29</v>
      </c>
      <c r="B16" s="221"/>
      <c r="C16" s="222"/>
      <c r="D16" s="222"/>
      <c r="E16" s="362">
        <f>E14*E15</f>
        <v>140249.34143999999</v>
      </c>
      <c r="F16" s="362">
        <f>F14*F15</f>
        <v>148464.20000000001</v>
      </c>
      <c r="G16" s="364">
        <f>G15*G14</f>
        <v>184233.01</v>
      </c>
      <c r="H16" s="362">
        <f>H14*H15</f>
        <v>267939</v>
      </c>
      <c r="I16" s="204"/>
      <c r="J16" s="226"/>
      <c r="K16" s="196"/>
      <c r="L16" s="196"/>
      <c r="M16" s="227"/>
      <c r="N16" s="196"/>
      <c r="O16" s="228"/>
      <c r="P16" s="229"/>
      <c r="Q16" s="228"/>
    </row>
    <row r="17" spans="1:17" s="212" customFormat="1" x14ac:dyDescent="0.35">
      <c r="B17" s="221"/>
      <c r="C17" s="222"/>
      <c r="D17" s="223"/>
      <c r="E17" s="224"/>
      <c r="F17" s="225"/>
      <c r="G17" s="225"/>
      <c r="H17" s="225"/>
      <c r="I17" s="204"/>
      <c r="J17" s="226"/>
      <c r="K17" s="196"/>
      <c r="L17" s="196"/>
      <c r="M17" s="227"/>
      <c r="N17" s="196"/>
      <c r="O17" s="228"/>
      <c r="P17" s="229"/>
      <c r="Q17" s="228"/>
    </row>
    <row r="18" spans="1:17" ht="15" thickBot="1" x14ac:dyDescent="0.4">
      <c r="A18" s="184" t="s">
        <v>98</v>
      </c>
      <c r="B18" s="184"/>
      <c r="C18" s="184"/>
      <c r="D18" s="184"/>
      <c r="E18" s="184"/>
      <c r="F18" s="184"/>
      <c r="G18" s="184"/>
      <c r="H18" s="184"/>
      <c r="I18" s="184"/>
      <c r="J18" s="184"/>
      <c r="K18" s="184"/>
      <c r="L18" s="184"/>
      <c r="M18" s="185"/>
      <c r="N18" s="185"/>
      <c r="O18" s="186"/>
      <c r="P18" s="186"/>
      <c r="Q18" s="186"/>
    </row>
    <row r="19" spans="1:17" outlineLevel="1" x14ac:dyDescent="0.35">
      <c r="A19" s="212"/>
      <c r="B19" t="s">
        <v>27</v>
      </c>
      <c r="C19" s="212"/>
      <c r="D19" s="212"/>
      <c r="E19" s="202">
        <f>E14</f>
        <v>8</v>
      </c>
      <c r="F19" s="202">
        <f t="shared" ref="F19:H19" si="2">F14</f>
        <v>10</v>
      </c>
      <c r="G19" s="202">
        <f t="shared" si="2"/>
        <v>13</v>
      </c>
      <c r="H19" s="202">
        <f t="shared" si="2"/>
        <v>20</v>
      </c>
      <c r="I19" s="212"/>
      <c r="J19" s="212"/>
      <c r="K19" s="212"/>
      <c r="L19" s="212"/>
      <c r="M19" s="185"/>
      <c r="N19" s="185"/>
      <c r="O19" s="186"/>
      <c r="P19" s="186"/>
      <c r="Q19" s="186"/>
    </row>
    <row r="20" spans="1:17" ht="15" outlineLevel="1" thickBot="1" x14ac:dyDescent="0.4">
      <c r="A20" s="213"/>
      <c r="B20" s="214" t="s">
        <v>99</v>
      </c>
      <c r="C20" s="215"/>
      <c r="D20" s="215"/>
      <c r="E20" s="217">
        <f>$G$44+E60+E65+E69+(E75*(1/3))+E83+E98+E103</f>
        <v>102151.30802849556</v>
      </c>
      <c r="F20" s="217">
        <f t="shared" ref="F20:H20" si="3">$G$44+F60+F65+F69+(F75*(1/3))+F83+F98+F103</f>
        <v>106900.29504176401</v>
      </c>
      <c r="G20" s="217">
        <f t="shared" si="3"/>
        <v>123884.54855490419</v>
      </c>
      <c r="H20" s="217">
        <f t="shared" si="3"/>
        <v>163617.69394637999</v>
      </c>
      <c r="I20" s="218"/>
      <c r="J20" s="219"/>
      <c r="K20" s="220"/>
      <c r="L20" s="220"/>
      <c r="M20" s="207"/>
      <c r="N20" s="196"/>
      <c r="O20" s="186"/>
      <c r="P20" s="208"/>
      <c r="Q20" s="186"/>
    </row>
    <row r="21" spans="1:17" s="212" customFormat="1" ht="15" thickTop="1" x14ac:dyDescent="0.35">
      <c r="A21" s="212" t="s">
        <v>100</v>
      </c>
      <c r="B21" s="221"/>
      <c r="C21" s="222"/>
      <c r="D21" s="222"/>
      <c r="E21" s="362">
        <f>E20/E19</f>
        <v>12768.913503561946</v>
      </c>
      <c r="F21" s="362">
        <f t="shared" ref="F21:H21" si="4">F20/F19</f>
        <v>10690.0295041764</v>
      </c>
      <c r="G21" s="362">
        <f t="shared" si="4"/>
        <v>9529.5806580695535</v>
      </c>
      <c r="H21" s="362">
        <f t="shared" si="4"/>
        <v>8180.8846973189993</v>
      </c>
      <c r="I21" s="204"/>
      <c r="J21" s="226"/>
      <c r="K21" s="196"/>
      <c r="L21" s="196"/>
      <c r="M21" s="227"/>
      <c r="N21" s="196"/>
      <c r="O21" s="228"/>
      <c r="P21" s="229"/>
      <c r="Q21" s="228"/>
    </row>
    <row r="22" spans="1:17" x14ac:dyDescent="0.35">
      <c r="B22" s="211"/>
      <c r="C22" s="192"/>
      <c r="D22" s="201"/>
      <c r="E22" s="230"/>
      <c r="F22" s="203"/>
      <c r="G22" s="204"/>
      <c r="H22" s="204"/>
      <c r="I22" s="204"/>
      <c r="J22" s="205"/>
      <c r="K22" s="206"/>
      <c r="L22" s="206"/>
      <c r="M22" s="207"/>
      <c r="N22" s="196"/>
      <c r="O22" s="186"/>
      <c r="P22" s="208"/>
      <c r="Q22" s="186"/>
    </row>
    <row r="23" spans="1:17" ht="15" thickBot="1" x14ac:dyDescent="0.4">
      <c r="A23" s="184" t="s">
        <v>101</v>
      </c>
      <c r="B23" s="184"/>
      <c r="C23" s="184"/>
      <c r="D23" s="184"/>
      <c r="E23" s="184"/>
      <c r="F23" s="184"/>
      <c r="G23" s="184"/>
      <c r="H23" s="184"/>
      <c r="I23" s="184"/>
      <c r="J23" s="184"/>
      <c r="K23" s="184"/>
      <c r="L23" s="184"/>
      <c r="M23" s="185"/>
      <c r="N23" s="185"/>
      <c r="O23" s="186"/>
      <c r="P23" s="186"/>
      <c r="Q23" s="186"/>
    </row>
    <row r="24" spans="1:17" outlineLevel="1" x14ac:dyDescent="0.35">
      <c r="A24" s="212"/>
      <c r="B24" t="s">
        <v>27</v>
      </c>
      <c r="C24" s="212"/>
      <c r="D24" s="212"/>
      <c r="E24" s="202">
        <f>E14</f>
        <v>8</v>
      </c>
      <c r="F24" s="202">
        <f t="shared" ref="F24:H24" si="5">F14</f>
        <v>10</v>
      </c>
      <c r="G24" s="202">
        <f t="shared" si="5"/>
        <v>13</v>
      </c>
      <c r="H24" s="202">
        <f t="shared" si="5"/>
        <v>20</v>
      </c>
      <c r="I24" s="212"/>
      <c r="J24" s="212"/>
      <c r="K24" s="212"/>
      <c r="L24" s="212"/>
      <c r="M24" s="185"/>
      <c r="N24" s="185"/>
      <c r="O24" s="186"/>
      <c r="P24" s="186"/>
      <c r="Q24" s="186"/>
    </row>
    <row r="25" spans="1:17" ht="15" outlineLevel="1" thickBot="1" x14ac:dyDescent="0.4">
      <c r="A25" s="213"/>
      <c r="B25" s="214" t="s">
        <v>102</v>
      </c>
      <c r="C25" s="215"/>
      <c r="D25" s="215"/>
      <c r="E25" s="217">
        <f>E39+E52+(E75*(1/3))</f>
        <v>21287</v>
      </c>
      <c r="F25" s="217">
        <f t="shared" ref="F25:H25" si="6">F39+F52+(F75*(2/3))</f>
        <v>25455</v>
      </c>
      <c r="G25" s="217">
        <f t="shared" si="6"/>
        <v>29979</v>
      </c>
      <c r="H25" s="217">
        <f t="shared" si="6"/>
        <v>40535</v>
      </c>
      <c r="I25" s="218"/>
      <c r="J25" s="219"/>
      <c r="K25" s="220"/>
      <c r="L25" s="220"/>
      <c r="M25" s="207"/>
      <c r="N25" s="196"/>
      <c r="O25" s="186"/>
      <c r="P25" s="208"/>
      <c r="Q25" s="186"/>
    </row>
    <row r="26" spans="1:17" s="212" customFormat="1" ht="15" thickTop="1" x14ac:dyDescent="0.35">
      <c r="A26" s="212" t="s">
        <v>103</v>
      </c>
      <c r="B26" s="221"/>
      <c r="C26" s="223"/>
      <c r="D26" s="222"/>
      <c r="E26" s="385">
        <f>E25/E24</f>
        <v>2660.875</v>
      </c>
      <c r="F26" s="385">
        <f t="shared" ref="F26:H26" si="7">F25/F24</f>
        <v>2545.5</v>
      </c>
      <c r="G26" s="385">
        <f t="shared" si="7"/>
        <v>2306.0769230769229</v>
      </c>
      <c r="H26" s="385">
        <f t="shared" si="7"/>
        <v>2026.75</v>
      </c>
      <c r="I26" s="204"/>
      <c r="J26" s="226"/>
      <c r="K26" s="196"/>
      <c r="L26" s="196"/>
      <c r="M26" s="227"/>
      <c r="N26" s="196"/>
      <c r="O26" s="228"/>
      <c r="P26" s="229"/>
      <c r="Q26" s="228"/>
    </row>
    <row r="27" spans="1:17" s="212" customFormat="1" x14ac:dyDescent="0.35">
      <c r="B27" s="221"/>
      <c r="C27" s="223"/>
      <c r="D27" s="222"/>
      <c r="E27" s="385"/>
      <c r="F27" s="385"/>
      <c r="G27" s="385"/>
      <c r="H27" s="385"/>
      <c r="I27" s="204"/>
      <c r="J27" s="226"/>
      <c r="K27" s="196"/>
      <c r="L27" s="196"/>
      <c r="M27" s="227"/>
      <c r="N27" s="196"/>
      <c r="O27" s="228"/>
      <c r="P27" s="229"/>
      <c r="Q27" s="228"/>
    </row>
    <row r="28" spans="1:17" ht="15" thickBot="1" x14ac:dyDescent="0.4">
      <c r="A28" s="184" t="s">
        <v>104</v>
      </c>
      <c r="B28" s="184"/>
      <c r="C28" s="184"/>
      <c r="D28" s="184"/>
      <c r="E28" s="184"/>
      <c r="F28" s="184"/>
      <c r="G28" s="184"/>
      <c r="H28" s="184"/>
      <c r="I28" s="184"/>
      <c r="J28" s="184"/>
      <c r="K28" s="184"/>
      <c r="L28" s="184"/>
      <c r="M28" s="185"/>
      <c r="N28" s="185"/>
      <c r="O28" s="186"/>
      <c r="P28" s="186"/>
      <c r="Q28" s="186"/>
    </row>
    <row r="29" spans="1:17" outlineLevel="1" x14ac:dyDescent="0.35">
      <c r="A29" s="212"/>
      <c r="B29" t="s">
        <v>27</v>
      </c>
      <c r="C29" s="212"/>
      <c r="D29" s="212"/>
      <c r="E29" s="202">
        <f>E19</f>
        <v>8</v>
      </c>
      <c r="F29" s="202">
        <f t="shared" ref="F29:H29" si="8">F19</f>
        <v>10</v>
      </c>
      <c r="G29" s="202">
        <f t="shared" si="8"/>
        <v>13</v>
      </c>
      <c r="H29" s="202">
        <f t="shared" si="8"/>
        <v>20</v>
      </c>
      <c r="I29" s="212"/>
      <c r="J29" s="212"/>
      <c r="K29" s="212"/>
      <c r="L29" s="212"/>
      <c r="M29" s="185"/>
      <c r="N29" s="185"/>
      <c r="O29" s="186"/>
      <c r="P29" s="186"/>
      <c r="Q29" s="186"/>
    </row>
    <row r="30" spans="1:17" x14ac:dyDescent="0.35">
      <c r="B30" s="211" t="s">
        <v>105</v>
      </c>
      <c r="C30" s="384">
        <v>0.34100000000000003</v>
      </c>
      <c r="D30" s="192"/>
      <c r="E30" s="386">
        <f>E25*$C$30</f>
        <v>7258.8670000000002</v>
      </c>
      <c r="F30" s="386">
        <f t="shared" ref="F30:H30" si="9">F25*$C$30</f>
        <v>8680.1550000000007</v>
      </c>
      <c r="G30" s="386">
        <f t="shared" si="9"/>
        <v>10222.839</v>
      </c>
      <c r="H30" s="386">
        <f t="shared" si="9"/>
        <v>13822.435000000001</v>
      </c>
      <c r="I30" s="387"/>
      <c r="J30" s="205"/>
      <c r="K30" s="206"/>
      <c r="L30" s="206"/>
      <c r="M30" s="207"/>
      <c r="N30" s="206"/>
      <c r="O30" s="186"/>
      <c r="P30" s="208"/>
      <c r="Q30" s="186"/>
    </row>
    <row r="31" spans="1:17" x14ac:dyDescent="0.35">
      <c r="B31" s="211" t="s">
        <v>106</v>
      </c>
      <c r="C31" s="384">
        <v>4.5400000000000003E-2</v>
      </c>
      <c r="D31" s="192"/>
      <c r="E31" s="386">
        <f>$C$31*E25+$C$31*E30</f>
        <v>1295.9823618</v>
      </c>
      <c r="F31" s="386">
        <f>$C$31*F25+$C$31*F30</f>
        <v>1549.7360370000001</v>
      </c>
      <c r="G31" s="386">
        <f>$C$31*G25+$C$31*G30</f>
        <v>1825.1634906000002</v>
      </c>
      <c r="H31" s="386">
        <f>$C$31*H25+$C$31*H30</f>
        <v>2467.8275490000005</v>
      </c>
      <c r="I31" s="387"/>
      <c r="J31" s="205"/>
      <c r="K31" s="206"/>
      <c r="L31" s="206"/>
      <c r="M31" s="207"/>
      <c r="N31" s="206"/>
      <c r="O31" s="186"/>
      <c r="P31" s="208"/>
      <c r="Q31" s="186"/>
    </row>
    <row r="32" spans="1:17" ht="15" thickBot="1" x14ac:dyDescent="0.4">
      <c r="B32" s="211"/>
      <c r="C32" s="192"/>
      <c r="D32" s="201"/>
      <c r="E32" s="230"/>
      <c r="F32" s="203"/>
      <c r="G32" s="204"/>
      <c r="H32" s="204"/>
      <c r="I32" s="204"/>
      <c r="J32" s="205"/>
      <c r="K32" s="206"/>
      <c r="L32" s="206"/>
      <c r="M32" s="207"/>
      <c r="N32" s="196"/>
      <c r="O32" s="186"/>
      <c r="P32" s="208"/>
      <c r="Q32" s="186"/>
    </row>
    <row r="33" spans="1:17" ht="15.5" thickTop="1" thickBot="1" x14ac:dyDescent="0.4">
      <c r="A33" s="184" t="s">
        <v>46</v>
      </c>
      <c r="B33" s="231"/>
      <c r="C33" s="231"/>
      <c r="D33" s="231"/>
      <c r="E33" s="231"/>
      <c r="F33" s="231"/>
      <c r="G33" s="231"/>
      <c r="H33" s="231"/>
      <c r="I33" s="231"/>
      <c r="J33" s="231"/>
      <c r="K33" s="232" t="s">
        <v>24</v>
      </c>
      <c r="L33" s="233"/>
      <c r="M33" s="228"/>
      <c r="N33" s="228"/>
      <c r="O33" s="186"/>
      <c r="P33" s="186"/>
      <c r="Q33" s="234"/>
    </row>
    <row r="34" spans="1:17" outlineLevel="1" x14ac:dyDescent="0.35">
      <c r="B34" s="382" t="s">
        <v>32</v>
      </c>
      <c r="C34" s="369" t="s">
        <v>33</v>
      </c>
      <c r="D34" s="369" t="s">
        <v>34</v>
      </c>
      <c r="E34" s="369" t="str">
        <f>_xlfn.CONCAT("Total Cost for ",E$14)</f>
        <v>Total Cost for 8</v>
      </c>
      <c r="F34" s="369" t="str">
        <f>_xlfn.CONCAT("Total Cost for ",F$14)</f>
        <v>Total Cost for 10</v>
      </c>
      <c r="G34" s="369" t="str">
        <f>_xlfn.CONCAT("Total Cost for ",G$14)</f>
        <v>Total Cost for 13</v>
      </c>
      <c r="H34" s="369" t="str">
        <f>_xlfn.CONCAT("Total Cost for ",H$14)</f>
        <v>Total Cost for 20</v>
      </c>
      <c r="I34" s="257"/>
      <c r="J34" s="237"/>
      <c r="K34" s="238" t="s">
        <v>25</v>
      </c>
      <c r="L34" s="239" t="s">
        <v>26</v>
      </c>
      <c r="M34" s="13"/>
      <c r="N34" s="186"/>
      <c r="O34" s="186"/>
    </row>
    <row r="35" spans="1:17" outlineLevel="2" x14ac:dyDescent="0.35">
      <c r="B35" s="370" t="s">
        <v>35</v>
      </c>
      <c r="C35" s="380">
        <v>3375</v>
      </c>
      <c r="D35" s="380">
        <v>0</v>
      </c>
      <c r="E35" s="380">
        <f t="shared" ref="E35:H38" si="10">$C35+$D35*E$14</f>
        <v>3375</v>
      </c>
      <c r="F35" s="380">
        <f t="shared" si="10"/>
        <v>3375</v>
      </c>
      <c r="G35" s="380">
        <f t="shared" si="10"/>
        <v>3375</v>
      </c>
      <c r="H35" s="380">
        <f t="shared" si="10"/>
        <v>3375</v>
      </c>
      <c r="I35" s="203"/>
      <c r="J35" s="240"/>
      <c r="K35" s="243"/>
      <c r="L35" s="244"/>
      <c r="M35" s="13"/>
      <c r="N35" s="186"/>
      <c r="O35" s="186"/>
    </row>
    <row r="36" spans="1:17" outlineLevel="2" x14ac:dyDescent="0.35">
      <c r="B36" s="370" t="s">
        <v>36</v>
      </c>
      <c r="C36" s="380">
        <v>0</v>
      </c>
      <c r="D36" s="380">
        <v>300</v>
      </c>
      <c r="E36" s="380">
        <f t="shared" si="10"/>
        <v>2400</v>
      </c>
      <c r="F36" s="380">
        <f t="shared" si="10"/>
        <v>3000</v>
      </c>
      <c r="G36" s="380">
        <f t="shared" si="10"/>
        <v>3900</v>
      </c>
      <c r="H36" s="380">
        <f t="shared" si="10"/>
        <v>6000</v>
      </c>
      <c r="I36" s="203"/>
      <c r="J36" s="203"/>
      <c r="K36" s="258"/>
      <c r="L36" s="259"/>
      <c r="M36" s="13"/>
      <c r="N36" s="186"/>
      <c r="O36" s="186"/>
    </row>
    <row r="37" spans="1:17" outlineLevel="2" x14ac:dyDescent="0.35">
      <c r="B37" s="370" t="s">
        <v>37</v>
      </c>
      <c r="C37" s="380">
        <v>0</v>
      </c>
      <c r="D37" s="380">
        <v>325</v>
      </c>
      <c r="E37" s="380">
        <f t="shared" si="10"/>
        <v>2600</v>
      </c>
      <c r="F37" s="380">
        <f t="shared" si="10"/>
        <v>3250</v>
      </c>
      <c r="G37" s="380">
        <f t="shared" si="10"/>
        <v>4225</v>
      </c>
      <c r="H37" s="380">
        <f t="shared" si="10"/>
        <v>6500</v>
      </c>
      <c r="I37" s="203"/>
      <c r="J37" s="240"/>
      <c r="K37" s="243"/>
      <c r="L37" s="244"/>
      <c r="M37" s="13"/>
      <c r="N37" s="186"/>
      <c r="O37" s="186"/>
    </row>
    <row r="38" spans="1:17" ht="15" outlineLevel="2" thickBot="1" x14ac:dyDescent="0.4">
      <c r="B38" s="381" t="s">
        <v>38</v>
      </c>
      <c r="C38" s="377">
        <v>0</v>
      </c>
      <c r="D38" s="377">
        <v>0</v>
      </c>
      <c r="E38" s="377">
        <f t="shared" si="10"/>
        <v>0</v>
      </c>
      <c r="F38" s="377">
        <f t="shared" si="10"/>
        <v>0</v>
      </c>
      <c r="G38" s="377">
        <f t="shared" si="10"/>
        <v>0</v>
      </c>
      <c r="H38" s="377">
        <f t="shared" si="10"/>
        <v>0</v>
      </c>
      <c r="I38" s="260"/>
      <c r="J38" s="260"/>
      <c r="K38" s="267"/>
      <c r="L38" s="268"/>
      <c r="M38" s="13"/>
      <c r="N38" s="186"/>
      <c r="O38" s="186"/>
    </row>
    <row r="39" spans="1:17" s="212" customFormat="1" ht="15" outlineLevel="1" thickTop="1" x14ac:dyDescent="0.35">
      <c r="B39" s="373" t="s">
        <v>39</v>
      </c>
      <c r="C39" s="380">
        <f t="shared" ref="C39:H39" si="11">SUM(C35:C38)</f>
        <v>3375</v>
      </c>
      <c r="D39" s="380">
        <f t="shared" si="11"/>
        <v>625</v>
      </c>
      <c r="E39" s="380">
        <f t="shared" si="11"/>
        <v>8375</v>
      </c>
      <c r="F39" s="380">
        <f t="shared" si="11"/>
        <v>9625</v>
      </c>
      <c r="G39" s="380">
        <f t="shared" si="11"/>
        <v>11500</v>
      </c>
      <c r="H39" s="380">
        <f t="shared" si="11"/>
        <v>15875</v>
      </c>
      <c r="I39" s="261"/>
      <c r="J39" s="261"/>
      <c r="K39" s="262"/>
      <c r="L39" s="263"/>
      <c r="M39" s="185"/>
      <c r="N39" s="228"/>
      <c r="O39" s="228"/>
    </row>
    <row r="40" spans="1:17" s="254" customFormat="1" outlineLevel="1" x14ac:dyDescent="0.35">
      <c r="B40" s="212"/>
      <c r="C40" s="212"/>
      <c r="D40" s="212"/>
      <c r="E40" s="212"/>
      <c r="F40" s="212"/>
      <c r="G40" s="212"/>
      <c r="H40" s="212"/>
      <c r="I40" s="212"/>
      <c r="K40" s="255"/>
      <c r="L40" s="256"/>
    </row>
    <row r="41" spans="1:17" outlineLevel="1" x14ac:dyDescent="0.35">
      <c r="B41" s="235" t="s">
        <v>47</v>
      </c>
      <c r="C41" s="236" t="s">
        <v>48</v>
      </c>
      <c r="D41" s="237" t="s">
        <v>49</v>
      </c>
      <c r="E41" s="237" t="s">
        <v>50</v>
      </c>
      <c r="F41" s="237" t="s">
        <v>51</v>
      </c>
      <c r="G41" s="237" t="s">
        <v>52</v>
      </c>
      <c r="H41" s="324"/>
      <c r="I41" s="324"/>
      <c r="J41" s="325"/>
      <c r="K41" s="326"/>
      <c r="L41" s="327"/>
    </row>
    <row r="42" spans="1:17" ht="15" customHeight="1" outlineLevel="2" x14ac:dyDescent="0.35">
      <c r="B42" t="s">
        <v>53</v>
      </c>
      <c r="C42" s="186" t="s">
        <v>54</v>
      </c>
      <c r="D42" s="240">
        <f>10000</f>
        <v>10000</v>
      </c>
      <c r="E42" s="241">
        <v>0.33</v>
      </c>
      <c r="F42" s="242">
        <f>D42*E42</f>
        <v>3300</v>
      </c>
      <c r="G42" s="240">
        <f>D42+F42</f>
        <v>13300</v>
      </c>
      <c r="J42" s="129"/>
      <c r="K42" s="243"/>
      <c r="L42" s="244"/>
      <c r="P42" s="125"/>
    </row>
    <row r="43" spans="1:17" ht="15" customHeight="1" outlineLevel="2" thickBot="1" x14ac:dyDescent="0.4">
      <c r="B43" s="213" t="s">
        <v>55</v>
      </c>
      <c r="C43" s="245" t="s">
        <v>56</v>
      </c>
      <c r="D43" s="246">
        <f>10000</f>
        <v>10000</v>
      </c>
      <c r="E43" s="247">
        <v>0.33</v>
      </c>
      <c r="F43" s="248">
        <f>D43*E43</f>
        <v>3300</v>
      </c>
      <c r="G43" s="246">
        <f>D43+F43</f>
        <v>13300</v>
      </c>
      <c r="H43" s="213"/>
      <c r="I43" s="213"/>
      <c r="J43" s="333"/>
      <c r="K43" s="249"/>
      <c r="L43" s="250"/>
    </row>
    <row r="44" spans="1:17" s="212" customFormat="1" ht="15" outlineLevel="1" thickTop="1" x14ac:dyDescent="0.35">
      <c r="B44" s="223" t="s">
        <v>57</v>
      </c>
      <c r="C44" s="223"/>
      <c r="D44" s="329">
        <f>SUM(D42:D43)</f>
        <v>20000</v>
      </c>
      <c r="E44" s="328"/>
      <c r="F44" s="329">
        <f>SUM(F42:F43)</f>
        <v>6600</v>
      </c>
      <c r="G44" s="365">
        <f>SUM(G42:G43)</f>
        <v>26600</v>
      </c>
      <c r="H44" s="185"/>
      <c r="I44" s="251"/>
      <c r="J44" s="251"/>
      <c r="K44" s="252"/>
      <c r="L44" s="253"/>
      <c r="M44" s="185"/>
      <c r="N44" s="228"/>
      <c r="O44" s="228"/>
    </row>
    <row r="45" spans="1:17" s="212" customFormat="1" outlineLevel="1" x14ac:dyDescent="0.35">
      <c r="B45" s="223"/>
      <c r="C45" s="223"/>
      <c r="D45" s="228"/>
      <c r="E45" s="228"/>
      <c r="F45" s="251"/>
      <c r="G45" s="251"/>
      <c r="H45" s="185"/>
      <c r="I45" s="251"/>
      <c r="J45" s="251"/>
      <c r="K45" s="252"/>
      <c r="L45" s="253"/>
      <c r="M45" s="185"/>
      <c r="N45" s="228"/>
      <c r="O45" s="228"/>
    </row>
    <row r="46" spans="1:17" outlineLevel="1" x14ac:dyDescent="0.35">
      <c r="B46" s="382" t="s">
        <v>40</v>
      </c>
      <c r="C46" s="369" t="s">
        <v>33</v>
      </c>
      <c r="D46" s="369" t="s">
        <v>34</v>
      </c>
      <c r="E46" s="369" t="str">
        <f>_xlfn.CONCAT("Total Cost for ",E$14)</f>
        <v>Total Cost for 8</v>
      </c>
      <c r="F46" s="369" t="str">
        <f>_xlfn.CONCAT("Total Cost for ",F$14)</f>
        <v>Total Cost for 10</v>
      </c>
      <c r="G46" s="369" t="str">
        <f>_xlfn.CONCAT("Total Cost for ",G$14)</f>
        <v>Total Cost for 13</v>
      </c>
      <c r="H46" s="369" t="str">
        <f>_xlfn.CONCAT("Total Cost for ",H$14)</f>
        <v>Total Cost for 20</v>
      </c>
      <c r="I46" s="257"/>
      <c r="J46" s="237"/>
      <c r="K46" s="238"/>
      <c r="L46" s="239"/>
      <c r="M46" s="13"/>
      <c r="N46" s="186"/>
      <c r="O46" s="186"/>
    </row>
    <row r="47" spans="1:17" outlineLevel="2" x14ac:dyDescent="0.35">
      <c r="B47" s="370" t="s">
        <v>41</v>
      </c>
      <c r="C47" s="380">
        <v>0</v>
      </c>
      <c r="D47" s="380">
        <v>0</v>
      </c>
      <c r="E47" s="380">
        <f>$C47+$D47*E$14</f>
        <v>0</v>
      </c>
      <c r="F47" s="380">
        <f>$C47+$D47*F$14</f>
        <v>0</v>
      </c>
      <c r="G47" s="380">
        <f t="shared" ref="G47:H51" si="12">$C47+$D47*G$14</f>
        <v>0</v>
      </c>
      <c r="H47" s="380">
        <f t="shared" si="12"/>
        <v>0</v>
      </c>
      <c r="I47" s="203"/>
      <c r="J47" s="203"/>
      <c r="K47" s="258"/>
      <c r="L47" s="259"/>
      <c r="M47" s="13"/>
      <c r="N47" s="186"/>
      <c r="O47" s="186"/>
    </row>
    <row r="48" spans="1:17" outlineLevel="2" x14ac:dyDescent="0.35">
      <c r="B48" s="370" t="s">
        <v>42</v>
      </c>
      <c r="C48" s="380">
        <v>0</v>
      </c>
      <c r="D48" s="380">
        <f>135*2</f>
        <v>270</v>
      </c>
      <c r="E48" s="380">
        <f>$C48+$D48*E$14</f>
        <v>2160</v>
      </c>
      <c r="F48" s="380">
        <f t="shared" ref="F48:F51" si="13">$C48+$D48*F$14</f>
        <v>2700</v>
      </c>
      <c r="G48" s="380">
        <f t="shared" si="12"/>
        <v>3510</v>
      </c>
      <c r="H48" s="380">
        <f t="shared" si="12"/>
        <v>5400</v>
      </c>
      <c r="I48" s="203"/>
      <c r="J48" s="203"/>
      <c r="K48" s="258"/>
      <c r="L48" s="259"/>
      <c r="M48" s="13"/>
      <c r="N48" s="186"/>
      <c r="O48" s="186"/>
    </row>
    <row r="49" spans="2:15" outlineLevel="2" x14ac:dyDescent="0.35">
      <c r="B49" s="370" t="s">
        <v>43</v>
      </c>
      <c r="C49" s="380">
        <v>7000</v>
      </c>
      <c r="D49" s="380">
        <v>0</v>
      </c>
      <c r="E49" s="380">
        <f t="shared" ref="E49:E51" si="14">$C49+$D49*E$14</f>
        <v>7000</v>
      </c>
      <c r="F49" s="380">
        <f t="shared" si="13"/>
        <v>7000</v>
      </c>
      <c r="G49" s="380">
        <f t="shared" si="12"/>
        <v>7000</v>
      </c>
      <c r="H49" s="380">
        <f t="shared" si="12"/>
        <v>7000</v>
      </c>
      <c r="I49" s="92"/>
      <c r="J49" s="92"/>
      <c r="K49" s="334"/>
      <c r="L49" s="335"/>
    </row>
    <row r="50" spans="2:15" outlineLevel="2" x14ac:dyDescent="0.35">
      <c r="B50" s="370" t="s">
        <v>37</v>
      </c>
      <c r="C50" s="380">
        <v>0</v>
      </c>
      <c r="D50" s="380">
        <v>325</v>
      </c>
      <c r="E50" s="380">
        <f t="shared" si="14"/>
        <v>2600</v>
      </c>
      <c r="F50" s="380">
        <f t="shared" si="13"/>
        <v>3250</v>
      </c>
      <c r="G50" s="380">
        <f t="shared" si="12"/>
        <v>4225</v>
      </c>
      <c r="H50" s="380">
        <f t="shared" si="12"/>
        <v>6500</v>
      </c>
      <c r="I50" s="203"/>
      <c r="J50" s="240"/>
      <c r="K50" s="243"/>
      <c r="L50" s="244"/>
      <c r="M50" s="13"/>
      <c r="N50" s="186"/>
      <c r="O50" s="186"/>
    </row>
    <row r="51" spans="2:15" ht="15" outlineLevel="2" thickBot="1" x14ac:dyDescent="0.4">
      <c r="B51" s="381" t="s">
        <v>38</v>
      </c>
      <c r="C51" s="377">
        <v>0</v>
      </c>
      <c r="D51" s="377">
        <v>0</v>
      </c>
      <c r="E51" s="377">
        <f t="shared" si="14"/>
        <v>0</v>
      </c>
      <c r="F51" s="377">
        <f t="shared" si="13"/>
        <v>0</v>
      </c>
      <c r="G51" s="377">
        <f t="shared" si="12"/>
        <v>0</v>
      </c>
      <c r="H51" s="377">
        <f t="shared" si="12"/>
        <v>0</v>
      </c>
      <c r="I51" s="260"/>
      <c r="J51" s="260"/>
      <c r="K51" s="267"/>
      <c r="L51" s="268"/>
      <c r="M51" s="13"/>
      <c r="N51" s="186"/>
      <c r="O51" s="186"/>
    </row>
    <row r="52" spans="2:15" s="212" customFormat="1" ht="15" outlineLevel="1" thickTop="1" x14ac:dyDescent="0.35">
      <c r="B52" s="373" t="s">
        <v>44</v>
      </c>
      <c r="C52" s="380">
        <f t="shared" ref="C52:H52" si="15">SUM(C47:C51)</f>
        <v>7000</v>
      </c>
      <c r="D52" s="380">
        <f t="shared" si="15"/>
        <v>595</v>
      </c>
      <c r="E52" s="380">
        <f>SUM(E47:E51)</f>
        <v>11760</v>
      </c>
      <c r="F52" s="380">
        <f t="shared" si="15"/>
        <v>12950</v>
      </c>
      <c r="G52" s="380">
        <f t="shared" si="15"/>
        <v>14735</v>
      </c>
      <c r="H52" s="380">
        <f t="shared" si="15"/>
        <v>18900</v>
      </c>
      <c r="I52" s="261"/>
      <c r="J52" s="261"/>
      <c r="K52" s="262"/>
      <c r="L52" s="263"/>
      <c r="M52" s="185"/>
      <c r="N52" s="228"/>
      <c r="O52" s="228"/>
    </row>
    <row r="53" spans="2:15" s="254" customFormat="1" outlineLevel="1" x14ac:dyDescent="0.35">
      <c r="B53" s="212"/>
      <c r="C53" s="212"/>
      <c r="D53" s="212"/>
      <c r="E53" s="212"/>
      <c r="F53" s="212"/>
      <c r="G53" s="212"/>
      <c r="H53" s="212"/>
      <c r="I53" s="212"/>
      <c r="K53" s="255"/>
      <c r="L53" s="256"/>
    </row>
    <row r="54" spans="2:15" outlineLevel="1" x14ac:dyDescent="0.35">
      <c r="B54" s="235" t="s">
        <v>58</v>
      </c>
      <c r="C54" s="257" t="s">
        <v>33</v>
      </c>
      <c r="D54" s="257" t="s">
        <v>34</v>
      </c>
      <c r="E54" s="257" t="str">
        <f>_xlfn.CONCAT("Total Cost for ",E$14)</f>
        <v>Total Cost for 8</v>
      </c>
      <c r="F54" s="257" t="str">
        <f>_xlfn.CONCAT("Total Cost for ",F$14)</f>
        <v>Total Cost for 10</v>
      </c>
      <c r="G54" s="257" t="str">
        <f>_xlfn.CONCAT("Total Cost for ",G$14)</f>
        <v>Total Cost for 13</v>
      </c>
      <c r="H54" s="257" t="str">
        <f>_xlfn.CONCAT("Total Cost for ",H$14)</f>
        <v>Total Cost for 20</v>
      </c>
      <c r="I54" s="257"/>
      <c r="J54" s="237"/>
      <c r="K54" s="238"/>
      <c r="L54" s="239"/>
      <c r="M54" s="13"/>
      <c r="N54" s="186"/>
      <c r="O54" s="186"/>
    </row>
    <row r="55" spans="2:15" outlineLevel="2" x14ac:dyDescent="0.35">
      <c r="B55" t="s">
        <v>59</v>
      </c>
      <c r="C55" s="203">
        <v>0</v>
      </c>
      <c r="D55" s="203">
        <v>0</v>
      </c>
      <c r="E55" s="203">
        <f t="shared" ref="E55:H59" si="16">$C55+$D55*E$14</f>
        <v>0</v>
      </c>
      <c r="F55" s="203">
        <f t="shared" si="16"/>
        <v>0</v>
      </c>
      <c r="G55" s="203">
        <f t="shared" si="16"/>
        <v>0</v>
      </c>
      <c r="H55" s="203">
        <f t="shared" si="16"/>
        <v>0</v>
      </c>
      <c r="I55" s="203"/>
      <c r="J55" s="240"/>
      <c r="K55" s="243"/>
      <c r="L55" s="244"/>
      <c r="M55" s="13"/>
      <c r="N55" s="186"/>
      <c r="O55" s="186"/>
    </row>
    <row r="56" spans="2:15" outlineLevel="2" x14ac:dyDescent="0.35">
      <c r="B56" t="s">
        <v>60</v>
      </c>
      <c r="C56" s="203">
        <v>0</v>
      </c>
      <c r="D56" s="203">
        <v>0</v>
      </c>
      <c r="E56" s="203">
        <f t="shared" si="16"/>
        <v>0</v>
      </c>
      <c r="F56" s="203">
        <f t="shared" si="16"/>
        <v>0</v>
      </c>
      <c r="G56" s="203">
        <f t="shared" si="16"/>
        <v>0</v>
      </c>
      <c r="H56" s="203">
        <f t="shared" si="16"/>
        <v>0</v>
      </c>
      <c r="I56" s="203"/>
      <c r="J56" s="203"/>
      <c r="K56" s="258"/>
      <c r="L56" s="259"/>
      <c r="M56" s="13"/>
      <c r="N56" s="186"/>
      <c r="O56" s="186"/>
    </row>
    <row r="57" spans="2:15" outlineLevel="2" x14ac:dyDescent="0.35">
      <c r="B57" t="s">
        <v>61</v>
      </c>
      <c r="C57" s="203">
        <v>0</v>
      </c>
      <c r="D57" s="203">
        <v>0</v>
      </c>
      <c r="E57" s="203">
        <f t="shared" si="16"/>
        <v>0</v>
      </c>
      <c r="F57" s="203">
        <f t="shared" si="16"/>
        <v>0</v>
      </c>
      <c r="G57" s="203">
        <f t="shared" si="16"/>
        <v>0</v>
      </c>
      <c r="H57" s="203">
        <f t="shared" si="16"/>
        <v>0</v>
      </c>
      <c r="I57" s="203"/>
      <c r="J57" s="240"/>
      <c r="K57" s="243"/>
      <c r="L57" s="244"/>
      <c r="M57" s="13"/>
      <c r="N57" s="186"/>
      <c r="O57" s="186"/>
    </row>
    <row r="58" spans="2:15" outlineLevel="2" x14ac:dyDescent="0.35">
      <c r="B58" t="s">
        <v>62</v>
      </c>
      <c r="C58" s="203">
        <v>0</v>
      </c>
      <c r="D58" s="203">
        <v>0</v>
      </c>
      <c r="E58" s="203">
        <f t="shared" si="16"/>
        <v>0</v>
      </c>
      <c r="F58" s="203">
        <f t="shared" si="16"/>
        <v>0</v>
      </c>
      <c r="G58" s="203">
        <f t="shared" si="16"/>
        <v>0</v>
      </c>
      <c r="H58" s="203">
        <f t="shared" si="16"/>
        <v>0</v>
      </c>
      <c r="I58" s="203"/>
      <c r="J58" s="203"/>
      <c r="K58" s="258"/>
      <c r="L58" s="259"/>
      <c r="M58" s="13"/>
      <c r="N58" s="186"/>
      <c r="O58" s="186"/>
    </row>
    <row r="59" spans="2:15" ht="15" outlineLevel="2" thickBot="1" x14ac:dyDescent="0.4">
      <c r="B59" s="213" t="s">
        <v>63</v>
      </c>
      <c r="C59" s="260">
        <v>0</v>
      </c>
      <c r="D59" s="260">
        <v>0</v>
      </c>
      <c r="E59" s="260">
        <f t="shared" si="16"/>
        <v>0</v>
      </c>
      <c r="F59" s="260">
        <f t="shared" si="16"/>
        <v>0</v>
      </c>
      <c r="G59" s="260">
        <f t="shared" si="16"/>
        <v>0</v>
      </c>
      <c r="H59" s="260">
        <f t="shared" si="16"/>
        <v>0</v>
      </c>
      <c r="I59" s="260"/>
      <c r="J59" s="246"/>
      <c r="K59" s="249"/>
      <c r="L59" s="250"/>
      <c r="M59" s="240"/>
      <c r="N59" s="186"/>
      <c r="O59" s="186"/>
    </row>
    <row r="60" spans="2:15" s="212" customFormat="1" ht="15" outlineLevel="1" thickTop="1" x14ac:dyDescent="0.35">
      <c r="B60" s="223" t="s">
        <v>64</v>
      </c>
      <c r="C60" s="261">
        <f t="shared" ref="C60:H60" si="17">SUM(C55:C59)</f>
        <v>0</v>
      </c>
      <c r="D60" s="261">
        <f t="shared" si="17"/>
        <v>0</v>
      </c>
      <c r="E60" s="261">
        <f t="shared" si="17"/>
        <v>0</v>
      </c>
      <c r="F60" s="261">
        <f t="shared" si="17"/>
        <v>0</v>
      </c>
      <c r="G60" s="261">
        <f t="shared" si="17"/>
        <v>0</v>
      </c>
      <c r="H60" s="261">
        <f t="shared" si="17"/>
        <v>0</v>
      </c>
      <c r="I60" s="261"/>
      <c r="J60" s="261"/>
      <c r="K60" s="262"/>
      <c r="L60" s="263"/>
      <c r="M60" s="185"/>
      <c r="N60" s="228"/>
      <c r="O60" s="228"/>
    </row>
    <row r="61" spans="2:15" s="212" customFormat="1" outlineLevel="1" x14ac:dyDescent="0.35">
      <c r="B61" s="223"/>
      <c r="C61" s="261"/>
      <c r="D61" s="261"/>
      <c r="E61" s="261"/>
      <c r="F61" s="261"/>
      <c r="G61" s="261"/>
      <c r="H61" s="261"/>
      <c r="I61" s="261"/>
      <c r="J61" s="261"/>
      <c r="K61" s="262"/>
      <c r="L61" s="263"/>
      <c r="M61" s="185"/>
      <c r="N61" s="228"/>
      <c r="O61" s="228"/>
    </row>
    <row r="62" spans="2:15" outlineLevel="1" x14ac:dyDescent="0.35">
      <c r="B62" s="336" t="s">
        <v>65</v>
      </c>
      <c r="C62" s="337" t="s">
        <v>33</v>
      </c>
      <c r="D62" s="337" t="s">
        <v>34</v>
      </c>
      <c r="E62" s="337" t="str">
        <f>_xlfn.CONCAT("Total Cost for ",E$14)</f>
        <v>Total Cost for 8</v>
      </c>
      <c r="F62" s="337" t="str">
        <f>_xlfn.CONCAT("Total Cost for ",F$14)</f>
        <v>Total Cost for 10</v>
      </c>
      <c r="G62" s="337" t="str">
        <f>_xlfn.CONCAT("Total Cost for ",G$14)</f>
        <v>Total Cost for 13</v>
      </c>
      <c r="H62" s="337" t="str">
        <f>_xlfn.CONCAT("Total Cost for ",H$14)</f>
        <v>Total Cost for 20</v>
      </c>
      <c r="I62" s="337"/>
      <c r="J62" s="338"/>
      <c r="K62" s="339"/>
      <c r="L62" s="340"/>
    </row>
    <row r="63" spans="2:15" outlineLevel="2" x14ac:dyDescent="0.35">
      <c r="B63" s="393" t="s">
        <v>66</v>
      </c>
      <c r="C63" s="394">
        <v>0</v>
      </c>
      <c r="D63" s="394">
        <v>175</v>
      </c>
      <c r="E63" s="394">
        <f t="shared" ref="E63:H64" si="18">$C63+$D63*E$14</f>
        <v>1400</v>
      </c>
      <c r="F63" s="394">
        <f t="shared" si="18"/>
        <v>1750</v>
      </c>
      <c r="G63" s="394">
        <f t="shared" si="18"/>
        <v>2275</v>
      </c>
      <c r="H63" s="394">
        <f t="shared" si="18"/>
        <v>3500</v>
      </c>
      <c r="I63" s="92"/>
      <c r="J63" s="92"/>
      <c r="K63" s="334"/>
      <c r="L63" s="335"/>
    </row>
    <row r="64" spans="2:15" ht="15" outlineLevel="2" thickBot="1" x14ac:dyDescent="0.4">
      <c r="B64" s="213" t="s">
        <v>67</v>
      </c>
      <c r="C64" s="342">
        <v>0</v>
      </c>
      <c r="D64" s="342">
        <v>0</v>
      </c>
      <c r="E64" s="342">
        <f t="shared" si="18"/>
        <v>0</v>
      </c>
      <c r="F64" s="342">
        <f t="shared" si="18"/>
        <v>0</v>
      </c>
      <c r="G64" s="342">
        <f t="shared" si="18"/>
        <v>0</v>
      </c>
      <c r="H64" s="342">
        <f t="shared" si="18"/>
        <v>0</v>
      </c>
      <c r="I64" s="342"/>
      <c r="J64" s="342"/>
      <c r="K64" s="343"/>
      <c r="L64" s="344"/>
    </row>
    <row r="65" spans="2:12" ht="15" outlineLevel="1" thickTop="1" x14ac:dyDescent="0.35">
      <c r="B65" s="345" t="s">
        <v>68</v>
      </c>
      <c r="C65" s="346">
        <f t="shared" ref="C65:G65" si="19">SUM(C63:C64)</f>
        <v>0</v>
      </c>
      <c r="D65" s="346">
        <f t="shared" si="19"/>
        <v>175</v>
      </c>
      <c r="E65" s="346">
        <f t="shared" si="19"/>
        <v>1400</v>
      </c>
      <c r="F65" s="346">
        <f t="shared" si="19"/>
        <v>1750</v>
      </c>
      <c r="G65" s="346">
        <f t="shared" si="19"/>
        <v>2275</v>
      </c>
      <c r="H65" s="346">
        <f>SUM(H63:H64)</f>
        <v>3500</v>
      </c>
      <c r="I65" s="346"/>
      <c r="J65" s="346"/>
      <c r="K65" s="347"/>
      <c r="L65" s="348"/>
    </row>
    <row r="66" spans="2:12" outlineLevel="1" x14ac:dyDescent="0.35">
      <c r="B66" s="264"/>
      <c r="J66" s="212"/>
      <c r="K66" s="349"/>
      <c r="L66" s="350"/>
    </row>
    <row r="67" spans="2:12" outlineLevel="1" x14ac:dyDescent="0.35">
      <c r="B67" s="336" t="s">
        <v>69</v>
      </c>
      <c r="C67" s="337" t="s">
        <v>33</v>
      </c>
      <c r="D67" s="337" t="s">
        <v>34</v>
      </c>
      <c r="E67" s="337" t="str">
        <f>_xlfn.CONCAT("Total Cost for ",E$14)</f>
        <v>Total Cost for 8</v>
      </c>
      <c r="F67" s="337" t="str">
        <f>_xlfn.CONCAT("Total Cost for ",F$14)</f>
        <v>Total Cost for 10</v>
      </c>
      <c r="G67" s="337" t="str">
        <f>_xlfn.CONCAT("Total Cost for ",G$14)</f>
        <v>Total Cost for 13</v>
      </c>
      <c r="H67" s="337" t="str">
        <f>_xlfn.CONCAT("Total Cost for ",H$14)</f>
        <v>Total Cost for 20</v>
      </c>
      <c r="I67" s="337"/>
      <c r="J67" s="338"/>
      <c r="K67" s="339"/>
      <c r="L67" s="340"/>
    </row>
    <row r="68" spans="2:12" ht="15" outlineLevel="2" thickBot="1" x14ac:dyDescent="0.4">
      <c r="B68" s="388" t="s">
        <v>70</v>
      </c>
      <c r="C68" s="389">
        <v>0</v>
      </c>
      <c r="D68" s="389">
        <v>25</v>
      </c>
      <c r="E68" s="389">
        <f>$C68+$D68*E$14</f>
        <v>200</v>
      </c>
      <c r="F68" s="389">
        <f>$C68+$D68*F$14</f>
        <v>250</v>
      </c>
      <c r="G68" s="389">
        <f>$C68+$D68*G$14</f>
        <v>325</v>
      </c>
      <c r="H68" s="389">
        <f>$C68+$D68*H$14</f>
        <v>500</v>
      </c>
      <c r="I68" s="92"/>
      <c r="J68" s="92"/>
      <c r="K68" s="334"/>
      <c r="L68" s="335"/>
    </row>
    <row r="69" spans="2:12" ht="15" outlineLevel="1" thickTop="1" x14ac:dyDescent="0.35">
      <c r="B69" s="345" t="s">
        <v>71</v>
      </c>
      <c r="C69" s="346">
        <f t="shared" ref="C69:H69" si="20">SUM(C68:C68)</f>
        <v>0</v>
      </c>
      <c r="D69" s="346">
        <f>SUM(D68:D68)</f>
        <v>25</v>
      </c>
      <c r="E69" s="346">
        <f t="shared" si="20"/>
        <v>200</v>
      </c>
      <c r="F69" s="346">
        <f t="shared" si="20"/>
        <v>250</v>
      </c>
      <c r="G69" s="346">
        <f t="shared" si="20"/>
        <v>325</v>
      </c>
      <c r="H69" s="346">
        <f t="shared" si="20"/>
        <v>500</v>
      </c>
      <c r="I69" s="346"/>
      <c r="J69" s="346"/>
      <c r="K69" s="347"/>
      <c r="L69" s="348"/>
    </row>
    <row r="70" spans="2:12" outlineLevel="1" x14ac:dyDescent="0.35">
      <c r="B70" s="264"/>
      <c r="J70" s="212"/>
      <c r="K70" s="349"/>
      <c r="L70" s="350"/>
    </row>
    <row r="71" spans="2:12" outlineLevel="1" x14ac:dyDescent="0.35">
      <c r="B71" s="336" t="s">
        <v>72</v>
      </c>
      <c r="C71" s="337" t="s">
        <v>33</v>
      </c>
      <c r="D71" s="337" t="s">
        <v>34</v>
      </c>
      <c r="E71" s="337" t="str">
        <f>_xlfn.CONCAT("Total Cost for ",E$14)</f>
        <v>Total Cost for 8</v>
      </c>
      <c r="F71" s="337" t="str">
        <f>_xlfn.CONCAT("Total Cost for ",F$14)</f>
        <v>Total Cost for 10</v>
      </c>
      <c r="G71" s="337" t="str">
        <f>_xlfn.CONCAT("Total Cost for ",G$14)</f>
        <v>Total Cost for 13</v>
      </c>
      <c r="H71" s="337" t="str">
        <f>_xlfn.CONCAT("Total Cost for ",H$14)</f>
        <v>Total Cost for 20</v>
      </c>
      <c r="I71" s="337"/>
      <c r="J71" s="338"/>
      <c r="K71" s="339"/>
      <c r="L71" s="340"/>
    </row>
    <row r="72" spans="2:12" outlineLevel="2" x14ac:dyDescent="0.35">
      <c r="B72" s="264" t="s">
        <v>73</v>
      </c>
      <c r="C72" s="92">
        <v>0</v>
      </c>
      <c r="D72" s="92">
        <v>0</v>
      </c>
      <c r="E72" s="92">
        <f t="shared" ref="E72:H74" si="21">$C72+$D72*E$14</f>
        <v>0</v>
      </c>
      <c r="F72" s="92">
        <f t="shared" si="21"/>
        <v>0</v>
      </c>
      <c r="G72" s="92">
        <f t="shared" si="21"/>
        <v>0</v>
      </c>
      <c r="H72" s="92">
        <f t="shared" si="21"/>
        <v>0</v>
      </c>
      <c r="I72" s="92"/>
      <c r="J72" s="92"/>
      <c r="K72" s="334"/>
      <c r="L72" s="335"/>
    </row>
    <row r="73" spans="2:12" outlineLevel="2" x14ac:dyDescent="0.35">
      <c r="B73" s="264" t="s">
        <v>74</v>
      </c>
      <c r="C73" s="92">
        <v>0</v>
      </c>
      <c r="D73" s="92">
        <v>0</v>
      </c>
      <c r="E73" s="92">
        <f t="shared" si="21"/>
        <v>0</v>
      </c>
      <c r="F73" s="92">
        <f t="shared" si="21"/>
        <v>0</v>
      </c>
      <c r="G73" s="92">
        <f t="shared" si="21"/>
        <v>0</v>
      </c>
      <c r="H73" s="92">
        <f t="shared" si="21"/>
        <v>0</v>
      </c>
      <c r="I73" s="92"/>
      <c r="J73" s="92"/>
      <c r="K73" s="334"/>
      <c r="L73" s="335"/>
    </row>
    <row r="74" spans="2:12" ht="15" outlineLevel="2" thickBot="1" x14ac:dyDescent="0.4">
      <c r="B74" s="395" t="s">
        <v>75</v>
      </c>
      <c r="C74" s="396">
        <v>0</v>
      </c>
      <c r="D74" s="396">
        <f>216*2</f>
        <v>432</v>
      </c>
      <c r="E74" s="396">
        <f t="shared" si="21"/>
        <v>3456</v>
      </c>
      <c r="F74" s="396">
        <f t="shared" si="21"/>
        <v>4320</v>
      </c>
      <c r="G74" s="396">
        <f t="shared" si="21"/>
        <v>5616</v>
      </c>
      <c r="H74" s="396">
        <f t="shared" si="21"/>
        <v>8640</v>
      </c>
      <c r="I74" s="342"/>
      <c r="J74" s="342"/>
      <c r="K74" s="351"/>
      <c r="L74" s="352"/>
    </row>
    <row r="75" spans="2:12" ht="15" outlineLevel="1" thickTop="1" x14ac:dyDescent="0.35">
      <c r="B75" s="345" t="s">
        <v>76</v>
      </c>
      <c r="C75" s="346">
        <f t="shared" ref="C75:H75" si="22">SUM(C72:C74)</f>
        <v>0</v>
      </c>
      <c r="D75" s="346">
        <f t="shared" si="22"/>
        <v>432</v>
      </c>
      <c r="E75" s="346">
        <f t="shared" si="22"/>
        <v>3456</v>
      </c>
      <c r="F75" s="346">
        <f t="shared" si="22"/>
        <v>4320</v>
      </c>
      <c r="G75" s="346">
        <f t="shared" si="22"/>
        <v>5616</v>
      </c>
      <c r="H75" s="346">
        <f t="shared" si="22"/>
        <v>8640</v>
      </c>
      <c r="I75" s="346"/>
      <c r="J75" s="346"/>
      <c r="K75" s="347"/>
      <c r="L75" s="348"/>
    </row>
    <row r="76" spans="2:12" outlineLevel="1" x14ac:dyDescent="0.35">
      <c r="B76" s="345"/>
      <c r="C76" s="346"/>
      <c r="D76" s="346"/>
      <c r="E76" s="346"/>
      <c r="F76" s="346"/>
      <c r="G76" s="346"/>
      <c r="H76" s="346"/>
      <c r="I76" s="346"/>
      <c r="J76" s="346"/>
      <c r="K76" s="347"/>
      <c r="L76" s="348"/>
    </row>
    <row r="77" spans="2:12" outlineLevel="1" x14ac:dyDescent="0.35">
      <c r="B77" s="336" t="s">
        <v>77</v>
      </c>
      <c r="C77" s="337" t="s">
        <v>33</v>
      </c>
      <c r="D77" s="337" t="s">
        <v>34</v>
      </c>
      <c r="E77" s="337" t="str">
        <f>_xlfn.CONCAT("Total Cost for ",E$14)</f>
        <v>Total Cost for 8</v>
      </c>
      <c r="F77" s="337" t="str">
        <f>_xlfn.CONCAT("Total Cost for ",F$14)</f>
        <v>Total Cost for 10</v>
      </c>
      <c r="G77" s="337" t="str">
        <f>_xlfn.CONCAT("Total Cost for ",G$14)</f>
        <v>Total Cost for 13</v>
      </c>
      <c r="H77" s="337" t="str">
        <f>_xlfn.CONCAT("Total Cost for ",H$14)</f>
        <v>Total Cost for 20</v>
      </c>
      <c r="I77" s="337"/>
      <c r="J77" s="338"/>
      <c r="K77" s="339"/>
      <c r="L77" s="340"/>
    </row>
    <row r="78" spans="2:12" outlineLevel="2" x14ac:dyDescent="0.35">
      <c r="B78" t="s">
        <v>78</v>
      </c>
      <c r="C78" s="92">
        <v>0</v>
      </c>
      <c r="D78" s="92">
        <v>15</v>
      </c>
      <c r="E78" s="92">
        <f t="shared" ref="E78:H82" si="23">$C78+$D78*E$14</f>
        <v>120</v>
      </c>
      <c r="F78" s="92">
        <f t="shared" si="23"/>
        <v>150</v>
      </c>
      <c r="G78" s="92">
        <f t="shared" si="23"/>
        <v>195</v>
      </c>
      <c r="H78" s="92">
        <f t="shared" si="23"/>
        <v>300</v>
      </c>
      <c r="I78" s="92"/>
      <c r="J78" s="92"/>
      <c r="K78" s="334"/>
      <c r="L78" s="335"/>
    </row>
    <row r="79" spans="2:12" outlineLevel="2" x14ac:dyDescent="0.35">
      <c r="B79" s="393" t="s">
        <v>79</v>
      </c>
      <c r="C79" s="394">
        <v>0</v>
      </c>
      <c r="D79" s="394">
        <v>20</v>
      </c>
      <c r="E79" s="394">
        <f t="shared" si="23"/>
        <v>160</v>
      </c>
      <c r="F79" s="394">
        <f t="shared" si="23"/>
        <v>200</v>
      </c>
      <c r="G79" s="394">
        <f t="shared" si="23"/>
        <v>260</v>
      </c>
      <c r="H79" s="394">
        <f t="shared" si="23"/>
        <v>400</v>
      </c>
      <c r="I79" s="92"/>
      <c r="J79" s="92"/>
      <c r="K79" s="334"/>
      <c r="L79" s="335"/>
    </row>
    <row r="80" spans="2:12" outlineLevel="2" x14ac:dyDescent="0.35">
      <c r="B80" t="s">
        <v>80</v>
      </c>
      <c r="C80" s="92">
        <v>0</v>
      </c>
      <c r="D80" s="92">
        <v>0</v>
      </c>
      <c r="E80" s="92">
        <f t="shared" si="23"/>
        <v>0</v>
      </c>
      <c r="F80" s="92">
        <f t="shared" si="23"/>
        <v>0</v>
      </c>
      <c r="G80" s="92">
        <f t="shared" si="23"/>
        <v>0</v>
      </c>
      <c r="H80" s="92">
        <f t="shared" si="23"/>
        <v>0</v>
      </c>
      <c r="I80" s="92"/>
      <c r="J80" s="92"/>
      <c r="K80" s="334"/>
      <c r="L80" s="335"/>
    </row>
    <row r="81" spans="1:17" outlineLevel="2" x14ac:dyDescent="0.35">
      <c r="B81" t="s">
        <v>81</v>
      </c>
      <c r="C81" s="92">
        <v>500</v>
      </c>
      <c r="D81" s="92">
        <v>0</v>
      </c>
      <c r="E81" s="92">
        <f t="shared" si="23"/>
        <v>500</v>
      </c>
      <c r="F81" s="92">
        <f t="shared" si="23"/>
        <v>500</v>
      </c>
      <c r="G81" s="92">
        <f t="shared" si="23"/>
        <v>500</v>
      </c>
      <c r="H81" s="92">
        <f t="shared" si="23"/>
        <v>500</v>
      </c>
      <c r="I81" s="92"/>
      <c r="J81" s="92"/>
      <c r="K81" s="334"/>
      <c r="L81" s="335"/>
    </row>
    <row r="82" spans="1:17" ht="15" outlineLevel="2" thickBot="1" x14ac:dyDescent="0.4">
      <c r="B82" s="213" t="s">
        <v>82</v>
      </c>
      <c r="C82" s="342">
        <v>0</v>
      </c>
      <c r="D82" s="342">
        <v>0</v>
      </c>
      <c r="E82" s="342">
        <f t="shared" si="23"/>
        <v>0</v>
      </c>
      <c r="F82" s="342">
        <f t="shared" si="23"/>
        <v>0</v>
      </c>
      <c r="G82" s="342">
        <f t="shared" si="23"/>
        <v>0</v>
      </c>
      <c r="H82" s="342">
        <f t="shared" si="23"/>
        <v>0</v>
      </c>
      <c r="I82" s="342"/>
      <c r="J82" s="342"/>
      <c r="K82" s="343"/>
      <c r="L82" s="344"/>
    </row>
    <row r="83" spans="1:17" ht="15.5" outlineLevel="1" thickTop="1" thickBot="1" x14ac:dyDescent="0.4">
      <c r="A83" s="213"/>
      <c r="B83" s="353" t="s">
        <v>83</v>
      </c>
      <c r="C83" s="354">
        <f t="shared" ref="C83:H83" si="24">SUM(C78:C82)</f>
        <v>500</v>
      </c>
      <c r="D83" s="354">
        <f t="shared" si="24"/>
        <v>35</v>
      </c>
      <c r="E83" s="354">
        <f t="shared" si="24"/>
        <v>780</v>
      </c>
      <c r="F83" s="354">
        <f t="shared" si="24"/>
        <v>850</v>
      </c>
      <c r="G83" s="354">
        <f t="shared" si="24"/>
        <v>955</v>
      </c>
      <c r="H83" s="354">
        <f t="shared" si="24"/>
        <v>1200</v>
      </c>
      <c r="I83" s="354"/>
      <c r="J83" s="354"/>
      <c r="K83" s="355"/>
      <c r="L83" s="356"/>
    </row>
    <row r="84" spans="1:17" ht="15" thickTop="1" x14ac:dyDescent="0.35">
      <c r="A84" s="212" t="s">
        <v>84</v>
      </c>
      <c r="B84" s="223"/>
      <c r="C84" s="261">
        <f>SUM(C83)</f>
        <v>500</v>
      </c>
      <c r="D84" s="261">
        <f>SUM(D83)</f>
        <v>35</v>
      </c>
      <c r="E84" s="261">
        <f>$G$44++E39+E52+E60+E65+E69+E75+E83</f>
        <v>52571</v>
      </c>
      <c r="F84" s="261">
        <f>$G$44++F39+F52+F60+F65+F69+F75+F83</f>
        <v>56345</v>
      </c>
      <c r="G84" s="261">
        <f>$G$44++G39+G52+G60+G65+G69+G75+G83</f>
        <v>62006</v>
      </c>
      <c r="H84" s="261">
        <f>$G$44++H39+H52+H60+H65+H69+H75+H83</f>
        <v>75215</v>
      </c>
      <c r="I84" s="261"/>
      <c r="J84" s="261"/>
      <c r="K84" s="265"/>
      <c r="L84" s="266"/>
      <c r="M84" s="13"/>
      <c r="N84" s="186"/>
      <c r="O84" s="186"/>
      <c r="P84" s="186"/>
      <c r="Q84" s="186"/>
    </row>
    <row r="85" spans="1:17" x14ac:dyDescent="0.35">
      <c r="A85" s="212"/>
      <c r="B85" s="223"/>
      <c r="C85" s="261"/>
      <c r="D85" s="261"/>
      <c r="E85" s="261"/>
      <c r="F85" s="261"/>
      <c r="G85" s="261"/>
      <c r="H85" s="261"/>
      <c r="I85" s="261"/>
      <c r="J85" s="261"/>
      <c r="K85" s="265"/>
      <c r="L85" s="266"/>
      <c r="M85" s="13"/>
      <c r="N85" s="186"/>
      <c r="O85" s="186"/>
      <c r="P85" s="186"/>
      <c r="Q85" s="186"/>
    </row>
    <row r="86" spans="1:17" x14ac:dyDescent="0.35">
      <c r="A86" s="369" t="s">
        <v>107</v>
      </c>
      <c r="B86" s="369"/>
      <c r="C86" s="369" t="s">
        <v>33</v>
      </c>
      <c r="D86" s="369" t="s">
        <v>34</v>
      </c>
      <c r="E86" s="369" t="str">
        <f>_xlfn.CONCAT("Total Cost for ",E$14)</f>
        <v>Total Cost for 8</v>
      </c>
      <c r="F86" s="369" t="str">
        <f>_xlfn.CONCAT("Total Cost for ",F$14)</f>
        <v>Total Cost for 10</v>
      </c>
      <c r="G86" s="369" t="str">
        <f>_xlfn.CONCAT("Total Cost for ",G$14)</f>
        <v>Total Cost for 13</v>
      </c>
      <c r="H86" s="369" t="str">
        <f>_xlfn.CONCAT("Total Cost for ",H$14)</f>
        <v>Total Cost for 20</v>
      </c>
      <c r="I86" s="257"/>
      <c r="J86" s="257"/>
      <c r="K86" s="272"/>
      <c r="L86" s="273"/>
      <c r="M86" s="13"/>
      <c r="N86" s="186"/>
      <c r="O86" s="186"/>
    </row>
    <row r="87" spans="1:17" outlineLevel="2" x14ac:dyDescent="0.35">
      <c r="A87" s="370"/>
      <c r="B87" s="371" t="str">
        <f t="shared" ref="B87:H87" si="25">B39</f>
        <v>Total Summer Quarter '23 - DCE Fees</v>
      </c>
      <c r="C87" s="372">
        <f t="shared" si="25"/>
        <v>3375</v>
      </c>
      <c r="D87" s="372">
        <f t="shared" si="25"/>
        <v>625</v>
      </c>
      <c r="E87" s="372">
        <f t="shared" si="25"/>
        <v>8375</v>
      </c>
      <c r="F87" s="372">
        <f t="shared" si="25"/>
        <v>9625</v>
      </c>
      <c r="G87" s="372">
        <f t="shared" si="25"/>
        <v>11500</v>
      </c>
      <c r="H87" s="372">
        <f t="shared" si="25"/>
        <v>15875</v>
      </c>
      <c r="I87" s="203"/>
      <c r="J87" s="203"/>
      <c r="K87" s="258"/>
      <c r="L87" s="259"/>
      <c r="M87" s="228"/>
      <c r="N87" s="228"/>
      <c r="O87" s="186"/>
      <c r="P87" s="186"/>
      <c r="Q87" s="234"/>
    </row>
    <row r="88" spans="1:17" outlineLevel="2" x14ac:dyDescent="0.35">
      <c r="A88" s="370"/>
      <c r="B88" s="373" t="str">
        <f>B52</f>
        <v>Total Fall Quarter '23 - DCE Fees</v>
      </c>
      <c r="C88" s="374">
        <f t="shared" ref="C88:H88" si="26">C52</f>
        <v>7000</v>
      </c>
      <c r="D88" s="374">
        <f t="shared" si="26"/>
        <v>595</v>
      </c>
      <c r="E88" s="374">
        <f t="shared" si="26"/>
        <v>11760</v>
      </c>
      <c r="F88" s="374">
        <f t="shared" si="26"/>
        <v>12950</v>
      </c>
      <c r="G88" s="374">
        <f t="shared" si="26"/>
        <v>14735</v>
      </c>
      <c r="H88" s="374">
        <f t="shared" si="26"/>
        <v>18900</v>
      </c>
      <c r="I88" s="203"/>
      <c r="J88" s="203"/>
      <c r="K88" s="258"/>
      <c r="L88" s="259"/>
      <c r="M88" s="228"/>
      <c r="N88" s="228"/>
      <c r="O88" s="186"/>
      <c r="P88" s="186"/>
      <c r="Q88" s="234"/>
    </row>
    <row r="89" spans="1:17" outlineLevel="2" x14ac:dyDescent="0.35">
      <c r="A89" s="370"/>
      <c r="B89" s="373"/>
      <c r="C89" s="374"/>
      <c r="D89" s="374"/>
      <c r="E89" s="374"/>
      <c r="F89" s="374"/>
      <c r="G89" s="374"/>
      <c r="H89" s="374"/>
      <c r="I89" s="203"/>
      <c r="J89" s="203"/>
      <c r="K89" s="258"/>
      <c r="L89" s="259"/>
      <c r="M89" s="228"/>
      <c r="N89" s="228"/>
      <c r="O89" s="186"/>
      <c r="P89" s="186"/>
      <c r="Q89" s="234"/>
    </row>
    <row r="90" spans="1:17" outlineLevel="2" x14ac:dyDescent="0.35">
      <c r="A90" s="370"/>
      <c r="B90" s="373"/>
      <c r="C90" s="374"/>
      <c r="D90" s="374"/>
      <c r="E90" s="374"/>
      <c r="F90" s="374"/>
      <c r="G90" s="374"/>
      <c r="H90" s="374"/>
      <c r="I90" s="203"/>
      <c r="J90" s="203"/>
      <c r="K90" s="258"/>
      <c r="L90" s="259"/>
      <c r="M90" s="228"/>
      <c r="N90" s="228"/>
      <c r="O90" s="186"/>
      <c r="P90" s="186"/>
      <c r="Q90" s="234"/>
    </row>
    <row r="91" spans="1:17" ht="15" outlineLevel="2" thickBot="1" x14ac:dyDescent="0.4">
      <c r="A91" s="370"/>
      <c r="B91" s="375"/>
      <c r="C91" s="376"/>
      <c r="D91" s="376"/>
      <c r="E91" s="376"/>
      <c r="F91" s="376"/>
      <c r="G91" s="376"/>
      <c r="H91" s="376"/>
      <c r="I91" s="341"/>
      <c r="J91" s="260"/>
      <c r="K91" s="267"/>
      <c r="L91" s="268"/>
      <c r="M91" s="228"/>
      <c r="N91" s="228"/>
      <c r="O91" s="186"/>
      <c r="P91" s="186"/>
      <c r="Q91" s="234"/>
    </row>
    <row r="92" spans="1:17" ht="15.5" outlineLevel="2" thickTop="1" thickBot="1" x14ac:dyDescent="0.4">
      <c r="A92" s="370"/>
      <c r="B92" s="375" t="s">
        <v>108</v>
      </c>
      <c r="C92" s="377">
        <f t="shared" ref="C92:H92" si="27">SUM(C87:C91)</f>
        <v>10375</v>
      </c>
      <c r="D92" s="377">
        <f t="shared" si="27"/>
        <v>1220</v>
      </c>
      <c r="E92" s="377">
        <f t="shared" si="27"/>
        <v>20135</v>
      </c>
      <c r="F92" s="377">
        <f t="shared" si="27"/>
        <v>22575</v>
      </c>
      <c r="G92" s="377">
        <f t="shared" si="27"/>
        <v>26235</v>
      </c>
      <c r="H92" s="377">
        <f t="shared" si="27"/>
        <v>34775</v>
      </c>
      <c r="I92" s="260"/>
      <c r="J92" s="246"/>
      <c r="K92" s="249"/>
      <c r="L92" s="250"/>
      <c r="M92" s="13"/>
      <c r="N92" s="186"/>
      <c r="O92" s="186"/>
      <c r="P92" s="186"/>
      <c r="Q92" s="186"/>
    </row>
    <row r="93" spans="1:17" ht="15" thickTop="1" x14ac:dyDescent="0.35">
      <c r="A93" s="378" t="s">
        <v>109</v>
      </c>
      <c r="B93" s="378"/>
      <c r="C93" s="379">
        <f>SUM(C92)</f>
        <v>10375</v>
      </c>
      <c r="D93" s="379">
        <f>SUM(D92)</f>
        <v>1220</v>
      </c>
      <c r="E93" s="379">
        <f>E84-E92</f>
        <v>32436</v>
      </c>
      <c r="F93" s="379">
        <f>F84-F92</f>
        <v>33770</v>
      </c>
      <c r="G93" s="379">
        <f>G84-G92</f>
        <v>35771</v>
      </c>
      <c r="H93" s="379">
        <f>H84-H92</f>
        <v>40440</v>
      </c>
      <c r="I93" s="292"/>
      <c r="J93" s="292"/>
      <c r="K93" s="294"/>
      <c r="L93" s="295"/>
      <c r="M93" s="13"/>
      <c r="N93" s="186"/>
      <c r="O93" s="186"/>
    </row>
    <row r="94" spans="1:17" x14ac:dyDescent="0.35">
      <c r="A94" s="212"/>
      <c r="B94" s="223"/>
      <c r="C94" s="261"/>
      <c r="D94" s="261"/>
      <c r="E94" s="261"/>
      <c r="F94" s="261"/>
      <c r="G94" s="261"/>
      <c r="H94" s="261"/>
      <c r="I94" s="261"/>
      <c r="J94" s="261"/>
      <c r="K94" s="265"/>
      <c r="L94" s="266"/>
      <c r="M94" s="13"/>
      <c r="N94" s="186"/>
      <c r="O94" s="186"/>
      <c r="P94" s="186"/>
      <c r="Q94" s="186"/>
    </row>
    <row r="95" spans="1:17" ht="15" thickBot="1" x14ac:dyDescent="0.4">
      <c r="A95" s="184" t="s">
        <v>85</v>
      </c>
      <c r="B95" s="231"/>
      <c r="C95" s="231"/>
      <c r="D95" s="231"/>
      <c r="E95" s="231"/>
      <c r="F95" s="231"/>
      <c r="G95" s="231"/>
      <c r="H95" s="231"/>
      <c r="I95" s="231"/>
      <c r="J95" s="231"/>
      <c r="K95" s="270"/>
      <c r="L95" s="271"/>
      <c r="M95" s="13"/>
      <c r="N95" s="186"/>
      <c r="O95" s="186"/>
    </row>
    <row r="96" spans="1:17" outlineLevel="1" x14ac:dyDescent="0.35">
      <c r="A96" s="212"/>
      <c r="B96" s="235" t="s">
        <v>86</v>
      </c>
      <c r="C96" s="257" t="s">
        <v>33</v>
      </c>
      <c r="D96" s="257" t="s">
        <v>34</v>
      </c>
      <c r="E96" s="257" t="str">
        <f>_xlfn.CONCAT("Total Cost for ",E$14)</f>
        <v>Total Cost for 8</v>
      </c>
      <c r="F96" s="257" t="str">
        <f>_xlfn.CONCAT("Total Cost for ",F$14)</f>
        <v>Total Cost for 10</v>
      </c>
      <c r="G96" s="257" t="str">
        <f>_xlfn.CONCAT("Total Cost for ",G$14)</f>
        <v>Total Cost for 13</v>
      </c>
      <c r="H96" s="257" t="str">
        <f>_xlfn.CONCAT("Total Cost for ",H$14)</f>
        <v>Total Cost for 20</v>
      </c>
      <c r="I96" s="257"/>
      <c r="J96" s="257"/>
      <c r="K96" s="272"/>
      <c r="L96" s="273"/>
      <c r="M96" s="13"/>
      <c r="N96" s="186"/>
      <c r="O96" s="186"/>
    </row>
    <row r="97" spans="1:18" ht="15" outlineLevel="2" thickBot="1" x14ac:dyDescent="0.4">
      <c r="A97" s="212"/>
      <c r="B97" s="216" t="s">
        <v>7</v>
      </c>
      <c r="C97" s="274">
        <v>0</v>
      </c>
      <c r="D97" s="392">
        <v>0.3</v>
      </c>
      <c r="E97" s="260">
        <f>$D97*E$16</f>
        <v>42074.802431999997</v>
      </c>
      <c r="F97" s="260">
        <f>$D97*F$16</f>
        <v>44539.26</v>
      </c>
      <c r="G97" s="260">
        <f>$D97*G$16</f>
        <v>55269.902999999998</v>
      </c>
      <c r="H97" s="260">
        <f>$D97*H$16</f>
        <v>80381.7</v>
      </c>
      <c r="I97" s="276"/>
      <c r="J97" s="276"/>
      <c r="K97" s="277"/>
      <c r="L97" s="278"/>
      <c r="M97" s="13"/>
      <c r="N97" s="186"/>
      <c r="O97" s="186"/>
    </row>
    <row r="98" spans="1:18" ht="15" outlineLevel="1" thickTop="1" x14ac:dyDescent="0.35">
      <c r="A98" s="212"/>
      <c r="B98" s="223" t="s">
        <v>87</v>
      </c>
      <c r="C98" s="261">
        <f>SUM(C97)</f>
        <v>0</v>
      </c>
      <c r="D98" s="279">
        <f>SUM(D97)</f>
        <v>0.3</v>
      </c>
      <c r="E98" s="261">
        <f>SUM(E97)</f>
        <v>42074.802431999997</v>
      </c>
      <c r="F98" s="261">
        <f t="shared" ref="F98:H98" si="28">SUM(F97)</f>
        <v>44539.26</v>
      </c>
      <c r="G98" s="261">
        <f t="shared" si="28"/>
        <v>55269.902999999998</v>
      </c>
      <c r="H98" s="261">
        <f t="shared" si="28"/>
        <v>80381.7</v>
      </c>
      <c r="I98" s="228"/>
      <c r="J98" s="228"/>
      <c r="K98" s="280"/>
      <c r="L98" s="281"/>
      <c r="M98" s="13"/>
      <c r="N98" s="186"/>
      <c r="O98" s="186"/>
    </row>
    <row r="99" spans="1:18" outlineLevel="1" x14ac:dyDescent="0.35">
      <c r="A99" s="212"/>
      <c r="B99" s="228"/>
      <c r="C99" s="228"/>
      <c r="D99" s="228"/>
      <c r="E99" s="228"/>
      <c r="F99" s="228"/>
      <c r="G99" s="228"/>
      <c r="H99" s="228"/>
      <c r="I99" s="228"/>
      <c r="J99" s="228"/>
      <c r="K99" s="280"/>
      <c r="L99" s="281"/>
      <c r="M99" s="13"/>
      <c r="N99" s="186"/>
      <c r="O99" s="186"/>
    </row>
    <row r="100" spans="1:18" outlineLevel="1" x14ac:dyDescent="0.35">
      <c r="A100" s="212"/>
      <c r="B100" s="257" t="s">
        <v>88</v>
      </c>
      <c r="C100" s="257" t="s">
        <v>33</v>
      </c>
      <c r="D100" s="257" t="s">
        <v>34</v>
      </c>
      <c r="E100" s="257" t="str">
        <f>_xlfn.CONCAT("Total Cost for ",E$14)</f>
        <v>Total Cost for 8</v>
      </c>
      <c r="F100" s="257" t="str">
        <f>_xlfn.CONCAT("Total Cost for ",F$14)</f>
        <v>Total Cost for 10</v>
      </c>
      <c r="G100" s="257" t="str">
        <f>_xlfn.CONCAT("Total Cost for ",G$14)</f>
        <v>Total Cost for 13</v>
      </c>
      <c r="H100" s="257" t="str">
        <f>_xlfn.CONCAT("Total Cost for ",H$14)</f>
        <v>Total Cost for 20</v>
      </c>
      <c r="I100" s="257"/>
      <c r="J100" s="257"/>
      <c r="K100" s="272"/>
      <c r="L100" s="273"/>
      <c r="M100" s="13"/>
      <c r="N100" s="186"/>
      <c r="O100" s="186"/>
    </row>
    <row r="101" spans="1:18" outlineLevel="2" x14ac:dyDescent="0.35">
      <c r="A101" s="212"/>
      <c r="B101" s="264" t="s">
        <v>89</v>
      </c>
      <c r="C101" s="282">
        <v>0</v>
      </c>
      <c r="D101" s="283">
        <v>0.34100000000000003</v>
      </c>
      <c r="E101" s="203">
        <f>$D101*(E$93+E$97)</f>
        <v>25408.183629312</v>
      </c>
      <c r="F101" s="203">
        <f>$D101*(F$93+F$97)</f>
        <v>26703.457660000004</v>
      </c>
      <c r="G101" s="203">
        <f>$D101*(G$93+G$97)</f>
        <v>31044.947923</v>
      </c>
      <c r="H101" s="203">
        <f>$D101*(H$93+H$97)</f>
        <v>41200.199700000005</v>
      </c>
      <c r="I101" s="203"/>
      <c r="J101" s="203"/>
      <c r="K101" s="258"/>
      <c r="L101" s="259"/>
      <c r="M101" s="228"/>
      <c r="N101" s="228"/>
      <c r="O101" s="186"/>
      <c r="P101" s="186"/>
      <c r="Q101" s="234"/>
    </row>
    <row r="102" spans="1:18" ht="15" outlineLevel="2" thickBot="1" x14ac:dyDescent="0.4">
      <c r="B102" s="216" t="s">
        <v>90</v>
      </c>
      <c r="C102" s="274">
        <v>0</v>
      </c>
      <c r="D102" s="275">
        <v>4.5400000000000003E-2</v>
      </c>
      <c r="E102" s="260">
        <f>$D102*(E$93+E$98+E101)</f>
        <v>4536.321967183565</v>
      </c>
      <c r="F102" s="260">
        <f>$D102*(F$93+F$98+F101)</f>
        <v>4767.5773817640011</v>
      </c>
      <c r="G102" s="260">
        <f>$D102*(G$93+G$98+G101)</f>
        <v>5542.6976319041996</v>
      </c>
      <c r="H102" s="260">
        <f>$D102*(H$93+H$98+H101)</f>
        <v>7355.7942463800009</v>
      </c>
      <c r="I102" s="260"/>
      <c r="J102" s="246"/>
      <c r="K102" s="249"/>
      <c r="L102" s="250"/>
      <c r="M102" s="13"/>
      <c r="N102" s="186"/>
      <c r="O102" s="186"/>
      <c r="P102" s="186"/>
      <c r="Q102" s="186"/>
    </row>
    <row r="103" spans="1:18" s="212" customFormat="1" ht="15.5" outlineLevel="1" thickTop="1" thickBot="1" x14ac:dyDescent="0.4">
      <c r="A103" s="284"/>
      <c r="B103" s="276" t="s">
        <v>91</v>
      </c>
      <c r="C103" s="269">
        <f>SUM(C101:C102)</f>
        <v>0</v>
      </c>
      <c r="D103" s="285">
        <f>SUM(D101:D102)</f>
        <v>0.38640000000000002</v>
      </c>
      <c r="E103" s="286">
        <f>SUM(E101:E102)</f>
        <v>29944.505596495565</v>
      </c>
      <c r="F103" s="286">
        <f t="shared" ref="F103:G103" si="29">SUM(F101:F102)</f>
        <v>31471.035041764004</v>
      </c>
      <c r="G103" s="286">
        <f t="shared" si="29"/>
        <v>36587.6455549042</v>
      </c>
      <c r="H103" s="286">
        <f>SUM(H101:H102)</f>
        <v>48555.993946380004</v>
      </c>
      <c r="I103" s="287"/>
      <c r="J103" s="287"/>
      <c r="K103" s="288"/>
      <c r="L103" s="289"/>
      <c r="M103" s="290"/>
      <c r="N103" s="228"/>
      <c r="O103" s="228"/>
      <c r="P103" s="228"/>
      <c r="Q103" s="228"/>
    </row>
    <row r="104" spans="1:18" ht="15" thickTop="1" x14ac:dyDescent="0.35">
      <c r="A104" s="291" t="s">
        <v>92</v>
      </c>
      <c r="B104" s="292"/>
      <c r="C104" s="293">
        <f>SUM(C103)</f>
        <v>0</v>
      </c>
      <c r="D104" s="361">
        <f>SUM(D103)</f>
        <v>0.38640000000000002</v>
      </c>
      <c r="E104" s="293">
        <f>E$103+E$98</f>
        <v>72019.308028495565</v>
      </c>
      <c r="F104" s="293">
        <f>F$103+F$98</f>
        <v>76010.29504176401</v>
      </c>
      <c r="G104" s="293">
        <f>G$103+G$98</f>
        <v>91857.548554904206</v>
      </c>
      <c r="H104" s="293">
        <f>H$103+H$98</f>
        <v>128937.69394637999</v>
      </c>
      <c r="I104" s="292"/>
      <c r="J104" s="292"/>
      <c r="K104" s="294"/>
      <c r="L104" s="295"/>
      <c r="M104" s="13"/>
      <c r="N104" s="186"/>
      <c r="O104" s="186"/>
    </row>
    <row r="105" spans="1:18" x14ac:dyDescent="0.35">
      <c r="B105" s="186"/>
      <c r="C105" s="296"/>
      <c r="D105" s="296"/>
      <c r="E105" s="296"/>
      <c r="F105" s="13"/>
      <c r="G105" s="13"/>
      <c r="H105" s="13"/>
      <c r="I105" s="13"/>
      <c r="J105" s="94"/>
      <c r="K105" s="297"/>
      <c r="L105" s="298"/>
      <c r="M105" s="299"/>
      <c r="N105" s="186"/>
      <c r="O105" s="186"/>
      <c r="P105" s="186"/>
      <c r="Q105" s="186"/>
    </row>
    <row r="106" spans="1:18" ht="15" thickBot="1" x14ac:dyDescent="0.4">
      <c r="A106" s="184" t="s">
        <v>93</v>
      </c>
      <c r="B106" s="231"/>
      <c r="C106" s="231"/>
      <c r="D106" s="231"/>
      <c r="E106" s="231" t="str">
        <f>_xlfn.CONCAT("Total Profit for ",E$14)</f>
        <v>Total Profit for 8</v>
      </c>
      <c r="F106" s="231" t="str">
        <f>_xlfn.CONCAT("Total Profit for ",F$14)</f>
        <v>Total Profit for 10</v>
      </c>
      <c r="G106" s="231" t="str">
        <f>_xlfn.CONCAT("Total Profit for ",G$14)</f>
        <v>Total Profit for 13</v>
      </c>
      <c r="H106" s="231" t="str">
        <f>_xlfn.CONCAT("Total Profit for ",H$14)</f>
        <v>Total Profit for 20</v>
      </c>
      <c r="I106" s="231"/>
      <c r="J106" s="231"/>
      <c r="K106" s="270"/>
      <c r="L106" s="271"/>
      <c r="M106" s="13"/>
      <c r="N106" s="186"/>
      <c r="O106" s="186"/>
    </row>
    <row r="107" spans="1:18" outlineLevel="1" x14ac:dyDescent="0.35">
      <c r="A107" s="300"/>
      <c r="B107" s="301" t="s">
        <v>94</v>
      </c>
      <c r="C107" s="302"/>
      <c r="D107" s="303"/>
      <c r="E107" s="332">
        <f>E$16-E$84</f>
        <v>87678.341439999989</v>
      </c>
      <c r="F107" s="332">
        <f>F$16-F$84</f>
        <v>92119.200000000012</v>
      </c>
      <c r="G107" s="366">
        <f>G$16-G$84</f>
        <v>122227.01000000001</v>
      </c>
      <c r="H107" s="332">
        <f>H$16-H$84</f>
        <v>192724</v>
      </c>
      <c r="I107" s="304"/>
      <c r="J107" s="304"/>
      <c r="K107" s="305"/>
      <c r="L107" s="306"/>
      <c r="M107" s="299"/>
      <c r="N107" s="186"/>
      <c r="O107" s="186"/>
      <c r="P107" s="186"/>
      <c r="Q107" s="186"/>
    </row>
    <row r="108" spans="1:18" ht="15" outlineLevel="1" thickBot="1" x14ac:dyDescent="0.4">
      <c r="A108" s="213"/>
      <c r="B108" s="245" t="s">
        <v>95</v>
      </c>
      <c r="C108" s="307"/>
      <c r="D108" s="307"/>
      <c r="E108" s="331">
        <f>E$16-E$84-E$98</f>
        <v>45603.539007999992</v>
      </c>
      <c r="F108" s="260">
        <f>F$16-F$84-F$98</f>
        <v>47579.94000000001</v>
      </c>
      <c r="G108" s="260">
        <f>G$16-G$84-G$98</f>
        <v>66957.107000000018</v>
      </c>
      <c r="H108" s="260">
        <f>H$16-H$84-H$98</f>
        <v>112342.3</v>
      </c>
      <c r="I108" s="308"/>
      <c r="J108" s="308"/>
      <c r="K108" s="309"/>
      <c r="L108" s="310"/>
      <c r="M108" s="13"/>
      <c r="N108" s="186"/>
      <c r="O108" s="186"/>
      <c r="P108" s="186"/>
      <c r="Q108" s="186"/>
    </row>
    <row r="109" spans="1:18" s="212" customFormat="1" ht="15" thickTop="1" x14ac:dyDescent="0.35">
      <c r="A109" s="212" t="s">
        <v>11</v>
      </c>
      <c r="B109" s="228"/>
      <c r="C109" s="311"/>
      <c r="D109" s="311"/>
      <c r="E109" s="330">
        <f>E108-E103</f>
        <v>15659.033411504428</v>
      </c>
      <c r="F109" s="312">
        <f>F107-F104</f>
        <v>16108.904958236002</v>
      </c>
      <c r="G109" s="312">
        <f>G107-G104</f>
        <v>30369.461445095803</v>
      </c>
      <c r="H109" s="312">
        <f t="shared" ref="H109" si="30">H107-H104</f>
        <v>63786.306053620006</v>
      </c>
      <c r="I109" s="313"/>
      <c r="J109" s="313"/>
      <c r="K109" s="314"/>
      <c r="L109" s="315"/>
      <c r="M109" s="190"/>
      <c r="N109" s="190"/>
      <c r="O109" s="228"/>
      <c r="P109" s="228"/>
      <c r="Q109" s="228"/>
    </row>
    <row r="110" spans="1:18" s="212" customFormat="1" ht="15" thickBot="1" x14ac:dyDescent="0.4">
      <c r="A110" s="316"/>
      <c r="B110" s="228" t="s">
        <v>96</v>
      </c>
      <c r="C110" s="311"/>
      <c r="D110" s="311"/>
      <c r="E110" s="317">
        <f>E$109/E$16</f>
        <v>0.11165138638603528</v>
      </c>
      <c r="F110" s="317">
        <f>F$109/F$16</f>
        <v>0.10850363224424475</v>
      </c>
      <c r="G110" s="367">
        <f>G$109/G$16</f>
        <v>0.16484267094749092</v>
      </c>
      <c r="H110" s="317">
        <f>H$109/H$16</f>
        <v>0.23806279061137053</v>
      </c>
      <c r="I110" s="318"/>
      <c r="J110" s="185"/>
      <c r="K110" s="319"/>
      <c r="L110" s="320"/>
      <c r="M110" s="290"/>
      <c r="N110" s="228"/>
      <c r="O110" s="229"/>
      <c r="P110" s="228"/>
      <c r="Q110" s="228"/>
    </row>
    <row r="111" spans="1:18" ht="15" thickTop="1" x14ac:dyDescent="0.35">
      <c r="B111" s="296"/>
      <c r="C111" s="296"/>
      <c r="D111" s="296"/>
      <c r="E111" s="317"/>
      <c r="F111" s="359"/>
      <c r="G111" s="368"/>
      <c r="H111" s="359"/>
      <c r="I111" s="13"/>
      <c r="J111" s="13"/>
      <c r="K111" s="13"/>
      <c r="L111" s="13"/>
      <c r="M111" s="299"/>
      <c r="N111" s="186"/>
      <c r="O111" s="186"/>
      <c r="P111" s="186"/>
      <c r="Q111" s="186"/>
      <c r="R111" s="125"/>
    </row>
    <row r="112" spans="1:18" x14ac:dyDescent="0.35">
      <c r="B112" s="186"/>
      <c r="C112" s="186"/>
      <c r="D112" s="186"/>
      <c r="E112" s="186"/>
      <c r="F112" s="186"/>
      <c r="G112" s="186"/>
      <c r="H112" s="186"/>
      <c r="I112" s="186"/>
      <c r="J112" s="186"/>
      <c r="K112" s="186"/>
      <c r="L112" s="186"/>
      <c r="M112" s="234"/>
      <c r="N112" s="186"/>
      <c r="O112" s="186"/>
      <c r="P112" s="186"/>
      <c r="Q112" s="186"/>
    </row>
    <row r="113" spans="2:17" x14ac:dyDescent="0.35">
      <c r="B113" s="186"/>
      <c r="C113" s="186"/>
      <c r="D113" s="321"/>
      <c r="E113" s="186"/>
      <c r="F113" s="186"/>
      <c r="G113" s="186"/>
      <c r="H113" s="186"/>
      <c r="I113" s="186"/>
      <c r="J113" s="186"/>
      <c r="K113" s="186"/>
      <c r="L113" s="186"/>
      <c r="M113" s="234"/>
      <c r="N113" s="186"/>
      <c r="O113" s="186"/>
      <c r="P113" s="186"/>
      <c r="Q113" s="186"/>
    </row>
    <row r="114" spans="2:17" x14ac:dyDescent="0.35">
      <c r="B114" s="186"/>
      <c r="C114" s="186"/>
      <c r="D114" s="186"/>
      <c r="E114" s="186"/>
      <c r="F114" s="186"/>
      <c r="G114" s="186"/>
      <c r="H114" s="186"/>
      <c r="I114" s="186"/>
      <c r="J114" s="186"/>
      <c r="K114" s="186"/>
      <c r="L114" s="186"/>
      <c r="M114" s="234"/>
      <c r="N114" s="186"/>
      <c r="O114" s="186"/>
      <c r="P114" s="186"/>
      <c r="Q114" s="186"/>
    </row>
    <row r="115" spans="2:17" x14ac:dyDescent="0.35">
      <c r="B115" s="186"/>
      <c r="C115" s="186"/>
      <c r="D115" s="234"/>
      <c r="E115" s="186"/>
      <c r="F115" s="186"/>
      <c r="G115" s="186"/>
      <c r="H115" s="186"/>
      <c r="I115" s="186"/>
      <c r="J115" s="186"/>
      <c r="K115" s="234"/>
      <c r="L115" s="234"/>
      <c r="M115" s="234"/>
      <c r="N115" s="186"/>
      <c r="O115" s="186"/>
      <c r="P115" s="186"/>
      <c r="Q115" s="186"/>
    </row>
    <row r="116" spans="2:17" x14ac:dyDescent="0.35">
      <c r="B116" s="186"/>
      <c r="C116" s="186"/>
      <c r="D116" s="234"/>
      <c r="E116" s="186"/>
      <c r="F116" s="186"/>
      <c r="G116" s="186"/>
      <c r="H116" s="186"/>
      <c r="I116" s="186"/>
      <c r="J116" s="186"/>
      <c r="K116" s="234"/>
      <c r="L116" s="234"/>
      <c r="M116" s="234"/>
      <c r="N116" s="186"/>
      <c r="O116" s="186"/>
      <c r="P116" s="186"/>
      <c r="Q116" s="186"/>
    </row>
    <row r="117" spans="2:17" x14ac:dyDescent="0.35">
      <c r="B117" s="186"/>
      <c r="C117" s="186"/>
      <c r="D117" s="234"/>
      <c r="E117" s="186"/>
      <c r="F117" s="186"/>
      <c r="G117" s="186"/>
      <c r="H117" s="186"/>
      <c r="I117" s="186"/>
      <c r="J117" s="186"/>
      <c r="K117" s="234"/>
      <c r="L117" s="234"/>
      <c r="M117" s="186"/>
      <c r="N117" s="186"/>
      <c r="O117" s="186"/>
      <c r="P117" s="186"/>
      <c r="Q117" s="186"/>
    </row>
    <row r="118" spans="2:17" x14ac:dyDescent="0.35">
      <c r="B118" s="186"/>
      <c r="C118" s="186"/>
      <c r="D118" s="186"/>
      <c r="E118" s="186"/>
      <c r="F118" s="186"/>
      <c r="G118" s="186"/>
      <c r="H118" s="186"/>
      <c r="I118" s="186"/>
      <c r="J118" s="186"/>
      <c r="K118" s="234"/>
      <c r="L118" s="234"/>
      <c r="M118" s="186"/>
      <c r="N118" s="186"/>
      <c r="O118" s="186"/>
      <c r="P118" s="186"/>
      <c r="Q118" s="186"/>
    </row>
    <row r="119" spans="2:17" x14ac:dyDescent="0.35">
      <c r="B119" s="186"/>
      <c r="C119" s="186"/>
      <c r="D119" s="186"/>
      <c r="E119" s="186"/>
      <c r="F119" s="186"/>
      <c r="G119" s="186"/>
      <c r="H119" s="186"/>
      <c r="I119" s="186"/>
      <c r="J119" s="186"/>
      <c r="K119" s="234"/>
      <c r="L119" s="234"/>
      <c r="M119" s="186"/>
      <c r="N119" s="186"/>
      <c r="O119" s="186"/>
      <c r="P119" s="186"/>
      <c r="Q119" s="186"/>
    </row>
    <row r="120" spans="2:17" x14ac:dyDescent="0.35">
      <c r="B120" s="186"/>
      <c r="C120" s="186"/>
      <c r="D120" s="186"/>
      <c r="E120" s="186"/>
      <c r="F120" s="186"/>
      <c r="G120" s="186"/>
      <c r="H120" s="186"/>
      <c r="I120" s="186"/>
      <c r="J120" s="186"/>
      <c r="K120" s="234"/>
      <c r="L120" s="234"/>
      <c r="M120" s="186"/>
      <c r="N120" s="186"/>
      <c r="O120" s="186"/>
      <c r="P120" s="186"/>
      <c r="Q120" s="186"/>
    </row>
    <row r="121" spans="2:17" x14ac:dyDescent="0.35">
      <c r="B121" s="186"/>
      <c r="C121" s="186"/>
      <c r="D121" s="186"/>
      <c r="E121" s="186"/>
      <c r="F121" s="186"/>
      <c r="G121" s="186"/>
      <c r="H121" s="186"/>
      <c r="I121" s="186"/>
      <c r="J121" s="186"/>
      <c r="K121" s="234"/>
      <c r="L121" s="234"/>
      <c r="M121" s="186"/>
      <c r="N121" s="186"/>
      <c r="O121" s="186"/>
      <c r="P121" s="186"/>
      <c r="Q121" s="186"/>
    </row>
    <row r="122" spans="2:17" x14ac:dyDescent="0.35">
      <c r="B122" s="186"/>
      <c r="C122" s="186"/>
      <c r="D122" s="186"/>
      <c r="E122" s="186"/>
      <c r="F122" s="186"/>
      <c r="G122" s="186"/>
      <c r="H122" s="186"/>
      <c r="I122" s="186"/>
      <c r="J122" s="186"/>
      <c r="K122" s="186"/>
      <c r="L122" s="186"/>
      <c r="M122" s="186"/>
      <c r="N122" s="186"/>
      <c r="O122" s="186"/>
      <c r="P122" s="186"/>
      <c r="Q122" s="186"/>
    </row>
    <row r="123" spans="2:17" x14ac:dyDescent="0.35">
      <c r="B123" s="186"/>
      <c r="C123" s="186"/>
      <c r="D123" s="186"/>
      <c r="E123" s="186"/>
      <c r="F123" s="186"/>
      <c r="G123" s="186"/>
      <c r="H123" s="186"/>
      <c r="I123" s="186"/>
      <c r="J123" s="186"/>
      <c r="K123" s="186"/>
      <c r="L123" s="186"/>
      <c r="M123" s="186"/>
      <c r="N123" s="186"/>
      <c r="O123" s="186"/>
      <c r="P123" s="186"/>
      <c r="Q123" s="186"/>
    </row>
    <row r="124" spans="2:17" x14ac:dyDescent="0.35">
      <c r="B124" s="186"/>
      <c r="C124" s="186"/>
      <c r="D124" s="186"/>
      <c r="E124" s="186"/>
      <c r="F124" s="186"/>
      <c r="G124" s="186"/>
      <c r="H124" s="186"/>
      <c r="I124" s="186"/>
      <c r="J124" s="186"/>
      <c r="K124" s="186"/>
      <c r="L124" s="186"/>
      <c r="M124" s="186"/>
      <c r="N124" s="186"/>
      <c r="O124" s="186"/>
      <c r="P124" s="186"/>
      <c r="Q124" s="186"/>
    </row>
    <row r="125" spans="2:17" x14ac:dyDescent="0.35">
      <c r="B125" s="186"/>
      <c r="C125" s="186"/>
      <c r="D125" s="186"/>
      <c r="E125" s="186"/>
      <c r="F125" s="186"/>
      <c r="G125" s="186"/>
      <c r="H125" s="186"/>
      <c r="I125" s="186"/>
      <c r="J125" s="186"/>
      <c r="K125" s="186"/>
      <c r="L125" s="186"/>
      <c r="M125" s="186"/>
      <c r="N125" s="186"/>
      <c r="O125" s="186"/>
      <c r="P125" s="186"/>
      <c r="Q125" s="186"/>
    </row>
    <row r="126" spans="2:17" x14ac:dyDescent="0.35">
      <c r="B126" s="186"/>
      <c r="C126" s="186"/>
      <c r="D126" s="186"/>
      <c r="E126" s="186"/>
      <c r="F126" s="186"/>
      <c r="G126" s="186"/>
      <c r="H126" s="186"/>
      <c r="I126" s="186"/>
      <c r="J126" s="186"/>
      <c r="K126" s="186"/>
      <c r="L126" s="186"/>
      <c r="M126" s="186"/>
      <c r="N126" s="186"/>
      <c r="O126" s="186"/>
      <c r="P126" s="186"/>
      <c r="Q126" s="186"/>
    </row>
    <row r="127" spans="2:17" x14ac:dyDescent="0.35">
      <c r="B127" s="186"/>
      <c r="C127" s="186"/>
      <c r="D127" s="186"/>
      <c r="E127" s="186"/>
      <c r="F127" s="186"/>
      <c r="G127" s="186"/>
      <c r="H127" s="186"/>
      <c r="I127" s="186"/>
      <c r="J127" s="186"/>
      <c r="K127" s="186"/>
      <c r="L127" s="186"/>
      <c r="M127" s="186"/>
      <c r="N127" s="186"/>
      <c r="O127" s="186"/>
      <c r="P127" s="186"/>
      <c r="Q127" s="186"/>
    </row>
    <row r="128" spans="2:17" x14ac:dyDescent="0.35">
      <c r="B128" s="186"/>
      <c r="C128" s="186"/>
      <c r="D128" s="186"/>
      <c r="E128" s="186"/>
      <c r="F128" s="186"/>
      <c r="G128" s="186"/>
      <c r="H128" s="186"/>
      <c r="I128" s="186"/>
      <c r="J128" s="186"/>
      <c r="K128" s="186"/>
      <c r="L128" s="186"/>
      <c r="M128" s="186"/>
      <c r="N128" s="186"/>
      <c r="O128" s="186"/>
      <c r="P128" s="186"/>
      <c r="Q128" s="186"/>
    </row>
    <row r="129" spans="2:17" x14ac:dyDescent="0.35">
      <c r="B129" s="186"/>
      <c r="C129" s="186"/>
      <c r="D129" s="186"/>
      <c r="E129" s="186"/>
      <c r="F129" s="186"/>
      <c r="G129" s="186"/>
      <c r="H129" s="186"/>
      <c r="I129" s="186"/>
      <c r="J129" s="186"/>
      <c r="K129" s="186"/>
      <c r="L129" s="186"/>
      <c r="M129" s="186"/>
      <c r="N129" s="186"/>
      <c r="O129" s="186"/>
      <c r="P129" s="186"/>
      <c r="Q129" s="186"/>
    </row>
    <row r="130" spans="2:17" x14ac:dyDescent="0.35">
      <c r="B130" s="186"/>
      <c r="C130" s="186"/>
      <c r="D130" s="186"/>
      <c r="E130" s="186"/>
      <c r="F130" s="186"/>
      <c r="G130" s="186"/>
      <c r="H130" s="186"/>
      <c r="I130" s="186"/>
      <c r="J130" s="186"/>
      <c r="K130" s="186"/>
      <c r="L130" s="186"/>
      <c r="M130" s="186"/>
      <c r="N130" s="186"/>
      <c r="O130" s="186"/>
      <c r="P130" s="186"/>
      <c r="Q130" s="186"/>
    </row>
    <row r="131" spans="2:17" x14ac:dyDescent="0.35">
      <c r="B131" s="186"/>
      <c r="C131" s="186"/>
      <c r="D131" s="186"/>
      <c r="E131" s="186"/>
      <c r="F131" s="186"/>
      <c r="G131" s="186"/>
      <c r="H131" s="186"/>
      <c r="I131" s="186"/>
      <c r="J131" s="186"/>
      <c r="K131" s="186"/>
      <c r="L131" s="186"/>
      <c r="M131" s="186"/>
      <c r="N131" s="186"/>
      <c r="O131" s="186"/>
      <c r="P131" s="186"/>
      <c r="Q131" s="186"/>
    </row>
    <row r="132" spans="2:17" x14ac:dyDescent="0.35">
      <c r="B132" s="186"/>
      <c r="C132" s="186"/>
      <c r="D132" s="186"/>
      <c r="E132" s="186"/>
      <c r="F132" s="186"/>
      <c r="G132" s="186"/>
      <c r="H132" s="186"/>
      <c r="I132" s="186"/>
      <c r="J132" s="186"/>
      <c r="K132" s="186"/>
      <c r="L132" s="186"/>
      <c r="M132" s="186"/>
      <c r="N132" s="186"/>
      <c r="O132" s="186"/>
      <c r="P132" s="186"/>
      <c r="Q132" s="186"/>
    </row>
    <row r="133" spans="2:17" x14ac:dyDescent="0.35">
      <c r="B133" s="186"/>
      <c r="C133" s="186"/>
      <c r="D133" s="186"/>
      <c r="E133" s="186"/>
      <c r="F133" s="186"/>
      <c r="G133" s="186"/>
      <c r="H133" s="186"/>
      <c r="I133" s="186"/>
      <c r="J133" s="186"/>
      <c r="K133" s="186"/>
      <c r="L133" s="186"/>
      <c r="M133" s="186"/>
      <c r="N133" s="186"/>
      <c r="O133" s="186"/>
      <c r="P133" s="186"/>
      <c r="Q133" s="186"/>
    </row>
    <row r="134" spans="2:17" x14ac:dyDescent="0.35">
      <c r="B134" s="186"/>
      <c r="C134" s="186"/>
      <c r="D134" s="186"/>
      <c r="E134" s="186"/>
      <c r="F134" s="186"/>
      <c r="G134" s="186"/>
      <c r="H134" s="186"/>
      <c r="I134" s="186"/>
      <c r="J134" s="186"/>
      <c r="K134" s="186"/>
      <c r="L134" s="186"/>
      <c r="M134" s="186"/>
      <c r="N134" s="186"/>
      <c r="O134" s="186"/>
      <c r="P134" s="186"/>
      <c r="Q134" s="186"/>
    </row>
    <row r="135" spans="2:17" x14ac:dyDescent="0.35">
      <c r="B135" s="186"/>
      <c r="C135" s="186"/>
      <c r="D135" s="186"/>
      <c r="E135" s="186"/>
      <c r="F135" s="186"/>
      <c r="G135" s="186"/>
      <c r="H135" s="186"/>
      <c r="I135" s="186"/>
      <c r="J135" s="186"/>
      <c r="K135" s="186"/>
      <c r="L135" s="186"/>
      <c r="M135" s="186"/>
      <c r="N135" s="186"/>
      <c r="O135" s="186"/>
      <c r="P135" s="186"/>
      <c r="Q135" s="186"/>
    </row>
    <row r="136" spans="2:17" x14ac:dyDescent="0.35">
      <c r="B136" s="186"/>
      <c r="C136" s="186"/>
      <c r="D136" s="186"/>
      <c r="E136" s="186"/>
      <c r="F136" s="186"/>
      <c r="G136" s="186"/>
      <c r="H136" s="186"/>
      <c r="I136" s="186"/>
      <c r="J136" s="186"/>
      <c r="K136" s="186"/>
      <c r="L136" s="186"/>
      <c r="M136" s="186"/>
      <c r="N136" s="186"/>
      <c r="O136" s="186"/>
      <c r="P136" s="186"/>
      <c r="Q136" s="186"/>
    </row>
    <row r="137" spans="2:17" x14ac:dyDescent="0.35">
      <c r="B137" s="186"/>
      <c r="C137" s="186"/>
      <c r="D137" s="186"/>
      <c r="E137" s="186"/>
      <c r="F137" s="186"/>
      <c r="G137" s="186"/>
      <c r="H137" s="186"/>
      <c r="I137" s="186"/>
      <c r="J137" s="186"/>
      <c r="K137" s="186"/>
      <c r="L137" s="186"/>
      <c r="M137" s="186"/>
      <c r="N137" s="186"/>
      <c r="O137" s="186"/>
      <c r="P137" s="186"/>
      <c r="Q137" s="186"/>
    </row>
    <row r="138" spans="2:17" x14ac:dyDescent="0.35">
      <c r="B138" s="186"/>
      <c r="C138" s="186"/>
      <c r="D138" s="186"/>
      <c r="E138" s="186"/>
      <c r="F138" s="186"/>
      <c r="G138" s="186"/>
      <c r="H138" s="186"/>
      <c r="I138" s="186"/>
      <c r="J138" s="186"/>
      <c r="K138" s="186"/>
      <c r="L138" s="186"/>
      <c r="M138" s="186"/>
      <c r="N138" s="186"/>
      <c r="O138" s="186"/>
      <c r="P138" s="186"/>
      <c r="Q138" s="186"/>
    </row>
    <row r="139" spans="2:17" x14ac:dyDescent="0.35">
      <c r="B139" s="186"/>
      <c r="C139" s="186"/>
      <c r="D139" s="186"/>
      <c r="E139" s="186"/>
      <c r="F139" s="186"/>
      <c r="G139" s="186"/>
      <c r="H139" s="186"/>
      <c r="I139" s="186"/>
      <c r="J139" s="186"/>
      <c r="K139" s="186"/>
      <c r="L139" s="186"/>
      <c r="M139" s="186"/>
      <c r="N139" s="186"/>
      <c r="O139" s="186"/>
      <c r="P139" s="186"/>
      <c r="Q139" s="186"/>
    </row>
    <row r="140" spans="2:17" x14ac:dyDescent="0.35">
      <c r="B140" s="186"/>
      <c r="C140" s="186"/>
      <c r="D140" s="186"/>
      <c r="E140" s="186"/>
      <c r="F140" s="186"/>
      <c r="G140" s="186"/>
      <c r="H140" s="186"/>
      <c r="I140" s="186"/>
      <c r="J140" s="186"/>
      <c r="K140" s="186"/>
      <c r="L140" s="186"/>
      <c r="M140" s="186"/>
      <c r="N140" s="186"/>
      <c r="O140" s="186"/>
      <c r="P140" s="186"/>
      <c r="Q140" s="186"/>
    </row>
    <row r="141" spans="2:17" x14ac:dyDescent="0.35">
      <c r="B141" s="186"/>
      <c r="C141" s="186"/>
      <c r="D141" s="186"/>
      <c r="E141" s="186"/>
      <c r="F141" s="186"/>
      <c r="G141" s="186"/>
      <c r="H141" s="186"/>
      <c r="I141" s="186"/>
      <c r="J141" s="186"/>
      <c r="K141" s="186"/>
      <c r="L141" s="186"/>
      <c r="M141" s="186"/>
      <c r="N141" s="186"/>
      <c r="O141" s="186"/>
      <c r="P141" s="186"/>
      <c r="Q141" s="186"/>
    </row>
    <row r="142" spans="2:17" x14ac:dyDescent="0.35">
      <c r="B142" s="186"/>
      <c r="C142" s="186"/>
      <c r="D142" s="186"/>
      <c r="E142" s="186"/>
      <c r="F142" s="186"/>
      <c r="G142" s="186"/>
      <c r="H142" s="186"/>
      <c r="I142" s="186"/>
      <c r="J142" s="186"/>
      <c r="K142" s="186"/>
      <c r="L142" s="186"/>
      <c r="M142" s="186"/>
      <c r="N142" s="186"/>
      <c r="O142" s="186"/>
      <c r="P142" s="186"/>
      <c r="Q142" s="186"/>
    </row>
    <row r="143" spans="2:17" x14ac:dyDescent="0.35">
      <c r="B143" s="186"/>
      <c r="C143" s="186"/>
      <c r="D143" s="186"/>
      <c r="E143" s="186"/>
      <c r="F143" s="186"/>
      <c r="G143" s="186"/>
      <c r="H143" s="186"/>
      <c r="I143" s="186"/>
      <c r="J143" s="186"/>
      <c r="K143" s="186"/>
      <c r="L143" s="186"/>
      <c r="M143" s="186"/>
      <c r="N143" s="186"/>
      <c r="O143" s="186"/>
      <c r="P143" s="186"/>
      <c r="Q143" s="186"/>
    </row>
    <row r="144" spans="2:17" x14ac:dyDescent="0.35">
      <c r="B144" s="186"/>
      <c r="C144" s="186"/>
      <c r="D144" s="186"/>
      <c r="E144" s="186"/>
      <c r="F144" s="186"/>
      <c r="G144" s="186"/>
      <c r="H144" s="186"/>
      <c r="I144" s="186"/>
      <c r="J144" s="186"/>
      <c r="K144" s="186"/>
      <c r="L144" s="186"/>
      <c r="M144" s="186"/>
      <c r="N144" s="186"/>
      <c r="O144" s="186"/>
      <c r="P144" s="186"/>
      <c r="Q144" s="186"/>
    </row>
    <row r="145" spans="2:17" x14ac:dyDescent="0.35">
      <c r="B145" s="186"/>
      <c r="C145" s="186"/>
      <c r="D145" s="186"/>
      <c r="E145" s="186"/>
      <c r="F145" s="186"/>
      <c r="G145" s="186"/>
      <c r="H145" s="186"/>
      <c r="I145" s="186"/>
      <c r="J145" s="186"/>
      <c r="K145" s="186"/>
      <c r="L145" s="186"/>
      <c r="M145" s="186"/>
      <c r="N145" s="186"/>
      <c r="O145" s="186"/>
      <c r="P145" s="186"/>
      <c r="Q145" s="186"/>
    </row>
    <row r="146" spans="2:17" x14ac:dyDescent="0.35">
      <c r="B146" s="186"/>
      <c r="C146" s="186"/>
      <c r="D146" s="186"/>
      <c r="E146" s="186"/>
      <c r="F146" s="186"/>
      <c r="G146" s="186"/>
      <c r="H146" s="186"/>
      <c r="I146" s="186"/>
      <c r="J146" s="186"/>
      <c r="K146" s="186"/>
      <c r="L146" s="186"/>
      <c r="M146" s="186"/>
      <c r="N146" s="186"/>
      <c r="O146" s="186"/>
      <c r="P146" s="186"/>
      <c r="Q146" s="186"/>
    </row>
    <row r="147" spans="2:17" x14ac:dyDescent="0.35">
      <c r="B147" s="186"/>
      <c r="C147" s="186"/>
      <c r="D147" s="186"/>
      <c r="E147" s="186"/>
      <c r="F147" s="186"/>
      <c r="G147" s="186"/>
      <c r="H147" s="186"/>
      <c r="I147" s="186"/>
      <c r="J147" s="186"/>
      <c r="K147" s="186"/>
      <c r="L147" s="186"/>
      <c r="M147" s="186"/>
      <c r="N147" s="186"/>
      <c r="O147" s="186"/>
      <c r="P147" s="186"/>
      <c r="Q147" s="186"/>
    </row>
    <row r="148" spans="2:17" x14ac:dyDescent="0.35">
      <c r="B148" s="186"/>
      <c r="C148" s="186"/>
      <c r="D148" s="186"/>
      <c r="E148" s="186"/>
      <c r="F148" s="186"/>
      <c r="G148" s="186"/>
      <c r="H148" s="186"/>
      <c r="I148" s="186"/>
      <c r="J148" s="186"/>
      <c r="K148" s="186"/>
      <c r="L148" s="186"/>
      <c r="M148" s="186"/>
      <c r="N148" s="186"/>
      <c r="O148" s="186"/>
      <c r="P148" s="186"/>
      <c r="Q148" s="186"/>
    </row>
    <row r="149" spans="2:17" x14ac:dyDescent="0.35">
      <c r="B149" s="186"/>
      <c r="C149" s="186"/>
      <c r="D149" s="186"/>
      <c r="E149" s="186"/>
      <c r="F149" s="186"/>
      <c r="G149" s="186"/>
      <c r="H149" s="186"/>
      <c r="I149" s="186"/>
      <c r="J149" s="186"/>
      <c r="K149" s="186"/>
      <c r="L149" s="186"/>
      <c r="M149" s="186"/>
      <c r="N149" s="186"/>
      <c r="O149" s="186"/>
      <c r="P149" s="186"/>
      <c r="Q149" s="186"/>
    </row>
    <row r="150" spans="2:17" x14ac:dyDescent="0.35">
      <c r="B150" s="186"/>
      <c r="C150" s="186"/>
      <c r="D150" s="186"/>
      <c r="E150" s="186"/>
      <c r="F150" s="186"/>
      <c r="G150" s="186"/>
      <c r="H150" s="186"/>
      <c r="I150" s="186"/>
      <c r="J150" s="186"/>
      <c r="K150" s="186"/>
      <c r="L150" s="186"/>
      <c r="M150" s="186"/>
      <c r="N150" s="186"/>
      <c r="O150" s="186"/>
      <c r="P150" s="186"/>
      <c r="Q150" s="186"/>
    </row>
    <row r="151" spans="2:17" x14ac:dyDescent="0.35">
      <c r="B151" s="186"/>
      <c r="C151" s="186"/>
      <c r="D151" s="186"/>
      <c r="E151" s="186"/>
      <c r="F151" s="186"/>
      <c r="G151" s="186"/>
      <c r="H151" s="186"/>
      <c r="I151" s="186"/>
      <c r="J151" s="186"/>
      <c r="K151" s="186"/>
      <c r="L151" s="186"/>
      <c r="M151" s="186"/>
      <c r="N151" s="186"/>
      <c r="O151" s="186"/>
      <c r="P151" s="186"/>
      <c r="Q151" s="186"/>
    </row>
    <row r="152" spans="2:17" x14ac:dyDescent="0.35">
      <c r="B152" s="186"/>
      <c r="C152" s="186"/>
      <c r="D152" s="186"/>
      <c r="E152" s="186"/>
      <c r="F152" s="186"/>
      <c r="G152" s="186"/>
      <c r="H152" s="186"/>
      <c r="I152" s="186"/>
      <c r="J152" s="186"/>
      <c r="K152" s="186"/>
      <c r="L152" s="186"/>
      <c r="M152" s="186"/>
      <c r="N152" s="186"/>
      <c r="O152" s="186"/>
      <c r="P152" s="186"/>
      <c r="Q152" s="186"/>
    </row>
    <row r="153" spans="2:17" x14ac:dyDescent="0.35">
      <c r="B153" s="186"/>
      <c r="C153" s="186"/>
      <c r="D153" s="186"/>
      <c r="E153" s="186"/>
      <c r="F153" s="186"/>
      <c r="G153" s="186"/>
      <c r="H153" s="186"/>
      <c r="I153" s="186"/>
      <c r="J153" s="186"/>
      <c r="K153" s="186"/>
      <c r="L153" s="186"/>
      <c r="M153" s="186"/>
      <c r="N153" s="186"/>
      <c r="O153" s="186"/>
      <c r="P153" s="186"/>
      <c r="Q153" s="186"/>
    </row>
    <row r="154" spans="2:17" x14ac:dyDescent="0.35">
      <c r="B154" s="186"/>
      <c r="C154" s="186"/>
      <c r="D154" s="186"/>
      <c r="E154" s="186"/>
      <c r="F154" s="186"/>
      <c r="G154" s="186"/>
      <c r="H154" s="186"/>
      <c r="I154" s="186"/>
      <c r="J154" s="186"/>
      <c r="K154" s="186"/>
      <c r="L154" s="186"/>
      <c r="M154" s="186"/>
      <c r="N154" s="186"/>
      <c r="O154" s="186"/>
      <c r="P154" s="186"/>
      <c r="Q154" s="186"/>
    </row>
    <row r="155" spans="2:17" x14ac:dyDescent="0.35">
      <c r="B155" s="186"/>
      <c r="C155" s="186"/>
      <c r="D155" s="186"/>
      <c r="E155" s="186"/>
      <c r="F155" s="186"/>
      <c r="G155" s="186"/>
      <c r="H155" s="186"/>
      <c r="I155" s="186"/>
      <c r="J155" s="186"/>
      <c r="K155" s="186"/>
      <c r="L155" s="186"/>
      <c r="M155" s="186"/>
      <c r="N155" s="186"/>
      <c r="O155" s="186"/>
      <c r="P155" s="186"/>
      <c r="Q155" s="186"/>
    </row>
    <row r="156" spans="2:17" x14ac:dyDescent="0.35">
      <c r="B156" s="186"/>
      <c r="C156" s="186"/>
      <c r="D156" s="186"/>
      <c r="E156" s="186"/>
      <c r="F156" s="186"/>
      <c r="G156" s="186"/>
      <c r="H156" s="186"/>
      <c r="I156" s="186"/>
      <c r="J156" s="186"/>
      <c r="K156" s="186"/>
      <c r="L156" s="186"/>
      <c r="M156" s="186"/>
      <c r="N156" s="186"/>
      <c r="O156" s="186"/>
      <c r="P156" s="186"/>
      <c r="Q156" s="186"/>
    </row>
    <row r="157" spans="2:17" x14ac:dyDescent="0.35">
      <c r="B157" s="186"/>
      <c r="C157" s="186"/>
      <c r="D157" s="186"/>
      <c r="E157" s="186"/>
      <c r="F157" s="186"/>
      <c r="G157" s="186"/>
      <c r="H157" s="186"/>
      <c r="I157" s="186"/>
      <c r="J157" s="186"/>
      <c r="K157" s="186"/>
      <c r="L157" s="186"/>
      <c r="M157" s="186"/>
      <c r="N157" s="186"/>
      <c r="O157" s="186"/>
      <c r="P157" s="186"/>
      <c r="Q157" s="186"/>
    </row>
    <row r="158" spans="2:17" x14ac:dyDescent="0.35">
      <c r="B158" s="186"/>
      <c r="C158" s="186"/>
      <c r="D158" s="186"/>
      <c r="E158" s="186"/>
      <c r="F158" s="186"/>
      <c r="G158" s="186"/>
      <c r="H158" s="186"/>
      <c r="I158" s="186"/>
      <c r="J158" s="186"/>
      <c r="K158" s="186"/>
      <c r="L158" s="186"/>
      <c r="M158" s="186"/>
      <c r="N158" s="186"/>
      <c r="O158" s="186"/>
      <c r="P158" s="186"/>
      <c r="Q158" s="186"/>
    </row>
    <row r="159" spans="2:17" x14ac:dyDescent="0.35">
      <c r="B159" s="186"/>
      <c r="C159" s="186"/>
      <c r="D159" s="186"/>
      <c r="E159" s="186"/>
      <c r="F159" s="186"/>
      <c r="G159" s="186"/>
      <c r="H159" s="186"/>
      <c r="I159" s="186"/>
      <c r="J159" s="186"/>
      <c r="K159" s="186"/>
      <c r="L159" s="186"/>
      <c r="M159" s="186"/>
      <c r="N159" s="186"/>
      <c r="O159" s="186"/>
      <c r="P159" s="186"/>
      <c r="Q159" s="186"/>
    </row>
    <row r="160" spans="2:17" x14ac:dyDescent="0.35">
      <c r="B160" s="186"/>
      <c r="C160" s="186"/>
      <c r="D160" s="186"/>
      <c r="E160" s="186"/>
      <c r="F160" s="186"/>
      <c r="G160" s="186"/>
      <c r="H160" s="186"/>
      <c r="I160" s="186"/>
      <c r="J160" s="186"/>
      <c r="K160" s="186"/>
      <c r="L160" s="186"/>
      <c r="M160" s="186"/>
      <c r="N160" s="186"/>
      <c r="O160" s="186"/>
      <c r="P160" s="186"/>
      <c r="Q160" s="186"/>
    </row>
    <row r="161" spans="2:17" x14ac:dyDescent="0.35">
      <c r="B161" s="186"/>
      <c r="C161" s="186"/>
      <c r="D161" s="186"/>
      <c r="E161" s="186"/>
      <c r="F161" s="186"/>
      <c r="G161" s="186"/>
      <c r="H161" s="186"/>
      <c r="I161" s="186"/>
      <c r="J161" s="186"/>
      <c r="K161" s="186"/>
      <c r="L161" s="186"/>
      <c r="M161" s="186"/>
      <c r="N161" s="186"/>
      <c r="O161" s="186"/>
      <c r="P161" s="186"/>
      <c r="Q161" s="186"/>
    </row>
    <row r="162" spans="2:17" x14ac:dyDescent="0.35">
      <c r="B162" s="186"/>
      <c r="C162" s="186"/>
      <c r="D162" s="186"/>
      <c r="E162" s="186"/>
      <c r="F162" s="186"/>
      <c r="G162" s="186"/>
      <c r="H162" s="186"/>
      <c r="I162" s="186"/>
      <c r="J162" s="186"/>
      <c r="K162" s="186"/>
      <c r="L162" s="186"/>
      <c r="M162" s="186"/>
      <c r="N162" s="186"/>
      <c r="O162" s="186"/>
      <c r="P162" s="186"/>
      <c r="Q162" s="186"/>
    </row>
    <row r="163" spans="2:17" x14ac:dyDescent="0.35">
      <c r="B163" s="186"/>
      <c r="C163" s="186"/>
      <c r="D163" s="186"/>
      <c r="E163" s="186"/>
      <c r="F163" s="186"/>
      <c r="G163" s="186"/>
      <c r="H163" s="186"/>
      <c r="I163" s="186"/>
      <c r="J163" s="186"/>
      <c r="K163" s="186"/>
      <c r="L163" s="186"/>
      <c r="M163" s="186"/>
      <c r="N163" s="186"/>
      <c r="O163" s="186"/>
      <c r="P163" s="186"/>
      <c r="Q163" s="186"/>
    </row>
    <row r="164" spans="2:17" x14ac:dyDescent="0.35">
      <c r="B164" s="186"/>
      <c r="C164" s="186"/>
      <c r="D164" s="186"/>
      <c r="E164" s="186"/>
      <c r="F164" s="186"/>
      <c r="G164" s="186"/>
      <c r="H164" s="186"/>
      <c r="I164" s="186"/>
      <c r="J164" s="186"/>
      <c r="K164" s="186"/>
      <c r="L164" s="186"/>
      <c r="M164" s="186"/>
      <c r="N164" s="186"/>
      <c r="O164" s="186"/>
      <c r="P164" s="186"/>
      <c r="Q164" s="186"/>
    </row>
    <row r="165" spans="2:17" x14ac:dyDescent="0.35">
      <c r="B165" s="186"/>
      <c r="C165" s="186"/>
      <c r="D165" s="186"/>
      <c r="E165" s="186"/>
      <c r="F165" s="186"/>
      <c r="G165" s="186"/>
      <c r="H165" s="186"/>
      <c r="I165" s="186"/>
      <c r="J165" s="186"/>
      <c r="K165" s="186"/>
      <c r="L165" s="186"/>
      <c r="M165" s="186"/>
      <c r="N165" s="186"/>
      <c r="O165" s="186"/>
      <c r="P165" s="186"/>
      <c r="Q165" s="186"/>
    </row>
    <row r="166" spans="2:17" x14ac:dyDescent="0.35">
      <c r="B166" s="186"/>
      <c r="C166" s="186"/>
      <c r="D166" s="186"/>
      <c r="E166" s="186"/>
      <c r="F166" s="186"/>
      <c r="G166" s="186"/>
      <c r="H166" s="186"/>
      <c r="I166" s="186"/>
      <c r="J166" s="186"/>
      <c r="K166" s="186"/>
      <c r="L166" s="186"/>
      <c r="M166" s="186"/>
      <c r="N166" s="186"/>
      <c r="O166" s="186"/>
      <c r="P166" s="186"/>
      <c r="Q166" s="186"/>
    </row>
    <row r="167" spans="2:17" x14ac:dyDescent="0.35">
      <c r="B167" s="186"/>
      <c r="C167" s="186"/>
      <c r="D167" s="186"/>
      <c r="E167" s="186"/>
      <c r="F167" s="186"/>
      <c r="G167" s="186"/>
      <c r="H167" s="186"/>
      <c r="I167" s="186"/>
      <c r="J167" s="186"/>
      <c r="K167" s="186"/>
      <c r="L167" s="186"/>
      <c r="M167" s="186"/>
      <c r="N167" s="186"/>
      <c r="O167" s="186"/>
      <c r="P167" s="186"/>
      <c r="Q167" s="186"/>
    </row>
    <row r="168" spans="2:17" x14ac:dyDescent="0.35">
      <c r="B168" s="186"/>
      <c r="C168" s="186"/>
      <c r="D168" s="186"/>
      <c r="E168" s="186"/>
      <c r="F168" s="186"/>
      <c r="G168" s="186"/>
      <c r="H168" s="186"/>
      <c r="I168" s="186"/>
      <c r="J168" s="186"/>
      <c r="K168" s="186"/>
      <c r="L168" s="186"/>
      <c r="M168" s="186"/>
      <c r="N168" s="186"/>
      <c r="O168" s="186"/>
      <c r="P168" s="186"/>
      <c r="Q168" s="186"/>
    </row>
    <row r="169" spans="2:17" x14ac:dyDescent="0.35">
      <c r="B169" s="186"/>
      <c r="C169" s="186"/>
      <c r="D169" s="186"/>
      <c r="E169" s="186"/>
      <c r="F169" s="186"/>
      <c r="G169" s="186"/>
      <c r="H169" s="186"/>
      <c r="I169" s="186"/>
      <c r="J169" s="186"/>
      <c r="K169" s="186"/>
      <c r="L169" s="186"/>
      <c r="M169" s="186"/>
      <c r="N169" s="186"/>
      <c r="O169" s="186"/>
      <c r="P169" s="186"/>
      <c r="Q169" s="186"/>
    </row>
    <row r="170" spans="2:17" x14ac:dyDescent="0.35">
      <c r="B170" s="186"/>
      <c r="C170" s="186"/>
      <c r="D170" s="186"/>
      <c r="E170" s="186"/>
      <c r="F170" s="186"/>
      <c r="G170" s="186"/>
      <c r="H170" s="186"/>
      <c r="I170" s="186"/>
      <c r="J170" s="186"/>
      <c r="K170" s="186"/>
      <c r="L170" s="186"/>
      <c r="M170" s="186"/>
      <c r="N170" s="186"/>
      <c r="O170" s="186"/>
      <c r="P170" s="186"/>
      <c r="Q170" s="186"/>
    </row>
    <row r="171" spans="2:17" x14ac:dyDescent="0.35">
      <c r="B171" s="186"/>
      <c r="C171" s="186"/>
      <c r="D171" s="186"/>
      <c r="E171" s="186"/>
      <c r="F171" s="186"/>
      <c r="G171" s="186"/>
      <c r="H171" s="186"/>
      <c r="I171" s="186"/>
      <c r="J171" s="186"/>
      <c r="K171" s="186"/>
      <c r="L171" s="186"/>
      <c r="M171" s="186"/>
      <c r="N171" s="186"/>
      <c r="O171" s="186"/>
      <c r="P171" s="186"/>
      <c r="Q171" s="186"/>
    </row>
    <row r="172" spans="2:17" x14ac:dyDescent="0.35">
      <c r="B172" s="186"/>
      <c r="C172" s="186"/>
      <c r="D172" s="186"/>
      <c r="E172" s="186"/>
      <c r="F172" s="186"/>
      <c r="G172" s="186"/>
      <c r="H172" s="186"/>
      <c r="I172" s="186"/>
      <c r="J172" s="186"/>
      <c r="K172" s="186"/>
      <c r="L172" s="186"/>
      <c r="M172" s="186"/>
      <c r="N172" s="186"/>
      <c r="O172" s="186"/>
      <c r="P172" s="186"/>
      <c r="Q172" s="186"/>
    </row>
    <row r="173" spans="2:17" x14ac:dyDescent="0.35">
      <c r="B173" s="186"/>
      <c r="C173" s="186"/>
      <c r="D173" s="186"/>
      <c r="E173" s="186"/>
      <c r="F173" s="186"/>
      <c r="G173" s="186"/>
      <c r="H173" s="186"/>
      <c r="I173" s="186"/>
      <c r="J173" s="186"/>
      <c r="K173" s="186"/>
      <c r="L173" s="186"/>
      <c r="M173" s="186"/>
      <c r="N173" s="186"/>
      <c r="O173" s="186"/>
      <c r="P173" s="186"/>
      <c r="Q173" s="186"/>
    </row>
    <row r="174" spans="2:17" x14ac:dyDescent="0.35">
      <c r="B174" s="186"/>
      <c r="C174" s="186"/>
      <c r="D174" s="186"/>
      <c r="E174" s="186"/>
      <c r="F174" s="186"/>
      <c r="G174" s="186"/>
      <c r="H174" s="186"/>
      <c r="I174" s="186"/>
      <c r="J174" s="186"/>
      <c r="K174" s="186"/>
      <c r="L174" s="186"/>
      <c r="M174" s="186"/>
      <c r="N174" s="186"/>
      <c r="O174" s="186"/>
      <c r="P174" s="186"/>
      <c r="Q174" s="186"/>
    </row>
    <row r="175" spans="2:17" x14ac:dyDescent="0.35">
      <c r="B175" s="186"/>
      <c r="C175" s="186"/>
      <c r="D175" s="186"/>
      <c r="E175" s="186"/>
      <c r="F175" s="186"/>
      <c r="G175" s="186"/>
      <c r="H175" s="186"/>
      <c r="I175" s="186"/>
      <c r="J175" s="186"/>
      <c r="K175" s="186"/>
      <c r="L175" s="186"/>
      <c r="M175" s="186"/>
      <c r="N175" s="186"/>
      <c r="O175" s="186"/>
      <c r="P175" s="186"/>
      <c r="Q175" s="186"/>
    </row>
    <row r="176" spans="2:17" x14ac:dyDescent="0.35">
      <c r="B176" s="186"/>
      <c r="C176" s="186"/>
      <c r="D176" s="186"/>
      <c r="E176" s="186"/>
      <c r="F176" s="186"/>
      <c r="G176" s="186"/>
      <c r="H176" s="186"/>
      <c r="I176" s="186"/>
      <c r="J176" s="186"/>
      <c r="K176" s="186"/>
      <c r="L176" s="186"/>
      <c r="M176" s="186"/>
      <c r="N176" s="186"/>
      <c r="O176" s="186"/>
      <c r="P176" s="186"/>
      <c r="Q176" s="186"/>
    </row>
    <row r="177" spans="2:17" x14ac:dyDescent="0.35">
      <c r="B177" s="186"/>
      <c r="C177" s="186"/>
      <c r="D177" s="186"/>
      <c r="E177" s="186"/>
      <c r="F177" s="186"/>
      <c r="G177" s="186"/>
      <c r="H177" s="186"/>
      <c r="I177" s="186"/>
      <c r="J177" s="186"/>
      <c r="K177" s="186"/>
      <c r="L177" s="186"/>
      <c r="M177" s="186"/>
      <c r="N177" s="186"/>
      <c r="O177" s="186"/>
      <c r="P177" s="186"/>
      <c r="Q177" s="186"/>
    </row>
    <row r="178" spans="2:17" x14ac:dyDescent="0.35">
      <c r="B178" s="186"/>
      <c r="C178" s="186"/>
      <c r="D178" s="186"/>
      <c r="E178" s="186"/>
      <c r="F178" s="186"/>
      <c r="G178" s="186"/>
      <c r="H178" s="186"/>
      <c r="I178" s="186"/>
      <c r="J178" s="186"/>
      <c r="K178" s="186"/>
      <c r="L178" s="186"/>
      <c r="M178" s="186"/>
      <c r="N178" s="186"/>
      <c r="O178" s="186"/>
      <c r="P178" s="186"/>
      <c r="Q178" s="186"/>
    </row>
    <row r="179" spans="2:17" x14ac:dyDescent="0.35">
      <c r="B179" s="186"/>
      <c r="C179" s="186"/>
      <c r="D179" s="186"/>
      <c r="E179" s="186"/>
      <c r="F179" s="186"/>
      <c r="G179" s="186"/>
      <c r="H179" s="186"/>
      <c r="I179" s="186"/>
      <c r="J179" s="186"/>
      <c r="K179" s="186"/>
      <c r="L179" s="186"/>
      <c r="M179" s="186"/>
      <c r="N179" s="186"/>
      <c r="O179" s="186"/>
      <c r="P179" s="186"/>
      <c r="Q179" s="186"/>
    </row>
    <row r="180" spans="2:17" x14ac:dyDescent="0.35">
      <c r="B180" s="186"/>
      <c r="C180" s="186"/>
      <c r="D180" s="186"/>
      <c r="E180" s="186"/>
      <c r="F180" s="186"/>
      <c r="G180" s="186"/>
      <c r="H180" s="186"/>
      <c r="I180" s="186"/>
      <c r="J180" s="186"/>
      <c r="K180" s="186"/>
      <c r="L180" s="186"/>
      <c r="M180" s="186"/>
      <c r="N180" s="186"/>
      <c r="O180" s="186"/>
      <c r="P180" s="186"/>
      <c r="Q180" s="186"/>
    </row>
    <row r="181" spans="2:17" x14ac:dyDescent="0.35">
      <c r="B181" s="186"/>
      <c r="C181" s="186"/>
      <c r="D181" s="186"/>
      <c r="E181" s="186"/>
      <c r="F181" s="186"/>
      <c r="G181" s="186"/>
      <c r="H181" s="186"/>
      <c r="I181" s="186"/>
      <c r="J181" s="186"/>
      <c r="K181" s="186"/>
      <c r="L181" s="186"/>
      <c r="M181" s="186"/>
      <c r="N181" s="186"/>
      <c r="O181" s="186"/>
      <c r="P181" s="186"/>
      <c r="Q181" s="186"/>
    </row>
    <row r="182" spans="2:17" x14ac:dyDescent="0.35">
      <c r="B182" s="186"/>
      <c r="C182" s="186"/>
      <c r="D182" s="186"/>
      <c r="E182" s="186"/>
      <c r="F182" s="186"/>
      <c r="G182" s="186"/>
      <c r="H182" s="186"/>
      <c r="I182" s="186"/>
      <c r="J182" s="186"/>
      <c r="K182" s="186"/>
      <c r="L182" s="186"/>
      <c r="M182" s="186"/>
      <c r="N182" s="186"/>
      <c r="O182" s="186"/>
      <c r="P182" s="186"/>
      <c r="Q182" s="186"/>
    </row>
    <row r="183" spans="2:17" x14ac:dyDescent="0.35">
      <c r="B183" s="186"/>
      <c r="C183" s="186"/>
      <c r="D183" s="186"/>
      <c r="E183" s="186"/>
      <c r="F183" s="186"/>
      <c r="G183" s="186"/>
      <c r="H183" s="186"/>
      <c r="I183" s="186"/>
      <c r="J183" s="186"/>
      <c r="K183" s="186"/>
      <c r="L183" s="186"/>
      <c r="M183" s="186"/>
      <c r="N183" s="186"/>
      <c r="O183" s="186"/>
      <c r="P183" s="186"/>
      <c r="Q183" s="186"/>
    </row>
    <row r="184" spans="2:17" x14ac:dyDescent="0.35">
      <c r="B184" s="186"/>
      <c r="C184" s="186"/>
      <c r="D184" s="186"/>
      <c r="E184" s="186"/>
      <c r="F184" s="186"/>
      <c r="G184" s="186"/>
      <c r="H184" s="186"/>
      <c r="I184" s="186"/>
      <c r="J184" s="186"/>
      <c r="K184" s="186"/>
      <c r="L184" s="186"/>
      <c r="M184" s="186"/>
      <c r="N184" s="186"/>
      <c r="O184" s="186"/>
      <c r="P184" s="186"/>
      <c r="Q184" s="186"/>
    </row>
    <row r="185" spans="2:17" x14ac:dyDescent="0.35">
      <c r="B185" s="186"/>
      <c r="C185" s="186"/>
      <c r="D185" s="186"/>
      <c r="E185" s="186"/>
      <c r="F185" s="186"/>
      <c r="G185" s="186"/>
      <c r="H185" s="186"/>
      <c r="I185" s="186"/>
      <c r="J185" s="186"/>
      <c r="K185" s="186"/>
      <c r="L185" s="186"/>
      <c r="M185" s="186"/>
      <c r="N185" s="186"/>
      <c r="O185" s="186"/>
      <c r="P185" s="186"/>
      <c r="Q185" s="186"/>
    </row>
    <row r="186" spans="2:17" x14ac:dyDescent="0.35">
      <c r="B186" s="186"/>
      <c r="C186" s="186"/>
      <c r="D186" s="186"/>
      <c r="E186" s="186"/>
      <c r="F186" s="186"/>
      <c r="G186" s="186"/>
      <c r="H186" s="186"/>
      <c r="I186" s="186"/>
      <c r="J186" s="186"/>
      <c r="K186" s="186"/>
      <c r="L186" s="186"/>
      <c r="M186" s="186"/>
      <c r="N186" s="186"/>
      <c r="O186" s="186"/>
      <c r="P186" s="186"/>
      <c r="Q186" s="186"/>
    </row>
    <row r="187" spans="2:17" x14ac:dyDescent="0.35">
      <c r="B187" s="186"/>
      <c r="C187" s="186"/>
      <c r="D187" s="186"/>
      <c r="E187" s="186"/>
      <c r="F187" s="186"/>
      <c r="G187" s="186"/>
      <c r="H187" s="186"/>
      <c r="I187" s="186"/>
      <c r="J187" s="186"/>
      <c r="K187" s="186"/>
      <c r="L187" s="186"/>
      <c r="M187" s="186"/>
      <c r="N187" s="186"/>
      <c r="O187" s="186"/>
      <c r="P187" s="186"/>
      <c r="Q187" s="186"/>
    </row>
    <row r="188" spans="2:17" x14ac:dyDescent="0.35">
      <c r="B188" s="186"/>
      <c r="C188" s="186"/>
      <c r="D188" s="186"/>
      <c r="E188" s="186"/>
      <c r="F188" s="186"/>
      <c r="G188" s="186"/>
      <c r="H188" s="186"/>
      <c r="I188" s="186"/>
      <c r="J188" s="186"/>
      <c r="K188" s="186"/>
      <c r="L188" s="186"/>
      <c r="M188" s="186"/>
      <c r="N188" s="186"/>
      <c r="O188" s="186"/>
      <c r="P188" s="186"/>
      <c r="Q188" s="186"/>
    </row>
    <row r="189" spans="2:17" x14ac:dyDescent="0.35">
      <c r="B189" s="186"/>
      <c r="C189" s="186"/>
      <c r="D189" s="186"/>
      <c r="E189" s="186"/>
      <c r="F189" s="186"/>
      <c r="G189" s="186"/>
      <c r="H189" s="186"/>
      <c r="I189" s="186"/>
      <c r="J189" s="186"/>
      <c r="K189" s="186"/>
      <c r="L189" s="186"/>
      <c r="M189" s="186"/>
      <c r="N189" s="186"/>
      <c r="O189" s="186"/>
      <c r="P189" s="186"/>
      <c r="Q189" s="186"/>
    </row>
    <row r="190" spans="2:17" x14ac:dyDescent="0.35">
      <c r="B190" s="186"/>
      <c r="C190" s="186"/>
      <c r="D190" s="186"/>
      <c r="E190" s="186"/>
      <c r="F190" s="186"/>
      <c r="G190" s="186"/>
      <c r="H190" s="186"/>
      <c r="I190" s="186"/>
      <c r="J190" s="186"/>
      <c r="K190" s="186"/>
      <c r="L190" s="186"/>
      <c r="M190" s="186"/>
      <c r="N190" s="186"/>
      <c r="O190" s="186"/>
      <c r="P190" s="186"/>
      <c r="Q190" s="186"/>
    </row>
    <row r="191" spans="2:17" x14ac:dyDescent="0.35">
      <c r="B191" s="186"/>
      <c r="C191" s="186"/>
      <c r="D191" s="186"/>
      <c r="E191" s="186"/>
      <c r="F191" s="186"/>
      <c r="G191" s="186"/>
      <c r="H191" s="186"/>
      <c r="I191" s="186"/>
      <c r="J191" s="186"/>
      <c r="K191" s="186"/>
      <c r="L191" s="186"/>
      <c r="M191" s="186"/>
      <c r="N191" s="186"/>
      <c r="O191" s="186"/>
      <c r="P191" s="186"/>
      <c r="Q191" s="186"/>
    </row>
    <row r="192" spans="2:17" x14ac:dyDescent="0.35">
      <c r="B192" s="186"/>
      <c r="C192" s="186"/>
      <c r="D192" s="186"/>
      <c r="E192" s="186"/>
      <c r="F192" s="186"/>
      <c r="G192" s="186"/>
      <c r="H192" s="186"/>
      <c r="I192" s="186"/>
      <c r="J192" s="186"/>
      <c r="K192" s="186"/>
      <c r="L192" s="186"/>
      <c r="M192" s="186"/>
      <c r="N192" s="186"/>
      <c r="O192" s="186"/>
      <c r="P192" s="186"/>
      <c r="Q192" s="186"/>
    </row>
    <row r="193" spans="2:17" x14ac:dyDescent="0.35">
      <c r="B193" s="186"/>
      <c r="C193" s="186"/>
      <c r="D193" s="186"/>
      <c r="E193" s="186"/>
      <c r="F193" s="186"/>
      <c r="G193" s="186"/>
      <c r="H193" s="186"/>
      <c r="I193" s="186"/>
      <c r="J193" s="186"/>
      <c r="K193" s="186"/>
      <c r="L193" s="186"/>
      <c r="M193" s="186"/>
      <c r="N193" s="186"/>
      <c r="O193" s="186"/>
      <c r="P193" s="186"/>
      <c r="Q193" s="186"/>
    </row>
    <row r="194" spans="2:17" x14ac:dyDescent="0.35">
      <c r="B194" s="186"/>
      <c r="C194" s="186"/>
      <c r="D194" s="186"/>
      <c r="E194" s="186"/>
      <c r="F194" s="186"/>
      <c r="G194" s="186"/>
      <c r="H194" s="186"/>
      <c r="I194" s="186"/>
      <c r="J194" s="186"/>
      <c r="K194" s="186"/>
      <c r="L194" s="186"/>
      <c r="M194" s="186"/>
      <c r="N194" s="186"/>
      <c r="O194" s="186"/>
      <c r="P194" s="186"/>
      <c r="Q194" s="186"/>
    </row>
    <row r="195" spans="2:17" x14ac:dyDescent="0.35">
      <c r="B195" s="186"/>
      <c r="C195" s="186"/>
      <c r="D195" s="186"/>
      <c r="E195" s="186"/>
      <c r="F195" s="186"/>
      <c r="G195" s="186"/>
      <c r="H195" s="186"/>
      <c r="I195" s="186"/>
      <c r="J195" s="186"/>
      <c r="K195" s="186"/>
      <c r="L195" s="186"/>
      <c r="M195" s="186"/>
      <c r="N195" s="186"/>
      <c r="O195" s="186"/>
      <c r="P195" s="186"/>
      <c r="Q195" s="186"/>
    </row>
    <row r="196" spans="2:17" x14ac:dyDescent="0.35">
      <c r="B196" s="186"/>
      <c r="C196" s="186"/>
      <c r="D196" s="186"/>
      <c r="E196" s="186"/>
      <c r="F196" s="186"/>
      <c r="G196" s="186"/>
      <c r="H196" s="186"/>
      <c r="I196" s="186"/>
      <c r="J196" s="186"/>
      <c r="K196" s="186"/>
      <c r="L196" s="186"/>
      <c r="M196" s="186"/>
      <c r="N196" s="186"/>
      <c r="O196" s="186"/>
      <c r="P196" s="186"/>
      <c r="Q196" s="186"/>
    </row>
    <row r="197" spans="2:17" x14ac:dyDescent="0.35">
      <c r="B197" s="186"/>
      <c r="C197" s="186"/>
      <c r="D197" s="186"/>
      <c r="E197" s="186"/>
      <c r="F197" s="186"/>
      <c r="G197" s="186"/>
      <c r="H197" s="186"/>
      <c r="I197" s="186"/>
      <c r="J197" s="186"/>
      <c r="K197" s="186"/>
      <c r="L197" s="186"/>
      <c r="M197" s="186"/>
      <c r="N197" s="186"/>
      <c r="O197" s="186"/>
      <c r="P197" s="186"/>
      <c r="Q197" s="186"/>
    </row>
    <row r="198" spans="2:17" x14ac:dyDescent="0.35">
      <c r="B198" s="186"/>
      <c r="C198" s="186"/>
      <c r="D198" s="186"/>
      <c r="E198" s="186"/>
      <c r="F198" s="186"/>
      <c r="G198" s="186"/>
      <c r="H198" s="186"/>
      <c r="I198" s="186"/>
      <c r="J198" s="186"/>
      <c r="K198" s="186"/>
      <c r="L198" s="186"/>
      <c r="M198" s="186"/>
      <c r="N198" s="186"/>
      <c r="O198" s="186"/>
      <c r="P198" s="186"/>
      <c r="Q198" s="186"/>
    </row>
    <row r="199" spans="2:17" x14ac:dyDescent="0.35">
      <c r="B199" s="186"/>
      <c r="C199" s="186"/>
      <c r="D199" s="186"/>
      <c r="E199" s="186"/>
      <c r="F199" s="186"/>
      <c r="G199" s="186"/>
      <c r="H199" s="186"/>
      <c r="I199" s="186"/>
      <c r="J199" s="186"/>
      <c r="K199" s="186"/>
      <c r="L199" s="186"/>
      <c r="M199" s="186"/>
      <c r="N199" s="186"/>
      <c r="O199" s="186"/>
      <c r="P199" s="186"/>
      <c r="Q199" s="186"/>
    </row>
    <row r="200" spans="2:17" x14ac:dyDescent="0.35">
      <c r="B200" s="186"/>
      <c r="C200" s="186"/>
      <c r="D200" s="186"/>
      <c r="E200" s="186"/>
      <c r="F200" s="186"/>
      <c r="G200" s="186"/>
      <c r="H200" s="186"/>
      <c r="I200" s="186"/>
      <c r="J200" s="186"/>
      <c r="K200" s="186"/>
      <c r="L200" s="186"/>
      <c r="M200" s="186"/>
      <c r="N200" s="186"/>
      <c r="O200" s="186"/>
      <c r="P200" s="186"/>
      <c r="Q200" s="186"/>
    </row>
    <row r="201" spans="2:17" x14ac:dyDescent="0.35">
      <c r="B201" s="186"/>
      <c r="C201" s="186"/>
      <c r="D201" s="186"/>
      <c r="E201" s="186"/>
      <c r="F201" s="186"/>
      <c r="G201" s="186"/>
      <c r="H201" s="186"/>
      <c r="I201" s="186"/>
      <c r="J201" s="186"/>
      <c r="K201" s="186"/>
      <c r="L201" s="186"/>
      <c r="M201" s="186"/>
      <c r="N201" s="186"/>
      <c r="O201" s="186"/>
      <c r="P201" s="186"/>
      <c r="Q201" s="186"/>
    </row>
    <row r="202" spans="2:17" x14ac:dyDescent="0.35">
      <c r="B202" s="186"/>
      <c r="C202" s="186"/>
      <c r="D202" s="186"/>
      <c r="E202" s="186"/>
      <c r="F202" s="186"/>
      <c r="G202" s="186"/>
      <c r="H202" s="186"/>
      <c r="I202" s="186"/>
      <c r="J202" s="186"/>
      <c r="K202" s="186"/>
      <c r="L202" s="186"/>
      <c r="M202" s="186"/>
      <c r="N202" s="186"/>
      <c r="O202" s="186"/>
      <c r="P202" s="186"/>
      <c r="Q202" s="186"/>
    </row>
    <row r="203" spans="2:17" x14ac:dyDescent="0.35">
      <c r="B203" s="186"/>
      <c r="C203" s="186"/>
      <c r="D203" s="186"/>
      <c r="E203" s="186"/>
      <c r="F203" s="186"/>
      <c r="G203" s="186"/>
      <c r="H203" s="186"/>
      <c r="I203" s="186"/>
      <c r="J203" s="186"/>
      <c r="K203" s="186"/>
      <c r="L203" s="186"/>
      <c r="M203" s="186"/>
      <c r="N203" s="186"/>
      <c r="O203" s="186"/>
      <c r="P203" s="186"/>
      <c r="Q203" s="186"/>
    </row>
    <row r="204" spans="2:17" x14ac:dyDescent="0.35">
      <c r="B204" s="186"/>
      <c r="C204" s="186"/>
      <c r="D204" s="186"/>
      <c r="E204" s="186"/>
      <c r="F204" s="186"/>
      <c r="G204" s="186"/>
      <c r="H204" s="186"/>
      <c r="I204" s="186"/>
      <c r="J204" s="186"/>
      <c r="K204" s="186"/>
      <c r="L204" s="186"/>
      <c r="M204" s="186"/>
      <c r="N204" s="186"/>
      <c r="O204" s="186"/>
      <c r="P204" s="186"/>
      <c r="Q204" s="186"/>
    </row>
    <row r="205" spans="2:17" x14ac:dyDescent="0.35">
      <c r="B205" s="186"/>
      <c r="C205" s="186"/>
      <c r="D205" s="186"/>
      <c r="E205" s="186"/>
      <c r="F205" s="186"/>
      <c r="G205" s="186"/>
      <c r="H205" s="186"/>
      <c r="I205" s="186"/>
      <c r="J205" s="186"/>
      <c r="K205" s="186"/>
      <c r="L205" s="186"/>
      <c r="M205" s="186"/>
      <c r="N205" s="186"/>
      <c r="O205" s="186"/>
      <c r="P205" s="186"/>
      <c r="Q205" s="186"/>
    </row>
    <row r="206" spans="2:17" x14ac:dyDescent="0.35">
      <c r="B206" s="186"/>
      <c r="C206" s="186"/>
      <c r="D206" s="186"/>
      <c r="E206" s="186"/>
      <c r="F206" s="186"/>
      <c r="G206" s="186"/>
      <c r="H206" s="186"/>
      <c r="I206" s="186"/>
      <c r="J206" s="186"/>
      <c r="K206" s="186"/>
      <c r="L206" s="186"/>
      <c r="M206" s="186"/>
      <c r="N206" s="186"/>
      <c r="O206" s="186"/>
      <c r="P206" s="186"/>
      <c r="Q206" s="186"/>
    </row>
    <row r="207" spans="2:17" x14ac:dyDescent="0.35">
      <c r="B207" s="186"/>
      <c r="C207" s="186"/>
      <c r="D207" s="186"/>
      <c r="E207" s="186"/>
      <c r="F207" s="186"/>
      <c r="G207" s="186"/>
      <c r="H207" s="186"/>
      <c r="I207" s="186"/>
      <c r="J207" s="186"/>
      <c r="K207" s="186"/>
      <c r="L207" s="186"/>
      <c r="M207" s="186"/>
      <c r="N207" s="186"/>
      <c r="O207" s="186"/>
      <c r="P207" s="186"/>
      <c r="Q207" s="186"/>
    </row>
    <row r="208" spans="2:17" x14ac:dyDescent="0.35">
      <c r="B208" s="186"/>
      <c r="C208" s="186"/>
      <c r="D208" s="186"/>
      <c r="E208" s="186"/>
      <c r="F208" s="186"/>
      <c r="G208" s="186"/>
      <c r="H208" s="186"/>
      <c r="I208" s="186"/>
      <c r="J208" s="186"/>
      <c r="K208" s="186"/>
      <c r="L208" s="186"/>
      <c r="M208" s="186"/>
      <c r="N208" s="186"/>
      <c r="O208" s="186"/>
      <c r="P208" s="186"/>
      <c r="Q208" s="186"/>
    </row>
    <row r="209" spans="2:17" x14ac:dyDescent="0.35">
      <c r="B209" s="186"/>
      <c r="C209" s="186"/>
      <c r="D209" s="186"/>
      <c r="E209" s="186"/>
      <c r="F209" s="186"/>
      <c r="G209" s="186"/>
      <c r="H209" s="186"/>
      <c r="I209" s="186"/>
      <c r="J209" s="186"/>
      <c r="K209" s="186"/>
      <c r="L209" s="186"/>
      <c r="M209" s="186"/>
      <c r="N209" s="186"/>
      <c r="O209" s="186"/>
      <c r="P209" s="186"/>
      <c r="Q209" s="186"/>
    </row>
    <row r="210" spans="2:17" x14ac:dyDescent="0.35">
      <c r="B210" s="186"/>
      <c r="C210" s="186"/>
      <c r="D210" s="186"/>
      <c r="E210" s="186"/>
      <c r="F210" s="186"/>
      <c r="G210" s="186"/>
      <c r="H210" s="186"/>
      <c r="I210" s="186"/>
      <c r="J210" s="186"/>
      <c r="K210" s="186"/>
      <c r="L210" s="186"/>
      <c r="M210" s="186"/>
      <c r="N210" s="186"/>
      <c r="O210" s="186"/>
      <c r="P210" s="186"/>
      <c r="Q210" s="186"/>
    </row>
    <row r="211" spans="2:17" x14ac:dyDescent="0.35">
      <c r="B211" s="186"/>
      <c r="C211" s="186"/>
      <c r="D211" s="186"/>
      <c r="E211" s="186"/>
      <c r="F211" s="186"/>
      <c r="G211" s="186"/>
      <c r="H211" s="186"/>
      <c r="I211" s="186"/>
      <c r="J211" s="186"/>
      <c r="K211" s="186"/>
      <c r="L211" s="186"/>
      <c r="M211" s="186"/>
      <c r="N211" s="186"/>
      <c r="O211" s="186"/>
      <c r="P211" s="186"/>
      <c r="Q211" s="186"/>
    </row>
    <row r="212" spans="2:17" x14ac:dyDescent="0.35">
      <c r="B212" s="186"/>
      <c r="C212" s="186"/>
      <c r="D212" s="186"/>
      <c r="E212" s="186"/>
      <c r="F212" s="186"/>
      <c r="G212" s="186"/>
      <c r="H212" s="186"/>
      <c r="I212" s="186"/>
      <c r="J212" s="186"/>
      <c r="K212" s="186"/>
      <c r="L212" s="186"/>
      <c r="M212" s="186"/>
      <c r="N212" s="186"/>
      <c r="O212" s="186"/>
      <c r="P212" s="186"/>
      <c r="Q212" s="186"/>
    </row>
    <row r="213" spans="2:17" x14ac:dyDescent="0.35">
      <c r="B213" s="186"/>
      <c r="C213" s="186"/>
      <c r="D213" s="186"/>
      <c r="E213" s="186"/>
      <c r="F213" s="186"/>
      <c r="G213" s="186"/>
      <c r="H213" s="186"/>
      <c r="I213" s="186"/>
      <c r="J213" s="186"/>
      <c r="K213" s="186"/>
      <c r="L213" s="186"/>
      <c r="M213" s="186"/>
      <c r="N213" s="186"/>
      <c r="O213" s="186"/>
      <c r="P213" s="186"/>
      <c r="Q213" s="186"/>
    </row>
    <row r="214" spans="2:17" x14ac:dyDescent="0.35">
      <c r="B214" s="186"/>
      <c r="C214" s="186"/>
      <c r="D214" s="186"/>
      <c r="E214" s="186"/>
      <c r="F214" s="186"/>
      <c r="G214" s="186"/>
      <c r="H214" s="186"/>
      <c r="I214" s="186"/>
      <c r="J214" s="186"/>
      <c r="K214" s="186"/>
      <c r="L214" s="186"/>
      <c r="M214" s="186"/>
      <c r="N214" s="186"/>
      <c r="O214" s="186"/>
      <c r="P214" s="186"/>
      <c r="Q214" s="186"/>
    </row>
    <row r="215" spans="2:17" x14ac:dyDescent="0.35">
      <c r="B215" s="186"/>
      <c r="C215" s="186"/>
      <c r="D215" s="186"/>
      <c r="E215" s="186"/>
      <c r="F215" s="186"/>
      <c r="G215" s="186"/>
      <c r="H215" s="186"/>
      <c r="I215" s="186"/>
      <c r="J215" s="186"/>
      <c r="K215" s="186"/>
      <c r="L215" s="186"/>
      <c r="M215" s="186"/>
      <c r="N215" s="186"/>
      <c r="O215" s="186"/>
      <c r="P215" s="186"/>
      <c r="Q215" s="186"/>
    </row>
    <row r="216" spans="2:17" x14ac:dyDescent="0.35">
      <c r="B216" s="186"/>
      <c r="C216" s="186"/>
      <c r="D216" s="186"/>
      <c r="E216" s="186"/>
      <c r="F216" s="186"/>
      <c r="G216" s="186"/>
      <c r="H216" s="186"/>
      <c r="I216" s="186"/>
      <c r="J216" s="186"/>
      <c r="K216" s="186"/>
      <c r="L216" s="186"/>
      <c r="M216" s="186"/>
      <c r="N216" s="186"/>
      <c r="O216" s="186"/>
      <c r="P216" s="186"/>
      <c r="Q216" s="186"/>
    </row>
    <row r="217" spans="2:17" x14ac:dyDescent="0.35">
      <c r="B217" s="186"/>
      <c r="C217" s="186"/>
      <c r="D217" s="186"/>
      <c r="E217" s="186"/>
      <c r="F217" s="186"/>
      <c r="G217" s="186"/>
      <c r="H217" s="186"/>
      <c r="I217" s="186"/>
      <c r="J217" s="186"/>
      <c r="K217" s="186"/>
      <c r="L217" s="186"/>
      <c r="M217" s="186"/>
      <c r="N217" s="186"/>
      <c r="O217" s="186"/>
      <c r="P217" s="186"/>
      <c r="Q217" s="186"/>
    </row>
    <row r="218" spans="2:17" x14ac:dyDescent="0.35">
      <c r="B218" s="186"/>
      <c r="C218" s="186"/>
      <c r="D218" s="186"/>
      <c r="E218" s="186"/>
      <c r="F218" s="186"/>
      <c r="G218" s="186"/>
      <c r="H218" s="186"/>
      <c r="I218" s="186"/>
      <c r="J218" s="186"/>
      <c r="K218" s="186"/>
      <c r="L218" s="186"/>
      <c r="M218" s="186"/>
      <c r="N218" s="186"/>
      <c r="O218" s="186"/>
      <c r="P218" s="186"/>
      <c r="Q218" s="186"/>
    </row>
    <row r="219" spans="2:17" x14ac:dyDescent="0.35">
      <c r="B219" s="186"/>
      <c r="C219" s="186"/>
      <c r="D219" s="186"/>
      <c r="E219" s="186"/>
      <c r="F219" s="186"/>
      <c r="G219" s="186"/>
      <c r="H219" s="186"/>
      <c r="I219" s="186"/>
      <c r="J219" s="186"/>
      <c r="K219" s="186"/>
      <c r="L219" s="186"/>
      <c r="M219" s="186"/>
      <c r="N219" s="186"/>
      <c r="O219" s="186"/>
      <c r="P219" s="186"/>
      <c r="Q219" s="186"/>
    </row>
    <row r="220" spans="2:17" x14ac:dyDescent="0.35">
      <c r="B220" s="186"/>
      <c r="C220" s="186"/>
      <c r="D220" s="186"/>
      <c r="E220" s="186"/>
      <c r="F220" s="186"/>
      <c r="G220" s="186"/>
      <c r="H220" s="186"/>
      <c r="I220" s="186"/>
      <c r="J220" s="186"/>
      <c r="K220" s="186"/>
      <c r="L220" s="186"/>
      <c r="M220" s="186"/>
      <c r="N220" s="186"/>
      <c r="O220" s="186"/>
      <c r="P220" s="186"/>
      <c r="Q220" s="186"/>
    </row>
    <row r="221" spans="2:17" x14ac:dyDescent="0.35">
      <c r="B221" s="186"/>
      <c r="C221" s="186"/>
      <c r="D221" s="186"/>
      <c r="E221" s="186"/>
      <c r="F221" s="186"/>
      <c r="G221" s="186"/>
      <c r="H221" s="186"/>
      <c r="I221" s="186"/>
      <c r="J221" s="186"/>
      <c r="K221" s="186"/>
      <c r="L221" s="186"/>
      <c r="M221" s="186"/>
      <c r="N221" s="186"/>
      <c r="O221" s="186"/>
      <c r="P221" s="186"/>
      <c r="Q221" s="186"/>
    </row>
    <row r="222" spans="2:17" x14ac:dyDescent="0.35">
      <c r="B222" s="186"/>
      <c r="C222" s="186"/>
      <c r="D222" s="186"/>
      <c r="E222" s="186"/>
      <c r="F222" s="186"/>
      <c r="G222" s="186"/>
      <c r="H222" s="186"/>
      <c r="I222" s="186"/>
      <c r="J222" s="186"/>
      <c r="K222" s="186"/>
      <c r="L222" s="186"/>
      <c r="M222" s="186"/>
      <c r="N222" s="186"/>
      <c r="O222" s="186"/>
      <c r="P222" s="186"/>
      <c r="Q222" s="186"/>
    </row>
    <row r="223" spans="2:17" x14ac:dyDescent="0.35">
      <c r="B223" s="186"/>
      <c r="C223" s="186"/>
      <c r="D223" s="186"/>
      <c r="E223" s="186"/>
      <c r="F223" s="186"/>
      <c r="G223" s="186"/>
      <c r="H223" s="186"/>
      <c r="I223" s="186"/>
      <c r="J223" s="186"/>
      <c r="K223" s="186"/>
      <c r="L223" s="186"/>
      <c r="M223" s="186"/>
      <c r="N223" s="186"/>
      <c r="O223" s="186"/>
      <c r="P223" s="186"/>
      <c r="Q223" s="186"/>
    </row>
    <row r="224" spans="2:17" x14ac:dyDescent="0.35">
      <c r="B224" s="186"/>
      <c r="C224" s="186"/>
      <c r="D224" s="186"/>
      <c r="E224" s="186"/>
      <c r="F224" s="186"/>
      <c r="G224" s="186"/>
      <c r="H224" s="186"/>
      <c r="I224" s="186"/>
      <c r="J224" s="186"/>
      <c r="K224" s="186"/>
      <c r="L224" s="186"/>
      <c r="M224" s="186"/>
      <c r="N224" s="186"/>
      <c r="O224" s="186"/>
      <c r="P224" s="186"/>
      <c r="Q224" s="186"/>
    </row>
    <row r="225" spans="2:17" x14ac:dyDescent="0.35">
      <c r="B225" s="186"/>
      <c r="C225" s="186"/>
      <c r="D225" s="186"/>
      <c r="E225" s="186"/>
      <c r="F225" s="186"/>
      <c r="G225" s="186"/>
      <c r="H225" s="186"/>
      <c r="I225" s="186"/>
      <c r="J225" s="186"/>
      <c r="K225" s="186"/>
      <c r="L225" s="186"/>
      <c r="M225" s="186"/>
      <c r="N225" s="186"/>
      <c r="O225" s="186"/>
      <c r="P225" s="186"/>
      <c r="Q225" s="186"/>
    </row>
    <row r="226" spans="2:17" x14ac:dyDescent="0.35">
      <c r="B226" s="186"/>
      <c r="C226" s="186"/>
      <c r="D226" s="186"/>
      <c r="E226" s="186"/>
      <c r="F226" s="186"/>
      <c r="G226" s="186"/>
      <c r="H226" s="186"/>
      <c r="I226" s="186"/>
      <c r="J226" s="186"/>
      <c r="K226" s="186"/>
      <c r="L226" s="186"/>
      <c r="M226" s="186"/>
      <c r="N226" s="186"/>
      <c r="O226" s="186"/>
      <c r="P226" s="186"/>
      <c r="Q226" s="186"/>
    </row>
    <row r="227" spans="2:17" x14ac:dyDescent="0.35">
      <c r="B227" s="186"/>
      <c r="C227" s="186"/>
      <c r="D227" s="186"/>
      <c r="E227" s="186"/>
      <c r="F227" s="186"/>
      <c r="G227" s="186"/>
      <c r="H227" s="186"/>
      <c r="I227" s="186"/>
      <c r="J227" s="186"/>
      <c r="K227" s="186"/>
      <c r="L227" s="186"/>
      <c r="M227" s="186"/>
      <c r="N227" s="186"/>
      <c r="O227" s="186"/>
      <c r="P227" s="186"/>
      <c r="Q227" s="186"/>
    </row>
    <row r="228" spans="2:17" x14ac:dyDescent="0.35">
      <c r="B228" s="186"/>
      <c r="C228" s="186"/>
      <c r="D228" s="186"/>
      <c r="E228" s="186"/>
      <c r="F228" s="186"/>
      <c r="G228" s="186"/>
      <c r="H228" s="186"/>
      <c r="I228" s="186"/>
      <c r="J228" s="186"/>
      <c r="K228" s="186"/>
      <c r="L228" s="186"/>
      <c r="M228" s="186"/>
      <c r="N228" s="186"/>
      <c r="O228" s="186"/>
      <c r="P228" s="186"/>
      <c r="Q228" s="186"/>
    </row>
    <row r="229" spans="2:17" x14ac:dyDescent="0.35">
      <c r="B229" s="186"/>
      <c r="C229" s="186"/>
      <c r="D229" s="186"/>
      <c r="E229" s="186"/>
      <c r="F229" s="186"/>
      <c r="G229" s="186"/>
      <c r="H229" s="186"/>
      <c r="I229" s="186"/>
      <c r="J229" s="186"/>
      <c r="K229" s="186"/>
      <c r="L229" s="186"/>
      <c r="M229" s="186"/>
      <c r="N229" s="186"/>
      <c r="O229" s="186"/>
      <c r="P229" s="186"/>
      <c r="Q229" s="186"/>
    </row>
    <row r="230" spans="2:17" x14ac:dyDescent="0.35">
      <c r="B230" s="186"/>
      <c r="C230" s="186"/>
      <c r="D230" s="186"/>
      <c r="E230" s="186"/>
      <c r="F230" s="186"/>
      <c r="G230" s="186"/>
      <c r="H230" s="186"/>
      <c r="I230" s="186"/>
      <c r="J230" s="186"/>
      <c r="K230" s="186"/>
      <c r="L230" s="186"/>
      <c r="M230" s="186"/>
      <c r="N230" s="186"/>
      <c r="O230" s="186"/>
      <c r="P230" s="186"/>
      <c r="Q230" s="186"/>
    </row>
    <row r="231" spans="2:17" x14ac:dyDescent="0.35">
      <c r="B231" s="186"/>
      <c r="C231" s="186"/>
      <c r="D231" s="186"/>
      <c r="E231" s="186"/>
      <c r="F231" s="186"/>
      <c r="G231" s="186"/>
      <c r="H231" s="186"/>
      <c r="I231" s="186"/>
      <c r="J231" s="186"/>
      <c r="K231" s="186"/>
      <c r="L231" s="186"/>
      <c r="M231" s="186"/>
      <c r="N231" s="186"/>
      <c r="O231" s="186"/>
      <c r="P231" s="186"/>
      <c r="Q231" s="186"/>
    </row>
    <row r="232" spans="2:17" x14ac:dyDescent="0.35">
      <c r="B232" s="186"/>
      <c r="C232" s="186"/>
      <c r="D232" s="186"/>
      <c r="E232" s="186"/>
      <c r="F232" s="186"/>
      <c r="G232" s="186"/>
      <c r="H232" s="186"/>
      <c r="I232" s="186"/>
      <c r="J232" s="186"/>
      <c r="K232" s="186"/>
      <c r="L232" s="186"/>
      <c r="M232" s="186"/>
      <c r="N232" s="186"/>
      <c r="O232" s="186"/>
      <c r="P232" s="186"/>
      <c r="Q232" s="186"/>
    </row>
    <row r="233" spans="2:17" x14ac:dyDescent="0.35">
      <c r="B233" s="186"/>
      <c r="C233" s="186"/>
      <c r="D233" s="186"/>
      <c r="E233" s="186"/>
      <c r="F233" s="186"/>
      <c r="G233" s="186"/>
      <c r="H233" s="186"/>
      <c r="I233" s="186"/>
      <c r="J233" s="186"/>
      <c r="K233" s="186"/>
      <c r="L233" s="186"/>
      <c r="M233" s="186"/>
      <c r="N233" s="186"/>
      <c r="O233" s="186"/>
      <c r="P233" s="186"/>
      <c r="Q233" s="186"/>
    </row>
    <row r="234" spans="2:17" x14ac:dyDescent="0.35">
      <c r="B234" s="186"/>
      <c r="C234" s="186"/>
      <c r="D234" s="186"/>
      <c r="E234" s="186"/>
      <c r="F234" s="186"/>
      <c r="G234" s="186"/>
      <c r="H234" s="186"/>
      <c r="I234" s="186"/>
      <c r="J234" s="186"/>
      <c r="K234" s="186"/>
      <c r="L234" s="186"/>
      <c r="M234" s="186"/>
      <c r="N234" s="186"/>
      <c r="O234" s="186"/>
      <c r="P234" s="186"/>
      <c r="Q234" s="186"/>
    </row>
    <row r="235" spans="2:17" x14ac:dyDescent="0.35">
      <c r="B235" s="186"/>
      <c r="C235" s="186"/>
      <c r="D235" s="186"/>
      <c r="E235" s="186"/>
      <c r="F235" s="186"/>
      <c r="G235" s="186"/>
      <c r="H235" s="186"/>
      <c r="I235" s="186"/>
      <c r="J235" s="186"/>
      <c r="K235" s="186"/>
      <c r="L235" s="186"/>
      <c r="M235" s="186"/>
      <c r="N235" s="186"/>
      <c r="O235" s="186"/>
      <c r="P235" s="186"/>
      <c r="Q235" s="186"/>
    </row>
    <row r="236" spans="2:17" x14ac:dyDescent="0.35">
      <c r="B236" s="186"/>
      <c r="C236" s="186"/>
      <c r="D236" s="186"/>
      <c r="E236" s="186"/>
      <c r="F236" s="186"/>
      <c r="G236" s="186"/>
      <c r="H236" s="186"/>
      <c r="I236" s="186"/>
      <c r="J236" s="186"/>
      <c r="K236" s="186"/>
      <c r="L236" s="186"/>
      <c r="M236" s="186"/>
      <c r="N236" s="186"/>
      <c r="O236" s="186"/>
      <c r="P236" s="186"/>
      <c r="Q236" s="186"/>
    </row>
    <row r="237" spans="2:17" x14ac:dyDescent="0.35">
      <c r="B237" s="186"/>
      <c r="C237" s="186"/>
      <c r="D237" s="186"/>
      <c r="E237" s="186"/>
      <c r="F237" s="186"/>
      <c r="G237" s="186"/>
      <c r="H237" s="186"/>
      <c r="I237" s="186"/>
      <c r="J237" s="186"/>
      <c r="K237" s="186"/>
      <c r="L237" s="186"/>
      <c r="M237" s="186"/>
      <c r="N237" s="186"/>
      <c r="O237" s="186"/>
      <c r="P237" s="186"/>
      <c r="Q237" s="186"/>
    </row>
    <row r="238" spans="2:17" x14ac:dyDescent="0.35">
      <c r="B238" s="186"/>
      <c r="C238" s="186"/>
      <c r="D238" s="186"/>
      <c r="E238" s="186"/>
      <c r="F238" s="186"/>
      <c r="G238" s="186"/>
      <c r="H238" s="186"/>
      <c r="I238" s="186"/>
      <c r="J238" s="186"/>
      <c r="K238" s="186"/>
      <c r="L238" s="186"/>
      <c r="M238" s="186"/>
      <c r="N238" s="186"/>
      <c r="O238" s="186"/>
      <c r="P238" s="186"/>
      <c r="Q238" s="186"/>
    </row>
    <row r="239" spans="2:17" x14ac:dyDescent="0.35">
      <c r="B239" s="186"/>
      <c r="C239" s="186"/>
      <c r="D239" s="186"/>
      <c r="E239" s="186"/>
      <c r="F239" s="186"/>
      <c r="G239" s="186"/>
      <c r="H239" s="186"/>
      <c r="I239" s="186"/>
      <c r="J239" s="186"/>
      <c r="K239" s="186"/>
      <c r="L239" s="186"/>
      <c r="M239" s="186"/>
      <c r="N239" s="186"/>
      <c r="O239" s="186"/>
      <c r="P239" s="186"/>
      <c r="Q239" s="186"/>
    </row>
    <row r="240" spans="2:17" x14ac:dyDescent="0.35">
      <c r="B240" s="186"/>
      <c r="C240" s="186"/>
      <c r="D240" s="186"/>
      <c r="E240" s="186"/>
      <c r="F240" s="186"/>
      <c r="G240" s="186"/>
      <c r="H240" s="186"/>
      <c r="I240" s="186"/>
      <c r="J240" s="186"/>
      <c r="K240" s="186"/>
      <c r="L240" s="186"/>
      <c r="M240" s="186"/>
      <c r="N240" s="186"/>
      <c r="O240" s="186"/>
      <c r="P240" s="186"/>
      <c r="Q240" s="186"/>
    </row>
    <row r="241" spans="2:17" x14ac:dyDescent="0.35">
      <c r="B241" s="186"/>
      <c r="C241" s="186"/>
      <c r="D241" s="186"/>
      <c r="E241" s="186"/>
      <c r="F241" s="186"/>
      <c r="G241" s="186"/>
      <c r="H241" s="186"/>
      <c r="I241" s="186"/>
      <c r="J241" s="186"/>
      <c r="K241" s="186"/>
      <c r="L241" s="186"/>
      <c r="M241" s="186"/>
      <c r="N241" s="186"/>
      <c r="O241" s="186"/>
      <c r="P241" s="186"/>
      <c r="Q241" s="186"/>
    </row>
    <row r="242" spans="2:17" x14ac:dyDescent="0.35">
      <c r="B242" s="186"/>
      <c r="C242" s="186"/>
      <c r="D242" s="186"/>
      <c r="E242" s="186"/>
      <c r="F242" s="186"/>
      <c r="G242" s="186"/>
      <c r="H242" s="186"/>
      <c r="I242" s="186"/>
      <c r="J242" s="186"/>
      <c r="K242" s="186"/>
      <c r="L242" s="186"/>
      <c r="M242" s="186"/>
      <c r="N242" s="186"/>
      <c r="O242" s="186"/>
      <c r="P242" s="186"/>
      <c r="Q242" s="186"/>
    </row>
    <row r="243" spans="2:17" x14ac:dyDescent="0.35">
      <c r="B243" s="186"/>
      <c r="C243" s="186"/>
      <c r="D243" s="186"/>
      <c r="E243" s="186"/>
      <c r="F243" s="186"/>
      <c r="G243" s="186"/>
      <c r="H243" s="186"/>
      <c r="I243" s="186"/>
      <c r="J243" s="186"/>
      <c r="K243" s="186"/>
      <c r="L243" s="186"/>
      <c r="M243" s="186"/>
      <c r="N243" s="186"/>
      <c r="O243" s="186"/>
      <c r="P243" s="186"/>
      <c r="Q243" s="186"/>
    </row>
    <row r="244" spans="2:17" x14ac:dyDescent="0.35">
      <c r="B244" s="186"/>
      <c r="C244" s="186"/>
      <c r="D244" s="186"/>
      <c r="E244" s="186"/>
      <c r="F244" s="186"/>
      <c r="G244" s="186"/>
      <c r="H244" s="186"/>
      <c r="I244" s="186"/>
      <c r="J244" s="186"/>
      <c r="K244" s="186"/>
      <c r="L244" s="186"/>
      <c r="M244" s="186"/>
      <c r="N244" s="186"/>
      <c r="O244" s="186"/>
      <c r="P244" s="186"/>
      <c r="Q244" s="186"/>
    </row>
    <row r="245" spans="2:17" x14ac:dyDescent="0.35">
      <c r="B245" s="186"/>
      <c r="C245" s="186"/>
      <c r="D245" s="186"/>
      <c r="E245" s="186"/>
      <c r="F245" s="186"/>
      <c r="G245" s="186"/>
      <c r="H245" s="186"/>
      <c r="I245" s="186"/>
      <c r="J245" s="186"/>
      <c r="K245" s="186"/>
      <c r="L245" s="186"/>
      <c r="M245" s="186"/>
      <c r="N245" s="186"/>
      <c r="O245" s="186"/>
      <c r="P245" s="186"/>
      <c r="Q245" s="186"/>
    </row>
    <row r="246" spans="2:17" x14ac:dyDescent="0.35">
      <c r="B246" s="186"/>
      <c r="C246" s="186"/>
      <c r="D246" s="186"/>
      <c r="E246" s="186"/>
      <c r="F246" s="186"/>
      <c r="G246" s="186"/>
      <c r="H246" s="186"/>
      <c r="I246" s="186"/>
      <c r="J246" s="186"/>
      <c r="K246" s="186"/>
      <c r="L246" s="186"/>
      <c r="M246" s="186"/>
      <c r="N246" s="186"/>
      <c r="O246" s="186"/>
      <c r="P246" s="186"/>
      <c r="Q246" s="186"/>
    </row>
    <row r="247" spans="2:17" x14ac:dyDescent="0.35">
      <c r="B247" s="186"/>
      <c r="C247" s="186"/>
      <c r="D247" s="186"/>
      <c r="E247" s="186"/>
      <c r="F247" s="186"/>
      <c r="G247" s="186"/>
      <c r="H247" s="186"/>
      <c r="I247" s="186"/>
      <c r="J247" s="186"/>
      <c r="K247" s="186"/>
      <c r="L247" s="186"/>
      <c r="M247" s="186"/>
      <c r="N247" s="186"/>
      <c r="O247" s="186"/>
      <c r="P247" s="186"/>
      <c r="Q247" s="186"/>
    </row>
    <row r="248" spans="2:17" x14ac:dyDescent="0.35">
      <c r="B248" s="186"/>
      <c r="C248" s="186"/>
      <c r="D248" s="186"/>
      <c r="E248" s="186"/>
      <c r="F248" s="186"/>
      <c r="G248" s="186"/>
      <c r="H248" s="186"/>
      <c r="I248" s="186"/>
      <c r="J248" s="186"/>
      <c r="K248" s="186"/>
      <c r="L248" s="186"/>
      <c r="M248" s="186"/>
      <c r="N248" s="186"/>
      <c r="O248" s="186"/>
      <c r="P248" s="186"/>
      <c r="Q248" s="186"/>
    </row>
    <row r="249" spans="2:17" x14ac:dyDescent="0.35">
      <c r="B249" s="186"/>
      <c r="C249" s="186"/>
      <c r="D249" s="186"/>
      <c r="E249" s="186"/>
      <c r="F249" s="186"/>
      <c r="G249" s="186"/>
      <c r="H249" s="186"/>
      <c r="I249" s="186"/>
      <c r="J249" s="186"/>
      <c r="K249" s="186"/>
      <c r="L249" s="186"/>
      <c r="M249" s="186"/>
      <c r="N249" s="186"/>
      <c r="O249" s="186"/>
      <c r="P249" s="186"/>
      <c r="Q249" s="186"/>
    </row>
    <row r="250" spans="2:17" x14ac:dyDescent="0.35">
      <c r="B250" s="186"/>
      <c r="C250" s="186"/>
      <c r="D250" s="186"/>
      <c r="E250" s="186"/>
      <c r="F250" s="186"/>
      <c r="G250" s="186"/>
      <c r="H250" s="186"/>
      <c r="I250" s="186"/>
      <c r="J250" s="186"/>
      <c r="K250" s="186"/>
      <c r="L250" s="186"/>
      <c r="M250" s="186"/>
      <c r="N250" s="186"/>
      <c r="O250" s="186"/>
      <c r="P250" s="186"/>
      <c r="Q250" s="186"/>
    </row>
    <row r="251" spans="2:17" x14ac:dyDescent="0.35">
      <c r="B251" s="186"/>
      <c r="C251" s="186"/>
      <c r="D251" s="186"/>
      <c r="E251" s="186"/>
      <c r="F251" s="186"/>
      <c r="G251" s="186"/>
      <c r="H251" s="186"/>
      <c r="I251" s="186"/>
      <c r="J251" s="186"/>
      <c r="K251" s="186"/>
      <c r="L251" s="186"/>
      <c r="M251" s="186"/>
      <c r="N251" s="186"/>
      <c r="O251" s="186"/>
      <c r="P251" s="186"/>
      <c r="Q251" s="186"/>
    </row>
    <row r="252" spans="2:17" x14ac:dyDescent="0.35">
      <c r="B252" s="186"/>
      <c r="C252" s="186"/>
      <c r="D252" s="186"/>
      <c r="E252" s="186"/>
      <c r="F252" s="186"/>
      <c r="G252" s="186"/>
      <c r="H252" s="186"/>
      <c r="I252" s="186"/>
      <c r="J252" s="186"/>
      <c r="K252" s="186"/>
      <c r="L252" s="186"/>
      <c r="M252" s="186"/>
      <c r="N252" s="186"/>
      <c r="O252" s="186"/>
      <c r="P252" s="186"/>
      <c r="Q252" s="186"/>
    </row>
    <row r="253" spans="2:17" x14ac:dyDescent="0.35">
      <c r="B253" s="186"/>
      <c r="C253" s="186"/>
      <c r="D253" s="186"/>
      <c r="E253" s="186"/>
      <c r="F253" s="186"/>
      <c r="G253" s="186"/>
      <c r="H253" s="186"/>
      <c r="I253" s="186"/>
      <c r="J253" s="186"/>
      <c r="K253" s="186"/>
      <c r="L253" s="186"/>
      <c r="M253" s="186"/>
      <c r="N253" s="186"/>
      <c r="O253" s="186"/>
      <c r="P253" s="186"/>
      <c r="Q253" s="186"/>
    </row>
    <row r="254" spans="2:17" x14ac:dyDescent="0.35">
      <c r="B254" s="186"/>
      <c r="C254" s="186"/>
      <c r="D254" s="186"/>
      <c r="E254" s="186"/>
      <c r="F254" s="186"/>
      <c r="G254" s="186"/>
      <c r="H254" s="186"/>
      <c r="I254" s="186"/>
      <c r="J254" s="186"/>
      <c r="K254" s="186"/>
      <c r="L254" s="186"/>
      <c r="M254" s="186"/>
      <c r="N254" s="186"/>
      <c r="O254" s="186"/>
      <c r="P254" s="186"/>
      <c r="Q254" s="186"/>
    </row>
    <row r="255" spans="2:17" x14ac:dyDescent="0.35">
      <c r="B255" s="186"/>
      <c r="C255" s="186"/>
      <c r="D255" s="186"/>
      <c r="E255" s="186"/>
      <c r="F255" s="186"/>
      <c r="G255" s="186"/>
      <c r="H255" s="186"/>
      <c r="I255" s="186"/>
      <c r="J255" s="186"/>
      <c r="K255" s="186"/>
      <c r="L255" s="186"/>
      <c r="M255" s="186"/>
      <c r="N255" s="186"/>
      <c r="O255" s="186"/>
      <c r="P255" s="186"/>
      <c r="Q255" s="186"/>
    </row>
    <row r="256" spans="2:17" x14ac:dyDescent="0.35">
      <c r="B256" s="186"/>
      <c r="C256" s="186"/>
      <c r="D256" s="186"/>
      <c r="E256" s="186"/>
      <c r="F256" s="186"/>
      <c r="G256" s="186"/>
      <c r="H256" s="186"/>
      <c r="I256" s="186"/>
      <c r="J256" s="186"/>
      <c r="K256" s="186"/>
      <c r="L256" s="186"/>
      <c r="M256" s="186"/>
      <c r="N256" s="186"/>
      <c r="O256" s="186"/>
      <c r="P256" s="186"/>
      <c r="Q256" s="186"/>
    </row>
    <row r="257" spans="2:17" x14ac:dyDescent="0.35">
      <c r="B257" s="186"/>
      <c r="C257" s="186"/>
      <c r="D257" s="186"/>
      <c r="E257" s="186"/>
      <c r="F257" s="186"/>
      <c r="G257" s="186"/>
      <c r="H257" s="186"/>
      <c r="I257" s="186"/>
      <c r="J257" s="186"/>
      <c r="K257" s="186"/>
      <c r="L257" s="186"/>
      <c r="M257" s="186"/>
      <c r="N257" s="186"/>
      <c r="O257" s="186"/>
      <c r="P257" s="186"/>
      <c r="Q257" s="186"/>
    </row>
    <row r="258" spans="2:17" x14ac:dyDescent="0.35">
      <c r="B258" s="186"/>
      <c r="C258" s="186"/>
      <c r="D258" s="186"/>
      <c r="E258" s="186"/>
      <c r="F258" s="186"/>
      <c r="G258" s="186"/>
      <c r="H258" s="186"/>
      <c r="I258" s="186"/>
      <c r="J258" s="186"/>
      <c r="K258" s="186"/>
      <c r="L258" s="186"/>
      <c r="M258" s="186"/>
      <c r="N258" s="186"/>
      <c r="O258" s="186"/>
      <c r="P258" s="186"/>
      <c r="Q258" s="186"/>
    </row>
    <row r="259" spans="2:17" x14ac:dyDescent="0.35">
      <c r="B259" s="186"/>
      <c r="C259" s="186"/>
      <c r="D259" s="186"/>
      <c r="E259" s="186"/>
      <c r="F259" s="186"/>
      <c r="G259" s="186"/>
      <c r="H259" s="186"/>
      <c r="I259" s="186"/>
      <c r="J259" s="186"/>
      <c r="K259" s="186"/>
      <c r="L259" s="186"/>
      <c r="M259" s="186"/>
      <c r="N259" s="186"/>
      <c r="O259" s="186"/>
      <c r="P259" s="186"/>
      <c r="Q259" s="186"/>
    </row>
    <row r="260" spans="2:17" x14ac:dyDescent="0.35">
      <c r="B260" s="186"/>
      <c r="C260" s="186"/>
      <c r="D260" s="186"/>
      <c r="E260" s="186"/>
      <c r="F260" s="186"/>
      <c r="G260" s="186"/>
      <c r="H260" s="186"/>
      <c r="I260" s="186"/>
      <c r="J260" s="186"/>
      <c r="K260" s="186"/>
      <c r="L260" s="186"/>
      <c r="M260" s="186"/>
      <c r="N260" s="186"/>
      <c r="O260" s="186"/>
      <c r="P260" s="186"/>
      <c r="Q260" s="186"/>
    </row>
    <row r="261" spans="2:17" x14ac:dyDescent="0.35">
      <c r="B261" s="186"/>
      <c r="C261" s="186"/>
      <c r="D261" s="186"/>
      <c r="E261" s="186"/>
      <c r="F261" s="186"/>
      <c r="G261" s="186"/>
      <c r="H261" s="186"/>
      <c r="I261" s="186"/>
      <c r="J261" s="186"/>
      <c r="K261" s="186"/>
      <c r="L261" s="186"/>
      <c r="M261" s="186"/>
      <c r="N261" s="186"/>
      <c r="O261" s="186"/>
      <c r="P261" s="186"/>
      <c r="Q261" s="186"/>
    </row>
    <row r="262" spans="2:17" x14ac:dyDescent="0.35">
      <c r="B262" s="186"/>
      <c r="C262" s="186"/>
      <c r="D262" s="186"/>
      <c r="E262" s="186"/>
      <c r="F262" s="186"/>
      <c r="G262" s="186"/>
      <c r="H262" s="186"/>
      <c r="I262" s="186"/>
      <c r="J262" s="186"/>
      <c r="K262" s="186"/>
      <c r="L262" s="186"/>
      <c r="M262" s="186"/>
      <c r="N262" s="186"/>
      <c r="O262" s="186"/>
      <c r="P262" s="186"/>
      <c r="Q262" s="186"/>
    </row>
    <row r="263" spans="2:17" x14ac:dyDescent="0.35">
      <c r="B263" s="186"/>
      <c r="C263" s="186"/>
      <c r="D263" s="186"/>
      <c r="E263" s="186"/>
      <c r="F263" s="186"/>
      <c r="G263" s="186"/>
      <c r="H263" s="186"/>
      <c r="I263" s="186"/>
      <c r="J263" s="186"/>
      <c r="K263" s="186"/>
      <c r="L263" s="186"/>
      <c r="M263" s="186"/>
      <c r="N263" s="186"/>
      <c r="O263" s="186"/>
      <c r="P263" s="186"/>
      <c r="Q263" s="186"/>
    </row>
    <row r="264" spans="2:17" x14ac:dyDescent="0.35">
      <c r="B264" s="186"/>
      <c r="C264" s="186"/>
      <c r="D264" s="186"/>
      <c r="E264" s="186"/>
      <c r="F264" s="186"/>
      <c r="G264" s="186"/>
      <c r="H264" s="186"/>
      <c r="I264" s="186"/>
      <c r="J264" s="186"/>
      <c r="K264" s="186"/>
      <c r="L264" s="186"/>
      <c r="M264" s="186"/>
      <c r="N264" s="186"/>
      <c r="O264" s="186"/>
      <c r="P264" s="186"/>
      <c r="Q264" s="186"/>
    </row>
    <row r="265" spans="2:17" x14ac:dyDescent="0.35">
      <c r="B265" s="186"/>
      <c r="C265" s="186"/>
      <c r="D265" s="186"/>
      <c r="E265" s="186"/>
      <c r="F265" s="186"/>
      <c r="G265" s="186"/>
      <c r="H265" s="186"/>
      <c r="I265" s="186"/>
      <c r="J265" s="186"/>
      <c r="K265" s="186"/>
      <c r="L265" s="186"/>
      <c r="M265" s="186"/>
      <c r="N265" s="186"/>
      <c r="O265" s="186"/>
      <c r="P265" s="186"/>
      <c r="Q265" s="186"/>
    </row>
    <row r="266" spans="2:17" x14ac:dyDescent="0.35">
      <c r="B266" s="186"/>
      <c r="C266" s="186"/>
      <c r="D266" s="186"/>
      <c r="E266" s="186"/>
      <c r="F266" s="186"/>
      <c r="G266" s="186"/>
      <c r="H266" s="186"/>
      <c r="I266" s="186"/>
      <c r="J266" s="186"/>
      <c r="K266" s="186"/>
      <c r="L266" s="186"/>
      <c r="M266" s="186"/>
      <c r="N266" s="186"/>
      <c r="O266" s="186"/>
      <c r="P266" s="186"/>
      <c r="Q266" s="186"/>
    </row>
    <row r="267" spans="2:17" x14ac:dyDescent="0.35">
      <c r="B267" s="186"/>
      <c r="C267" s="186"/>
      <c r="D267" s="186"/>
      <c r="E267" s="186"/>
      <c r="F267" s="186"/>
      <c r="G267" s="186"/>
      <c r="H267" s="186"/>
      <c r="I267" s="186"/>
      <c r="J267" s="186"/>
      <c r="K267" s="186"/>
      <c r="L267" s="186"/>
      <c r="M267" s="186"/>
      <c r="N267" s="186"/>
      <c r="O267" s="186"/>
      <c r="P267" s="186"/>
      <c r="Q267" s="186"/>
    </row>
    <row r="268" spans="2:17" x14ac:dyDescent="0.35">
      <c r="B268" s="186"/>
      <c r="C268" s="186"/>
      <c r="D268" s="186"/>
      <c r="E268" s="186"/>
      <c r="F268" s="186"/>
      <c r="G268" s="186"/>
      <c r="H268" s="186"/>
      <c r="I268" s="186"/>
      <c r="J268" s="186"/>
      <c r="K268" s="186"/>
      <c r="L268" s="186"/>
      <c r="M268" s="186"/>
      <c r="N268" s="186"/>
      <c r="O268" s="186"/>
      <c r="P268" s="186"/>
      <c r="Q268" s="186"/>
    </row>
    <row r="269" spans="2:17" x14ac:dyDescent="0.35">
      <c r="B269" s="186"/>
      <c r="C269" s="186"/>
      <c r="D269" s="186"/>
      <c r="E269" s="186"/>
      <c r="F269" s="186"/>
      <c r="G269" s="186"/>
      <c r="H269" s="186"/>
      <c r="I269" s="186"/>
      <c r="J269" s="186"/>
      <c r="K269" s="186"/>
      <c r="L269" s="186"/>
      <c r="M269" s="186"/>
      <c r="N269" s="186"/>
      <c r="O269" s="186"/>
      <c r="P269" s="186"/>
      <c r="Q269" s="186"/>
    </row>
    <row r="270" spans="2:17" x14ac:dyDescent="0.35">
      <c r="B270" s="186"/>
      <c r="C270" s="186"/>
      <c r="D270" s="186"/>
      <c r="E270" s="186"/>
      <c r="F270" s="186"/>
      <c r="G270" s="186"/>
      <c r="H270" s="186"/>
      <c r="I270" s="186"/>
      <c r="J270" s="186"/>
      <c r="K270" s="186"/>
      <c r="L270" s="186"/>
      <c r="M270" s="186"/>
      <c r="N270" s="186"/>
      <c r="O270" s="186"/>
      <c r="P270" s="186"/>
      <c r="Q270" s="186"/>
    </row>
    <row r="271" spans="2:17" x14ac:dyDescent="0.35">
      <c r="B271" s="186"/>
      <c r="C271" s="186"/>
      <c r="D271" s="186"/>
      <c r="E271" s="186"/>
      <c r="F271" s="186"/>
      <c r="G271" s="186"/>
      <c r="H271" s="186"/>
      <c r="I271" s="186"/>
      <c r="J271" s="186"/>
      <c r="K271" s="186"/>
      <c r="L271" s="186"/>
      <c r="M271" s="186"/>
      <c r="N271" s="186"/>
      <c r="O271" s="186"/>
      <c r="P271" s="186"/>
      <c r="Q271" s="186"/>
    </row>
    <row r="272" spans="2:17" x14ac:dyDescent="0.35">
      <c r="B272" s="186"/>
      <c r="C272" s="186"/>
      <c r="D272" s="186"/>
      <c r="E272" s="186"/>
      <c r="F272" s="186"/>
      <c r="G272" s="186"/>
      <c r="H272" s="186"/>
      <c r="I272" s="186"/>
      <c r="J272" s="186"/>
      <c r="K272" s="186"/>
      <c r="L272" s="186"/>
      <c r="M272" s="186"/>
      <c r="N272" s="186"/>
      <c r="O272" s="186"/>
      <c r="P272" s="186"/>
      <c r="Q272" s="186"/>
    </row>
    <row r="273" spans="2:17" x14ac:dyDescent="0.35">
      <c r="B273" s="186"/>
      <c r="C273" s="186"/>
      <c r="D273" s="186"/>
      <c r="E273" s="186"/>
      <c r="F273" s="186"/>
      <c r="G273" s="186"/>
      <c r="H273" s="186"/>
      <c r="I273" s="186"/>
      <c r="J273" s="186"/>
      <c r="K273" s="186"/>
      <c r="L273" s="186"/>
      <c r="M273" s="186"/>
      <c r="N273" s="186"/>
      <c r="O273" s="186"/>
      <c r="P273" s="186"/>
      <c r="Q273" s="186"/>
    </row>
    <row r="274" spans="2:17" x14ac:dyDescent="0.35">
      <c r="B274" s="186"/>
      <c r="C274" s="186"/>
      <c r="D274" s="186"/>
      <c r="E274" s="186"/>
      <c r="F274" s="186"/>
      <c r="G274" s="186"/>
      <c r="H274" s="186"/>
      <c r="I274" s="186"/>
      <c r="J274" s="186"/>
      <c r="K274" s="186"/>
      <c r="L274" s="186"/>
      <c r="M274" s="186"/>
      <c r="N274" s="186"/>
      <c r="O274" s="186"/>
      <c r="P274" s="186"/>
      <c r="Q274" s="186"/>
    </row>
    <row r="275" spans="2:17" x14ac:dyDescent="0.35">
      <c r="B275" s="186"/>
      <c r="C275" s="186"/>
      <c r="D275" s="186"/>
      <c r="E275" s="186"/>
      <c r="F275" s="186"/>
      <c r="G275" s="186"/>
      <c r="H275" s="186"/>
      <c r="I275" s="186"/>
      <c r="J275" s="186"/>
      <c r="K275" s="186"/>
      <c r="L275" s="186"/>
      <c r="M275" s="186"/>
      <c r="N275" s="186"/>
      <c r="O275" s="186"/>
      <c r="P275" s="186"/>
      <c r="Q275" s="186"/>
    </row>
    <row r="276" spans="2:17" x14ac:dyDescent="0.35">
      <c r="B276" s="186"/>
      <c r="C276" s="186"/>
      <c r="D276" s="186"/>
      <c r="E276" s="186"/>
      <c r="F276" s="186"/>
      <c r="G276" s="186"/>
      <c r="H276" s="186"/>
      <c r="I276" s="186"/>
      <c r="J276" s="186"/>
      <c r="K276" s="186"/>
      <c r="L276" s="186"/>
      <c r="M276" s="186"/>
      <c r="N276" s="186"/>
      <c r="O276" s="186"/>
      <c r="P276" s="186"/>
      <c r="Q276" s="186"/>
    </row>
    <row r="277" spans="2:17" x14ac:dyDescent="0.35">
      <c r="B277" s="186"/>
      <c r="C277" s="186"/>
      <c r="D277" s="186"/>
      <c r="E277" s="186"/>
      <c r="F277" s="186"/>
      <c r="G277" s="186"/>
      <c r="H277" s="186"/>
      <c r="I277" s="186"/>
      <c r="J277" s="186"/>
      <c r="K277" s="186"/>
      <c r="L277" s="186"/>
      <c r="M277" s="186"/>
      <c r="N277" s="186"/>
      <c r="O277" s="186"/>
      <c r="P277" s="186"/>
      <c r="Q277" s="186"/>
    </row>
    <row r="278" spans="2:17" x14ac:dyDescent="0.35">
      <c r="B278" s="186"/>
      <c r="C278" s="186"/>
      <c r="D278" s="186"/>
      <c r="E278" s="186"/>
      <c r="F278" s="186"/>
      <c r="G278" s="186"/>
      <c r="H278" s="186"/>
      <c r="I278" s="186"/>
      <c r="J278" s="186"/>
      <c r="K278" s="186"/>
      <c r="L278" s="186"/>
      <c r="M278" s="186"/>
      <c r="N278" s="186"/>
      <c r="O278" s="186"/>
      <c r="P278" s="186"/>
      <c r="Q278" s="186"/>
    </row>
    <row r="279" spans="2:17" x14ac:dyDescent="0.35">
      <c r="B279" s="186"/>
      <c r="C279" s="186"/>
      <c r="D279" s="186"/>
      <c r="E279" s="186"/>
      <c r="F279" s="186"/>
      <c r="G279" s="186"/>
      <c r="H279" s="186"/>
      <c r="I279" s="186"/>
      <c r="J279" s="186"/>
      <c r="K279" s="186"/>
      <c r="L279" s="186"/>
      <c r="M279" s="186"/>
      <c r="N279" s="186"/>
      <c r="O279" s="186"/>
      <c r="P279" s="186"/>
      <c r="Q279" s="186"/>
    </row>
    <row r="280" spans="2:17" x14ac:dyDescent="0.35">
      <c r="B280" s="186"/>
      <c r="C280" s="186"/>
      <c r="D280" s="186"/>
      <c r="E280" s="186"/>
      <c r="F280" s="186"/>
      <c r="G280" s="186"/>
      <c r="H280" s="186"/>
      <c r="I280" s="186"/>
      <c r="J280" s="186"/>
      <c r="K280" s="186"/>
      <c r="L280" s="186"/>
      <c r="M280" s="186"/>
      <c r="N280" s="186"/>
      <c r="O280" s="186"/>
      <c r="P280" s="186"/>
      <c r="Q280" s="186"/>
    </row>
    <row r="281" spans="2:17" x14ac:dyDescent="0.35">
      <c r="B281" s="186"/>
      <c r="C281" s="186"/>
      <c r="D281" s="186"/>
      <c r="E281" s="186"/>
      <c r="F281" s="186"/>
      <c r="G281" s="186"/>
      <c r="H281" s="186"/>
      <c r="I281" s="186"/>
      <c r="J281" s="186"/>
      <c r="K281" s="186"/>
      <c r="L281" s="186"/>
      <c r="M281" s="186"/>
      <c r="N281" s="186"/>
      <c r="O281" s="186"/>
      <c r="P281" s="186"/>
      <c r="Q281" s="186"/>
    </row>
    <row r="282" spans="2:17" x14ac:dyDescent="0.35">
      <c r="B282" s="186"/>
      <c r="C282" s="186"/>
      <c r="D282" s="186"/>
      <c r="E282" s="186"/>
      <c r="F282" s="186"/>
      <c r="G282" s="186"/>
      <c r="H282" s="186"/>
      <c r="I282" s="186"/>
      <c r="J282" s="186"/>
      <c r="K282" s="186"/>
      <c r="L282" s="186"/>
      <c r="M282" s="186"/>
      <c r="N282" s="186"/>
      <c r="O282" s="186"/>
      <c r="P282" s="186"/>
      <c r="Q282" s="186"/>
    </row>
    <row r="283" spans="2:17" x14ac:dyDescent="0.35">
      <c r="B283" s="186"/>
      <c r="C283" s="186"/>
      <c r="D283" s="186"/>
      <c r="E283" s="186"/>
      <c r="F283" s="186"/>
      <c r="G283" s="186"/>
      <c r="H283" s="186"/>
      <c r="I283" s="186"/>
      <c r="J283" s="186"/>
      <c r="K283" s="186"/>
      <c r="L283" s="186"/>
      <c r="M283" s="186"/>
      <c r="N283" s="186"/>
      <c r="O283" s="186"/>
      <c r="P283" s="186"/>
      <c r="Q283" s="186"/>
    </row>
    <row r="284" spans="2:17" x14ac:dyDescent="0.35">
      <c r="B284" s="186"/>
      <c r="C284" s="186"/>
      <c r="D284" s="186"/>
      <c r="E284" s="186"/>
      <c r="F284" s="186"/>
      <c r="G284" s="186"/>
      <c r="H284" s="186"/>
      <c r="I284" s="186"/>
      <c r="J284" s="186"/>
      <c r="K284" s="186"/>
      <c r="L284" s="186"/>
      <c r="M284" s="186"/>
      <c r="N284" s="186"/>
      <c r="O284" s="186"/>
      <c r="P284" s="186"/>
      <c r="Q284" s="186"/>
    </row>
    <row r="285" spans="2:17" x14ac:dyDescent="0.35">
      <c r="B285" s="186"/>
      <c r="C285" s="186"/>
      <c r="D285" s="186"/>
      <c r="E285" s="186"/>
      <c r="F285" s="186"/>
      <c r="G285" s="186"/>
      <c r="H285" s="186"/>
      <c r="I285" s="186"/>
      <c r="J285" s="186"/>
      <c r="K285" s="186"/>
      <c r="L285" s="186"/>
      <c r="M285" s="186"/>
      <c r="N285" s="186"/>
      <c r="O285" s="186"/>
      <c r="P285" s="186"/>
      <c r="Q285" s="186"/>
    </row>
    <row r="286" spans="2:17" x14ac:dyDescent="0.35">
      <c r="B286" s="186"/>
      <c r="C286" s="186"/>
      <c r="D286" s="186"/>
      <c r="E286" s="186"/>
      <c r="F286" s="186"/>
      <c r="G286" s="186"/>
      <c r="H286" s="186"/>
      <c r="I286" s="186"/>
      <c r="J286" s="186"/>
      <c r="K286" s="186"/>
      <c r="L286" s="186"/>
      <c r="M286" s="186"/>
      <c r="N286" s="186"/>
      <c r="O286" s="186"/>
      <c r="P286" s="186"/>
      <c r="Q286" s="186"/>
    </row>
    <row r="287" spans="2:17" x14ac:dyDescent="0.35">
      <c r="B287" s="186"/>
      <c r="C287" s="186"/>
      <c r="D287" s="186"/>
      <c r="E287" s="186"/>
      <c r="F287" s="186"/>
      <c r="G287" s="186"/>
      <c r="H287" s="186"/>
      <c r="I287" s="186"/>
      <c r="J287" s="186"/>
      <c r="K287" s="186"/>
      <c r="L287" s="186"/>
      <c r="M287" s="186"/>
      <c r="N287" s="186"/>
      <c r="O287" s="186"/>
      <c r="P287" s="186"/>
      <c r="Q287" s="186"/>
    </row>
    <row r="288" spans="2:17" x14ac:dyDescent="0.35">
      <c r="B288" s="186"/>
      <c r="C288" s="186"/>
      <c r="D288" s="186"/>
      <c r="E288" s="186"/>
      <c r="F288" s="186"/>
      <c r="G288" s="186"/>
      <c r="H288" s="186"/>
      <c r="I288" s="186"/>
      <c r="J288" s="186"/>
      <c r="K288" s="186"/>
      <c r="L288" s="186"/>
      <c r="M288" s="186"/>
      <c r="N288" s="186"/>
      <c r="O288" s="186"/>
      <c r="P288" s="186"/>
      <c r="Q288" s="186"/>
    </row>
    <row r="289" spans="2:17" x14ac:dyDescent="0.35">
      <c r="B289" s="186"/>
      <c r="C289" s="186"/>
      <c r="D289" s="186"/>
      <c r="E289" s="186"/>
      <c r="F289" s="186"/>
      <c r="G289" s="186"/>
      <c r="H289" s="186"/>
      <c r="I289" s="186"/>
      <c r="J289" s="186"/>
      <c r="K289" s="186"/>
      <c r="L289" s="186"/>
      <c r="M289" s="186"/>
      <c r="N289" s="186"/>
      <c r="O289" s="186"/>
      <c r="P289" s="186"/>
      <c r="Q289" s="186"/>
    </row>
    <row r="290" spans="2:17" x14ac:dyDescent="0.35">
      <c r="B290" s="186"/>
      <c r="C290" s="186"/>
      <c r="D290" s="186"/>
      <c r="E290" s="186"/>
      <c r="F290" s="186"/>
      <c r="G290" s="186"/>
      <c r="H290" s="186"/>
      <c r="I290" s="186"/>
      <c r="J290" s="186"/>
      <c r="K290" s="186"/>
      <c r="L290" s="186"/>
      <c r="M290" s="186"/>
      <c r="N290" s="186"/>
      <c r="O290" s="186"/>
      <c r="P290" s="186"/>
      <c r="Q290" s="186"/>
    </row>
    <row r="291" spans="2:17" x14ac:dyDescent="0.35">
      <c r="B291" s="186"/>
      <c r="C291" s="186"/>
      <c r="D291" s="186"/>
      <c r="E291" s="186"/>
      <c r="F291" s="186"/>
      <c r="G291" s="186"/>
      <c r="H291" s="186"/>
      <c r="I291" s="186"/>
      <c r="J291" s="186"/>
      <c r="K291" s="186"/>
      <c r="L291" s="186"/>
      <c r="M291" s="186"/>
      <c r="N291" s="186"/>
      <c r="O291" s="186"/>
      <c r="P291" s="186"/>
      <c r="Q291" s="186"/>
    </row>
    <row r="292" spans="2:17" x14ac:dyDescent="0.35">
      <c r="B292" s="186"/>
      <c r="C292" s="186"/>
      <c r="D292" s="186"/>
      <c r="E292" s="186"/>
      <c r="F292" s="186"/>
      <c r="G292" s="186"/>
      <c r="H292" s="186"/>
      <c r="I292" s="186"/>
      <c r="J292" s="186"/>
      <c r="K292" s="186"/>
      <c r="L292" s="186"/>
      <c r="M292" s="186"/>
      <c r="N292" s="186"/>
      <c r="O292" s="186"/>
      <c r="P292" s="186"/>
      <c r="Q292" s="186"/>
    </row>
    <row r="293" spans="2:17" x14ac:dyDescent="0.35">
      <c r="B293" s="186"/>
      <c r="C293" s="186"/>
      <c r="D293" s="186"/>
      <c r="E293" s="186"/>
      <c r="F293" s="186"/>
      <c r="G293" s="186"/>
      <c r="H293" s="186"/>
      <c r="I293" s="186"/>
      <c r="J293" s="186"/>
      <c r="K293" s="186"/>
      <c r="L293" s="186"/>
      <c r="M293" s="186"/>
      <c r="N293" s="186"/>
      <c r="O293" s="186"/>
      <c r="P293" s="186"/>
      <c r="Q293" s="186"/>
    </row>
    <row r="294" spans="2:17" x14ac:dyDescent="0.35">
      <c r="B294" s="186"/>
      <c r="C294" s="186"/>
      <c r="D294" s="186"/>
      <c r="E294" s="186"/>
      <c r="F294" s="186"/>
      <c r="G294" s="186"/>
      <c r="H294" s="186"/>
      <c r="I294" s="186"/>
      <c r="J294" s="186"/>
      <c r="K294" s="186"/>
      <c r="L294" s="186"/>
      <c r="M294" s="186"/>
      <c r="N294" s="186"/>
      <c r="O294" s="186"/>
      <c r="P294" s="186"/>
      <c r="Q294" s="186"/>
    </row>
    <row r="295" spans="2:17" x14ac:dyDescent="0.35">
      <c r="B295" s="186"/>
      <c r="C295" s="186"/>
      <c r="D295" s="186"/>
      <c r="E295" s="186"/>
      <c r="F295" s="186"/>
      <c r="G295" s="186"/>
      <c r="H295" s="186"/>
      <c r="I295" s="186"/>
      <c r="J295" s="186"/>
      <c r="K295" s="186"/>
      <c r="L295" s="186"/>
      <c r="M295" s="186"/>
      <c r="N295" s="186"/>
      <c r="O295" s="186"/>
      <c r="P295" s="186"/>
      <c r="Q295" s="186"/>
    </row>
    <row r="296" spans="2:17" x14ac:dyDescent="0.35">
      <c r="B296" s="186"/>
      <c r="C296" s="186"/>
      <c r="D296" s="186"/>
      <c r="E296" s="186"/>
      <c r="F296" s="186"/>
      <c r="G296" s="186"/>
      <c r="H296" s="186"/>
      <c r="I296" s="186"/>
      <c r="J296" s="186"/>
      <c r="K296" s="186"/>
      <c r="L296" s="186"/>
      <c r="M296" s="186"/>
      <c r="N296" s="186"/>
      <c r="O296" s="186"/>
      <c r="P296" s="186"/>
      <c r="Q296" s="186"/>
    </row>
    <row r="297" spans="2:17" x14ac:dyDescent="0.35">
      <c r="B297" s="186"/>
      <c r="C297" s="186"/>
      <c r="D297" s="186"/>
      <c r="E297" s="186"/>
      <c r="F297" s="186"/>
      <c r="G297" s="186"/>
      <c r="H297" s="186"/>
      <c r="I297" s="186"/>
      <c r="J297" s="186"/>
      <c r="K297" s="186"/>
      <c r="L297" s="186"/>
      <c r="M297" s="186"/>
      <c r="N297" s="186"/>
      <c r="O297" s="186"/>
      <c r="P297" s="186"/>
      <c r="Q297" s="186"/>
    </row>
    <row r="298" spans="2:17" x14ac:dyDescent="0.35">
      <c r="B298" s="186"/>
      <c r="C298" s="186"/>
      <c r="D298" s="186"/>
      <c r="E298" s="186"/>
      <c r="F298" s="186"/>
      <c r="G298" s="186"/>
      <c r="H298" s="186"/>
      <c r="I298" s="186"/>
      <c r="J298" s="186"/>
      <c r="K298" s="186"/>
      <c r="L298" s="186"/>
      <c r="M298" s="186"/>
      <c r="N298" s="186"/>
      <c r="O298" s="186"/>
      <c r="P298" s="186"/>
      <c r="Q298" s="186"/>
    </row>
    <row r="299" spans="2:17" x14ac:dyDescent="0.35">
      <c r="B299" s="186"/>
      <c r="C299" s="186"/>
      <c r="D299" s="186"/>
      <c r="E299" s="186"/>
      <c r="F299" s="186"/>
      <c r="G299" s="186"/>
      <c r="H299" s="186"/>
      <c r="I299" s="186"/>
      <c r="J299" s="186"/>
      <c r="K299" s="186"/>
      <c r="L299" s="186"/>
      <c r="M299" s="186"/>
      <c r="N299" s="186"/>
      <c r="O299" s="186"/>
      <c r="P299" s="186"/>
      <c r="Q299" s="186"/>
    </row>
    <row r="300" spans="2:17" x14ac:dyDescent="0.35">
      <c r="B300" s="186"/>
      <c r="C300" s="186"/>
      <c r="D300" s="186"/>
      <c r="E300" s="186"/>
      <c r="F300" s="186"/>
      <c r="G300" s="186"/>
      <c r="H300" s="186"/>
      <c r="I300" s="186"/>
      <c r="J300" s="186"/>
      <c r="K300" s="186"/>
      <c r="L300" s="186"/>
      <c r="M300" s="186"/>
      <c r="N300" s="186"/>
      <c r="O300" s="186"/>
      <c r="P300" s="186"/>
      <c r="Q300" s="186"/>
    </row>
    <row r="301" spans="2:17" x14ac:dyDescent="0.35">
      <c r="B301" s="186"/>
      <c r="C301" s="186"/>
      <c r="D301" s="186"/>
      <c r="E301" s="186"/>
      <c r="F301" s="186"/>
      <c r="G301" s="186"/>
      <c r="H301" s="186"/>
      <c r="I301" s="186"/>
      <c r="J301" s="186"/>
      <c r="K301" s="186"/>
      <c r="L301" s="186"/>
      <c r="M301" s="186"/>
      <c r="N301" s="186"/>
      <c r="O301" s="186"/>
      <c r="P301" s="186"/>
      <c r="Q301" s="186"/>
    </row>
    <row r="302" spans="2:17" x14ac:dyDescent="0.35">
      <c r="B302" s="186"/>
      <c r="C302" s="186"/>
      <c r="D302" s="186"/>
      <c r="E302" s="186"/>
      <c r="F302" s="186"/>
      <c r="G302" s="186"/>
      <c r="H302" s="186"/>
      <c r="I302" s="186"/>
      <c r="J302" s="186"/>
      <c r="K302" s="186"/>
      <c r="L302" s="186"/>
      <c r="M302" s="186"/>
      <c r="N302" s="186"/>
      <c r="O302" s="186"/>
      <c r="P302" s="186"/>
      <c r="Q302" s="186"/>
    </row>
    <row r="303" spans="2:17" x14ac:dyDescent="0.35">
      <c r="B303" s="186"/>
      <c r="C303" s="186"/>
      <c r="D303" s="186"/>
      <c r="E303" s="186"/>
      <c r="F303" s="186"/>
      <c r="G303" s="186"/>
      <c r="H303" s="186"/>
      <c r="I303" s="186"/>
      <c r="J303" s="186"/>
      <c r="K303" s="186"/>
      <c r="L303" s="186"/>
      <c r="M303" s="186"/>
      <c r="N303" s="186"/>
      <c r="O303" s="186"/>
      <c r="P303" s="186"/>
      <c r="Q303" s="186"/>
    </row>
    <row r="304" spans="2:17" x14ac:dyDescent="0.35">
      <c r="B304" s="186"/>
      <c r="C304" s="186"/>
      <c r="D304" s="186"/>
      <c r="E304" s="186"/>
      <c r="F304" s="186"/>
      <c r="G304" s="186"/>
      <c r="H304" s="186"/>
      <c r="I304" s="186"/>
      <c r="J304" s="186"/>
      <c r="K304" s="186"/>
      <c r="L304" s="186"/>
      <c r="M304" s="186"/>
      <c r="N304" s="186"/>
      <c r="O304" s="186"/>
      <c r="P304" s="186"/>
      <c r="Q304" s="186"/>
    </row>
    <row r="305" spans="2:17" x14ac:dyDescent="0.35">
      <c r="B305" s="186"/>
      <c r="C305" s="186"/>
      <c r="D305" s="186"/>
      <c r="E305" s="186"/>
      <c r="F305" s="186"/>
      <c r="G305" s="186"/>
      <c r="H305" s="186"/>
      <c r="I305" s="186"/>
      <c r="J305" s="186"/>
      <c r="K305" s="186"/>
      <c r="L305" s="186"/>
      <c r="M305" s="186"/>
      <c r="N305" s="186"/>
      <c r="O305" s="186"/>
      <c r="P305" s="186"/>
      <c r="Q305" s="186"/>
    </row>
    <row r="306" spans="2:17" x14ac:dyDescent="0.35">
      <c r="B306" s="186"/>
      <c r="C306" s="186"/>
      <c r="D306" s="186"/>
      <c r="E306" s="186"/>
      <c r="F306" s="186"/>
      <c r="G306" s="186"/>
      <c r="H306" s="186"/>
      <c r="I306" s="186"/>
      <c r="J306" s="186"/>
      <c r="K306" s="186"/>
      <c r="L306" s="186"/>
      <c r="M306" s="186"/>
      <c r="N306" s="186"/>
      <c r="O306" s="186"/>
      <c r="P306" s="186"/>
      <c r="Q306" s="186"/>
    </row>
    <row r="307" spans="2:17" x14ac:dyDescent="0.35">
      <c r="B307" s="186"/>
      <c r="C307" s="186"/>
      <c r="D307" s="186"/>
      <c r="E307" s="186"/>
      <c r="F307" s="186"/>
      <c r="G307" s="186"/>
      <c r="H307" s="186"/>
      <c r="I307" s="186"/>
      <c r="J307" s="186"/>
      <c r="K307" s="186"/>
      <c r="L307" s="186"/>
      <c r="M307" s="186"/>
      <c r="N307" s="186"/>
      <c r="O307" s="186"/>
      <c r="P307" s="186"/>
      <c r="Q307" s="186"/>
    </row>
    <row r="308" spans="2:17" x14ac:dyDescent="0.35">
      <c r="B308" s="186"/>
      <c r="C308" s="186"/>
      <c r="D308" s="186"/>
      <c r="E308" s="186"/>
      <c r="F308" s="186"/>
      <c r="G308" s="186"/>
      <c r="H308" s="186"/>
      <c r="I308" s="186"/>
      <c r="J308" s="186"/>
      <c r="K308" s="186"/>
      <c r="L308" s="186"/>
      <c r="M308" s="186"/>
      <c r="N308" s="186"/>
      <c r="O308" s="186"/>
      <c r="P308" s="186"/>
      <c r="Q308" s="186"/>
    </row>
    <row r="309" spans="2:17" x14ac:dyDescent="0.35">
      <c r="B309" s="186"/>
      <c r="C309" s="186"/>
      <c r="D309" s="186"/>
      <c r="E309" s="186"/>
      <c r="F309" s="186"/>
      <c r="G309" s="186"/>
      <c r="H309" s="186"/>
      <c r="I309" s="186"/>
      <c r="J309" s="186"/>
      <c r="K309" s="186"/>
      <c r="L309" s="186"/>
      <c r="M309" s="186"/>
      <c r="N309" s="186"/>
      <c r="O309" s="186"/>
      <c r="P309" s="186"/>
      <c r="Q309" s="186"/>
    </row>
    <row r="310" spans="2:17" x14ac:dyDescent="0.35">
      <c r="B310" s="186"/>
      <c r="C310" s="186"/>
      <c r="D310" s="186"/>
      <c r="E310" s="186"/>
      <c r="F310" s="186"/>
      <c r="G310" s="186"/>
      <c r="H310" s="186"/>
      <c r="I310" s="186"/>
      <c r="J310" s="186"/>
      <c r="K310" s="186"/>
      <c r="L310" s="186"/>
      <c r="M310" s="186"/>
      <c r="N310" s="186"/>
      <c r="O310" s="186"/>
      <c r="P310" s="186"/>
      <c r="Q310" s="186"/>
    </row>
    <row r="311" spans="2:17" x14ac:dyDescent="0.35">
      <c r="B311" s="186"/>
      <c r="C311" s="186"/>
      <c r="D311" s="186"/>
      <c r="E311" s="186"/>
      <c r="F311" s="186"/>
      <c r="G311" s="186"/>
      <c r="H311" s="186"/>
      <c r="I311" s="186"/>
      <c r="J311" s="186"/>
      <c r="K311" s="186"/>
      <c r="L311" s="186"/>
      <c r="M311" s="186"/>
      <c r="N311" s="186"/>
      <c r="O311" s="186"/>
      <c r="P311" s="186"/>
      <c r="Q311" s="186"/>
    </row>
    <row r="312" spans="2:17" x14ac:dyDescent="0.35">
      <c r="B312" s="186"/>
      <c r="C312" s="186"/>
      <c r="D312" s="186"/>
      <c r="E312" s="186"/>
      <c r="F312" s="186"/>
      <c r="G312" s="186"/>
      <c r="H312" s="186"/>
      <c r="I312" s="186"/>
      <c r="J312" s="186"/>
      <c r="K312" s="186"/>
      <c r="L312" s="186"/>
      <c r="M312" s="186"/>
      <c r="N312" s="186"/>
      <c r="O312" s="186"/>
      <c r="P312" s="186"/>
      <c r="Q312" s="186"/>
    </row>
    <row r="313" spans="2:17" x14ac:dyDescent="0.35">
      <c r="B313" s="186"/>
      <c r="C313" s="186"/>
      <c r="D313" s="186"/>
      <c r="E313" s="186"/>
      <c r="F313" s="186"/>
      <c r="G313" s="186"/>
      <c r="H313" s="186"/>
      <c r="I313" s="186"/>
      <c r="J313" s="186"/>
      <c r="K313" s="186"/>
      <c r="L313" s="186"/>
      <c r="M313" s="186"/>
      <c r="N313" s="186"/>
      <c r="O313" s="186"/>
      <c r="P313" s="186"/>
      <c r="Q313" s="186"/>
    </row>
    <row r="314" spans="2:17" x14ac:dyDescent="0.35">
      <c r="B314" s="186"/>
      <c r="C314" s="186"/>
      <c r="D314" s="186"/>
      <c r="E314" s="186"/>
      <c r="F314" s="186"/>
      <c r="G314" s="186"/>
      <c r="H314" s="186"/>
      <c r="I314" s="186"/>
      <c r="J314" s="186"/>
      <c r="K314" s="186"/>
      <c r="L314" s="186"/>
      <c r="M314" s="186"/>
      <c r="N314" s="186"/>
      <c r="O314" s="186"/>
      <c r="P314" s="186"/>
      <c r="Q314" s="186"/>
    </row>
    <row r="315" spans="2:17" x14ac:dyDescent="0.35">
      <c r="B315" s="186"/>
      <c r="C315" s="186"/>
      <c r="D315" s="186"/>
      <c r="E315" s="186"/>
      <c r="F315" s="186"/>
      <c r="G315" s="186"/>
      <c r="H315" s="186"/>
      <c r="I315" s="186"/>
      <c r="J315" s="186"/>
      <c r="K315" s="186"/>
      <c r="L315" s="186"/>
      <c r="M315" s="186"/>
      <c r="N315" s="186"/>
      <c r="O315" s="186"/>
      <c r="P315" s="186"/>
      <c r="Q315" s="186"/>
    </row>
    <row r="316" spans="2:17" x14ac:dyDescent="0.35">
      <c r="B316" s="186"/>
      <c r="C316" s="186"/>
      <c r="D316" s="186"/>
      <c r="E316" s="186"/>
      <c r="F316" s="186"/>
      <c r="G316" s="186"/>
      <c r="H316" s="186"/>
      <c r="I316" s="186"/>
      <c r="J316" s="186"/>
      <c r="K316" s="186"/>
      <c r="L316" s="186"/>
      <c r="M316" s="186"/>
      <c r="N316" s="186"/>
      <c r="O316" s="186"/>
      <c r="P316" s="186"/>
      <c r="Q316" s="186"/>
    </row>
    <row r="317" spans="2:17" x14ac:dyDescent="0.35">
      <c r="B317" s="186"/>
      <c r="C317" s="186"/>
      <c r="D317" s="186"/>
      <c r="E317" s="186"/>
      <c r="F317" s="186"/>
      <c r="G317" s="186"/>
      <c r="H317" s="186"/>
      <c r="I317" s="186"/>
      <c r="J317" s="186"/>
      <c r="K317" s="186"/>
      <c r="L317" s="186"/>
      <c r="M317" s="186"/>
      <c r="N317" s="186"/>
      <c r="O317" s="186"/>
      <c r="P317" s="186"/>
      <c r="Q317" s="186"/>
    </row>
    <row r="318" spans="2:17" x14ac:dyDescent="0.35">
      <c r="B318" s="186"/>
      <c r="C318" s="186"/>
      <c r="D318" s="186"/>
      <c r="E318" s="186"/>
      <c r="F318" s="186"/>
      <c r="G318" s="186"/>
      <c r="H318" s="186"/>
      <c r="I318" s="186"/>
      <c r="J318" s="186"/>
      <c r="K318" s="186"/>
      <c r="L318" s="186"/>
      <c r="M318" s="186"/>
      <c r="N318" s="186"/>
      <c r="O318" s="186"/>
      <c r="P318" s="186"/>
      <c r="Q318" s="186"/>
    </row>
    <row r="319" spans="2:17" x14ac:dyDescent="0.35">
      <c r="B319" s="186"/>
      <c r="C319" s="186"/>
      <c r="D319" s="186"/>
      <c r="E319" s="186"/>
      <c r="F319" s="186"/>
      <c r="G319" s="186"/>
      <c r="H319" s="186"/>
      <c r="I319" s="186"/>
      <c r="J319" s="186"/>
      <c r="K319" s="186"/>
      <c r="L319" s="186"/>
      <c r="M319" s="186"/>
      <c r="N319" s="186"/>
      <c r="O319" s="186"/>
      <c r="P319" s="186"/>
      <c r="Q319" s="186"/>
    </row>
    <row r="320" spans="2:17" x14ac:dyDescent="0.35">
      <c r="B320" s="186"/>
      <c r="C320" s="186"/>
      <c r="D320" s="186"/>
      <c r="E320" s="186"/>
      <c r="F320" s="186"/>
      <c r="G320" s="186"/>
      <c r="H320" s="186"/>
      <c r="I320" s="186"/>
      <c r="J320" s="186"/>
      <c r="K320" s="186"/>
      <c r="L320" s="186"/>
      <c r="M320" s="186"/>
      <c r="N320" s="186"/>
      <c r="O320" s="186"/>
      <c r="P320" s="186"/>
      <c r="Q320" s="186"/>
    </row>
    <row r="321" spans="2:17" x14ac:dyDescent="0.35">
      <c r="B321" s="186"/>
      <c r="C321" s="186"/>
      <c r="D321" s="186"/>
      <c r="E321" s="186"/>
      <c r="F321" s="186"/>
      <c r="G321" s="186"/>
      <c r="H321" s="186"/>
      <c r="I321" s="186"/>
      <c r="J321" s="186"/>
      <c r="K321" s="186"/>
      <c r="L321" s="186"/>
      <c r="M321" s="186"/>
      <c r="N321" s="186"/>
      <c r="O321" s="186"/>
      <c r="P321" s="186"/>
      <c r="Q321" s="186"/>
    </row>
    <row r="322" spans="2:17" x14ac:dyDescent="0.35">
      <c r="B322" s="186"/>
      <c r="C322" s="186"/>
      <c r="D322" s="186"/>
      <c r="E322" s="186"/>
      <c r="F322" s="186"/>
      <c r="G322" s="186"/>
      <c r="H322" s="186"/>
      <c r="I322" s="186"/>
      <c r="J322" s="186"/>
      <c r="K322" s="186"/>
      <c r="L322" s="186"/>
      <c r="M322" s="186"/>
      <c r="N322" s="186"/>
      <c r="O322" s="186"/>
      <c r="P322" s="186"/>
      <c r="Q322" s="186"/>
    </row>
    <row r="323" spans="2:17" x14ac:dyDescent="0.35">
      <c r="B323" s="186"/>
      <c r="C323" s="186"/>
      <c r="D323" s="186"/>
      <c r="E323" s="186"/>
      <c r="F323" s="186"/>
      <c r="G323" s="186"/>
      <c r="H323" s="186"/>
      <c r="I323" s="186"/>
      <c r="J323" s="186"/>
      <c r="K323" s="186"/>
      <c r="L323" s="186"/>
      <c r="M323" s="186"/>
      <c r="N323" s="186"/>
      <c r="O323" s="186"/>
      <c r="P323" s="186"/>
      <c r="Q323" s="186"/>
    </row>
    <row r="324" spans="2:17" x14ac:dyDescent="0.35">
      <c r="B324" s="186"/>
      <c r="C324" s="186"/>
      <c r="D324" s="186"/>
      <c r="E324" s="186"/>
      <c r="F324" s="186"/>
      <c r="G324" s="186"/>
      <c r="H324" s="186"/>
      <c r="I324" s="186"/>
      <c r="J324" s="186"/>
      <c r="K324" s="186"/>
      <c r="L324" s="186"/>
      <c r="M324" s="186"/>
      <c r="N324" s="186"/>
      <c r="O324" s="186"/>
      <c r="P324" s="186"/>
      <c r="Q324" s="186"/>
    </row>
    <row r="325" spans="2:17" x14ac:dyDescent="0.35">
      <c r="B325" s="186"/>
      <c r="C325" s="186"/>
      <c r="D325" s="186"/>
      <c r="E325" s="186"/>
      <c r="F325" s="186"/>
      <c r="G325" s="186"/>
      <c r="H325" s="186"/>
      <c r="I325" s="186"/>
      <c r="J325" s="186"/>
      <c r="K325" s="186"/>
      <c r="L325" s="186"/>
      <c r="M325" s="186"/>
      <c r="N325" s="186"/>
      <c r="O325" s="186"/>
      <c r="P325" s="186"/>
      <c r="Q325" s="186"/>
    </row>
    <row r="326" spans="2:17" x14ac:dyDescent="0.35">
      <c r="B326" s="186"/>
      <c r="C326" s="186"/>
      <c r="D326" s="186"/>
      <c r="E326" s="186"/>
      <c r="F326" s="186"/>
      <c r="G326" s="186"/>
      <c r="H326" s="186"/>
      <c r="I326" s="186"/>
      <c r="J326" s="186"/>
      <c r="K326" s="186"/>
      <c r="L326" s="186"/>
      <c r="M326" s="186"/>
      <c r="N326" s="186"/>
      <c r="O326" s="186"/>
      <c r="P326" s="186"/>
      <c r="Q326" s="186"/>
    </row>
    <row r="327" spans="2:17" x14ac:dyDescent="0.35">
      <c r="B327" s="186"/>
      <c r="C327" s="186"/>
      <c r="D327" s="186"/>
      <c r="E327" s="186"/>
      <c r="F327" s="186"/>
      <c r="G327" s="186"/>
      <c r="H327" s="186"/>
      <c r="I327" s="186"/>
      <c r="J327" s="186"/>
      <c r="K327" s="186"/>
      <c r="L327" s="186"/>
      <c r="M327" s="186"/>
      <c r="N327" s="186"/>
      <c r="O327" s="186"/>
      <c r="P327" s="186"/>
      <c r="Q327" s="186"/>
    </row>
    <row r="328" spans="2:17" x14ac:dyDescent="0.35">
      <c r="B328" s="186"/>
      <c r="C328" s="186"/>
      <c r="D328" s="186"/>
      <c r="E328" s="186"/>
      <c r="F328" s="186"/>
      <c r="G328" s="186"/>
      <c r="H328" s="186"/>
      <c r="I328" s="186"/>
      <c r="J328" s="186"/>
      <c r="K328" s="186"/>
      <c r="L328" s="186"/>
      <c r="M328" s="186"/>
      <c r="N328" s="186"/>
      <c r="O328" s="186"/>
      <c r="P328" s="186"/>
      <c r="Q328" s="186"/>
    </row>
    <row r="329" spans="2:17" x14ac:dyDescent="0.35">
      <c r="B329" s="186"/>
      <c r="C329" s="186"/>
      <c r="D329" s="186"/>
      <c r="E329" s="186"/>
      <c r="F329" s="186"/>
      <c r="G329" s="186"/>
      <c r="H329" s="186"/>
      <c r="I329" s="186"/>
      <c r="J329" s="186"/>
      <c r="K329" s="186"/>
      <c r="L329" s="186"/>
      <c r="M329" s="186"/>
      <c r="N329" s="186"/>
      <c r="O329" s="186"/>
      <c r="P329" s="186"/>
      <c r="Q329" s="186"/>
    </row>
    <row r="330" spans="2:17" x14ac:dyDescent="0.35">
      <c r="B330" s="186"/>
      <c r="C330" s="186"/>
      <c r="D330" s="186"/>
      <c r="E330" s="186"/>
      <c r="F330" s="186"/>
      <c r="G330" s="186"/>
      <c r="H330" s="186"/>
      <c r="I330" s="186"/>
      <c r="J330" s="186"/>
      <c r="K330" s="186"/>
      <c r="L330" s="186"/>
      <c r="M330" s="186"/>
      <c r="N330" s="186"/>
      <c r="O330" s="186"/>
      <c r="P330" s="186"/>
      <c r="Q330" s="186"/>
    </row>
    <row r="331" spans="2:17" x14ac:dyDescent="0.35">
      <c r="B331" s="186"/>
      <c r="C331" s="186"/>
      <c r="D331" s="186"/>
      <c r="E331" s="186"/>
      <c r="F331" s="186"/>
      <c r="G331" s="186"/>
      <c r="H331" s="186"/>
      <c r="I331" s="186"/>
      <c r="J331" s="186"/>
      <c r="K331" s="186"/>
      <c r="L331" s="186"/>
      <c r="M331" s="186"/>
      <c r="N331" s="186"/>
      <c r="O331" s="186"/>
      <c r="P331" s="186"/>
      <c r="Q331" s="186"/>
    </row>
    <row r="332" spans="2:17" x14ac:dyDescent="0.35">
      <c r="B332" s="186"/>
      <c r="C332" s="186"/>
      <c r="D332" s="186"/>
      <c r="E332" s="186"/>
      <c r="F332" s="186"/>
      <c r="G332" s="186"/>
      <c r="H332" s="186"/>
      <c r="I332" s="186"/>
      <c r="J332" s="186"/>
      <c r="K332" s="186"/>
      <c r="L332" s="186"/>
      <c r="M332" s="186"/>
      <c r="N332" s="186"/>
      <c r="O332" s="186"/>
      <c r="P332" s="186"/>
      <c r="Q332" s="186"/>
    </row>
    <row r="333" spans="2:17" x14ac:dyDescent="0.35">
      <c r="B333" s="186"/>
      <c r="C333" s="186"/>
      <c r="D333" s="186"/>
      <c r="E333" s="186"/>
      <c r="F333" s="186"/>
      <c r="G333" s="186"/>
      <c r="H333" s="186"/>
      <c r="I333" s="186"/>
      <c r="J333" s="186"/>
      <c r="K333" s="186"/>
      <c r="L333" s="186"/>
      <c r="M333" s="186"/>
      <c r="N333" s="186"/>
      <c r="O333" s="186"/>
      <c r="P333" s="186"/>
      <c r="Q333" s="186"/>
    </row>
    <row r="334" spans="2:17" x14ac:dyDescent="0.35">
      <c r="B334" s="186"/>
      <c r="C334" s="186"/>
      <c r="D334" s="186"/>
      <c r="E334" s="186"/>
      <c r="F334" s="186"/>
      <c r="G334" s="186"/>
      <c r="H334" s="186"/>
      <c r="I334" s="186"/>
      <c r="J334" s="186"/>
      <c r="K334" s="186"/>
      <c r="L334" s="186"/>
      <c r="M334" s="186"/>
      <c r="N334" s="186"/>
      <c r="O334" s="186"/>
      <c r="P334" s="186"/>
      <c r="Q334" s="186"/>
    </row>
    <row r="335" spans="2:17" x14ac:dyDescent="0.35">
      <c r="B335" s="186"/>
      <c r="C335" s="186"/>
      <c r="D335" s="186"/>
      <c r="E335" s="186"/>
      <c r="F335" s="186"/>
      <c r="G335" s="186"/>
      <c r="H335" s="186"/>
      <c r="I335" s="186"/>
      <c r="J335" s="186"/>
      <c r="K335" s="186"/>
      <c r="L335" s="186"/>
      <c r="M335" s="186"/>
      <c r="N335" s="186"/>
      <c r="O335" s="186"/>
      <c r="P335" s="186"/>
      <c r="Q335" s="186"/>
    </row>
    <row r="336" spans="2:17" x14ac:dyDescent="0.35">
      <c r="B336" s="186"/>
      <c r="C336" s="186"/>
      <c r="D336" s="186"/>
      <c r="E336" s="186"/>
      <c r="F336" s="186"/>
      <c r="G336" s="186"/>
      <c r="H336" s="186"/>
      <c r="I336" s="186"/>
      <c r="J336" s="186"/>
      <c r="K336" s="186"/>
      <c r="L336" s="186"/>
      <c r="M336" s="186"/>
      <c r="N336" s="186"/>
      <c r="O336" s="186"/>
      <c r="P336" s="186"/>
      <c r="Q336" s="186"/>
    </row>
    <row r="337" spans="2:17" x14ac:dyDescent="0.35">
      <c r="B337" s="186"/>
      <c r="C337" s="186"/>
      <c r="D337" s="186"/>
      <c r="E337" s="186"/>
      <c r="F337" s="186"/>
      <c r="G337" s="186"/>
      <c r="H337" s="186"/>
      <c r="I337" s="186"/>
      <c r="J337" s="186"/>
      <c r="K337" s="186"/>
      <c r="L337" s="186"/>
      <c r="M337" s="186"/>
      <c r="N337" s="186"/>
      <c r="O337" s="186"/>
      <c r="P337" s="186"/>
      <c r="Q337" s="186"/>
    </row>
    <row r="338" spans="2:17" x14ac:dyDescent="0.35">
      <c r="B338" s="186"/>
      <c r="C338" s="186"/>
      <c r="D338" s="186"/>
      <c r="E338" s="186"/>
      <c r="F338" s="186"/>
      <c r="G338" s="186"/>
      <c r="H338" s="186"/>
      <c r="I338" s="186"/>
      <c r="J338" s="186"/>
      <c r="K338" s="186"/>
      <c r="L338" s="186"/>
      <c r="M338" s="186"/>
      <c r="N338" s="186"/>
      <c r="O338" s="186"/>
      <c r="P338" s="186"/>
      <c r="Q338" s="186"/>
    </row>
    <row r="339" spans="2:17" x14ac:dyDescent="0.35">
      <c r="B339" s="186"/>
      <c r="C339" s="186"/>
      <c r="D339" s="186"/>
      <c r="E339" s="186"/>
      <c r="F339" s="186"/>
      <c r="G339" s="186"/>
      <c r="H339" s="186"/>
      <c r="I339" s="186"/>
      <c r="J339" s="186"/>
      <c r="K339" s="186"/>
      <c r="L339" s="186"/>
      <c r="M339" s="186"/>
      <c r="N339" s="186"/>
      <c r="O339" s="186"/>
      <c r="P339" s="186"/>
      <c r="Q339" s="186"/>
    </row>
    <row r="340" spans="2:17" x14ac:dyDescent="0.35">
      <c r="B340" s="186"/>
      <c r="C340" s="186"/>
      <c r="D340" s="186"/>
      <c r="E340" s="186"/>
      <c r="F340" s="186"/>
      <c r="G340" s="186"/>
      <c r="H340" s="186"/>
      <c r="I340" s="186"/>
      <c r="J340" s="186"/>
      <c r="K340" s="186"/>
      <c r="L340" s="186"/>
      <c r="M340" s="186"/>
      <c r="N340" s="186"/>
      <c r="O340" s="186"/>
      <c r="P340" s="186"/>
      <c r="Q340" s="186"/>
    </row>
    <row r="341" spans="2:17" x14ac:dyDescent="0.35">
      <c r="B341" s="186"/>
      <c r="C341" s="186"/>
      <c r="D341" s="186"/>
      <c r="E341" s="186"/>
      <c r="F341" s="186"/>
      <c r="G341" s="186"/>
      <c r="H341" s="186"/>
      <c r="I341" s="186"/>
      <c r="J341" s="186"/>
      <c r="K341" s="186"/>
      <c r="L341" s="186"/>
      <c r="M341" s="186"/>
      <c r="N341" s="186"/>
      <c r="O341" s="186"/>
      <c r="P341" s="186"/>
      <c r="Q341" s="186"/>
    </row>
    <row r="342" spans="2:17" x14ac:dyDescent="0.35">
      <c r="B342" s="186"/>
      <c r="C342" s="186"/>
      <c r="D342" s="186"/>
      <c r="E342" s="186"/>
      <c r="F342" s="186"/>
      <c r="G342" s="186"/>
      <c r="H342" s="186"/>
      <c r="I342" s="186"/>
      <c r="J342" s="186"/>
      <c r="K342" s="186"/>
      <c r="L342" s="186"/>
      <c r="M342" s="186"/>
      <c r="N342" s="186"/>
      <c r="O342" s="186"/>
      <c r="P342" s="186"/>
      <c r="Q342" s="186"/>
    </row>
    <row r="343" spans="2:17" x14ac:dyDescent="0.35">
      <c r="B343" s="186"/>
      <c r="C343" s="186"/>
      <c r="D343" s="186"/>
      <c r="E343" s="186"/>
      <c r="F343" s="186"/>
      <c r="G343" s="186"/>
      <c r="H343" s="186"/>
      <c r="I343" s="186"/>
      <c r="J343" s="186"/>
      <c r="K343" s="186"/>
      <c r="L343" s="186"/>
      <c r="M343" s="186"/>
      <c r="N343" s="186"/>
      <c r="O343" s="186"/>
      <c r="P343" s="186"/>
      <c r="Q343" s="186"/>
    </row>
    <row r="344" spans="2:17" x14ac:dyDescent="0.35">
      <c r="B344" s="186"/>
      <c r="C344" s="186"/>
      <c r="D344" s="186"/>
      <c r="E344" s="186"/>
      <c r="F344" s="186"/>
      <c r="G344" s="186"/>
      <c r="H344" s="186"/>
      <c r="I344" s="186"/>
      <c r="J344" s="186"/>
      <c r="K344" s="186"/>
      <c r="L344" s="186"/>
      <c r="M344" s="186"/>
      <c r="N344" s="186"/>
      <c r="O344" s="186"/>
      <c r="P344" s="186"/>
      <c r="Q344" s="186"/>
    </row>
    <row r="345" spans="2:17" x14ac:dyDescent="0.35">
      <c r="B345" s="186"/>
      <c r="C345" s="186"/>
      <c r="D345" s="186"/>
      <c r="E345" s="186"/>
      <c r="F345" s="186"/>
      <c r="G345" s="186"/>
      <c r="H345" s="186"/>
      <c r="I345" s="186"/>
      <c r="J345" s="186"/>
      <c r="K345" s="186"/>
      <c r="L345" s="186"/>
    </row>
    <row r="346" spans="2:17" x14ac:dyDescent="0.35">
      <c r="B346" s="186"/>
      <c r="C346" s="186"/>
      <c r="D346" s="186"/>
      <c r="E346" s="186"/>
      <c r="F346" s="186"/>
      <c r="G346" s="186"/>
      <c r="H346" s="186"/>
      <c r="I346" s="186"/>
      <c r="J346" s="186"/>
      <c r="K346" s="186"/>
      <c r="L346" s="186"/>
    </row>
    <row r="347" spans="2:17" x14ac:dyDescent="0.35">
      <c r="B347" s="186"/>
      <c r="C347" s="186"/>
      <c r="D347" s="186"/>
      <c r="E347" s="186"/>
      <c r="F347" s="186"/>
      <c r="G347" s="186"/>
      <c r="H347" s="186"/>
      <c r="I347" s="186"/>
      <c r="J347" s="186"/>
      <c r="K347" s="186"/>
      <c r="L347" s="186"/>
    </row>
    <row r="348" spans="2:17" x14ac:dyDescent="0.35">
      <c r="B348" s="186"/>
      <c r="C348" s="186"/>
      <c r="D348" s="186"/>
      <c r="E348" s="186"/>
      <c r="F348" s="186"/>
      <c r="G348" s="186"/>
      <c r="H348" s="186"/>
      <c r="I348" s="186"/>
      <c r="J348" s="186"/>
      <c r="K348" s="186"/>
      <c r="L348" s="186"/>
    </row>
    <row r="349" spans="2:17" x14ac:dyDescent="0.35">
      <c r="B349" s="186"/>
      <c r="C349" s="186"/>
      <c r="D349" s="186"/>
      <c r="E349" s="186"/>
      <c r="F349" s="186"/>
      <c r="G349" s="186"/>
      <c r="H349" s="186"/>
      <c r="I349" s="186"/>
      <c r="J349" s="186"/>
      <c r="K349" s="186"/>
      <c r="L349" s="186"/>
    </row>
  </sheetData>
  <conditionalFormatting sqref="A41:G43 J41:XFD43 A44:XFD1048576">
    <cfRule type="cellIs" dxfId="8" priority="25" operator="lessThan">
      <formula>0</formula>
    </cfRule>
  </conditionalFormatting>
  <conditionalFormatting sqref="A1:XFD40">
    <cfRule type="cellIs" dxfId="7" priority="1" operator="lessThan">
      <formula>0</formula>
    </cfRule>
  </conditionalFormatting>
  <pageMargins left="0.7" right="0.7" top="0.75" bottom="0.75" header="0.3" footer="0.3"/>
  <pageSetup scale="31"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690AB-45DF-4E46-A99C-828C6F8A157C}">
  <sheetPr>
    <tabColor theme="4"/>
  </sheetPr>
  <dimension ref="A1:R349"/>
  <sheetViews>
    <sheetView workbookViewId="0"/>
  </sheetViews>
  <sheetFormatPr defaultRowHeight="14.5" outlineLevelRow="2" x14ac:dyDescent="0.35"/>
  <cols>
    <col min="1" max="1" width="3.1796875" customWidth="1"/>
    <col min="2" max="2" width="54.1796875" customWidth="1"/>
    <col min="3" max="3" width="19.7265625" customWidth="1"/>
    <col min="4" max="4" width="16.81640625" customWidth="1"/>
    <col min="5" max="12" width="17" customWidth="1"/>
    <col min="13" max="13" width="13.7265625" bestFit="1" customWidth="1"/>
    <col min="14" max="14" width="17.81640625" bestFit="1" customWidth="1"/>
    <col min="15" max="15" width="11.453125" bestFit="1" customWidth="1"/>
    <col min="17" max="18" width="10.81640625" bestFit="1" customWidth="1"/>
    <col min="19" max="19" width="11.81640625" bestFit="1" customWidth="1"/>
  </cols>
  <sheetData>
    <row r="1" spans="1:17" x14ac:dyDescent="0.35">
      <c r="A1" s="198" t="s">
        <v>97</v>
      </c>
      <c r="B1" s="199"/>
      <c r="C1" s="199"/>
      <c r="D1" s="199"/>
      <c r="E1" s="199"/>
      <c r="F1" s="199"/>
      <c r="G1" s="199"/>
      <c r="H1" s="199"/>
      <c r="I1" s="199"/>
      <c r="J1" s="199"/>
      <c r="K1" s="199"/>
      <c r="L1" s="199"/>
    </row>
    <row r="2" spans="1:17" ht="15" thickBot="1" x14ac:dyDescent="0.4">
      <c r="A2" s="184" t="s">
        <v>1</v>
      </c>
      <c r="B2" s="184"/>
      <c r="C2" s="184"/>
      <c r="D2" s="184"/>
      <c r="E2" s="184"/>
      <c r="F2" s="184"/>
      <c r="G2" s="184"/>
      <c r="H2" s="184"/>
      <c r="I2" s="184"/>
      <c r="J2" s="184"/>
      <c r="K2" s="184"/>
      <c r="L2" s="184"/>
      <c r="M2" s="185"/>
      <c r="N2" s="185"/>
      <c r="O2" s="186"/>
      <c r="P2" s="186"/>
      <c r="Q2" s="186"/>
    </row>
    <row r="3" spans="1:17" outlineLevel="1" x14ac:dyDescent="0.35">
      <c r="B3" s="187" t="s">
        <v>2</v>
      </c>
      <c r="C3" s="188" t="s">
        <v>3</v>
      </c>
      <c r="D3" s="187" t="s">
        <v>4</v>
      </c>
      <c r="E3" s="187" t="s">
        <v>5</v>
      </c>
      <c r="F3" s="187" t="s">
        <v>6</v>
      </c>
      <c r="G3" s="187" t="s">
        <v>7</v>
      </c>
      <c r="H3" s="189" t="s">
        <v>8</v>
      </c>
      <c r="I3" s="189" t="s">
        <v>9</v>
      </c>
      <c r="J3" s="189" t="s">
        <v>10</v>
      </c>
      <c r="K3" s="189" t="s">
        <v>11</v>
      </c>
      <c r="L3" s="189" t="s">
        <v>12</v>
      </c>
      <c r="M3" s="190"/>
      <c r="N3" s="186"/>
      <c r="O3" s="186"/>
      <c r="P3" s="186"/>
    </row>
    <row r="4" spans="1:17" outlineLevel="1" x14ac:dyDescent="0.35">
      <c r="B4" s="191">
        <f>F14</f>
        <v>10</v>
      </c>
      <c r="C4" s="192">
        <v>2500</v>
      </c>
      <c r="D4" s="193">
        <f>$F$16</f>
        <v>155671.20000000001</v>
      </c>
      <c r="E4" s="194">
        <f>$F$84</f>
        <v>58505</v>
      </c>
      <c r="F4" s="194">
        <f>$F$107</f>
        <v>97166.200000000012</v>
      </c>
      <c r="G4" s="363">
        <f>$F$98</f>
        <v>54484.92</v>
      </c>
      <c r="H4" s="170">
        <f>$F$108</f>
        <v>42681.280000000013</v>
      </c>
      <c r="I4" s="170">
        <f>$F$101</f>
        <v>27956.85772</v>
      </c>
      <c r="J4" s="170">
        <f>$F$102</f>
        <v>4991.3567084880005</v>
      </c>
      <c r="K4" s="170">
        <f>F4-G4-I4-J4</f>
        <v>9733.065571512012</v>
      </c>
      <c r="L4" s="195">
        <f>K4/D4</f>
        <v>6.2523225693076251E-2</v>
      </c>
      <c r="M4" s="196"/>
      <c r="N4" s="186"/>
      <c r="O4" s="186"/>
      <c r="P4" s="197"/>
    </row>
    <row r="5" spans="1:17" x14ac:dyDescent="0.35">
      <c r="B5" s="211"/>
      <c r="C5" s="192"/>
      <c r="D5" s="201"/>
      <c r="E5" s="202"/>
      <c r="F5" s="203"/>
      <c r="G5" s="204"/>
      <c r="H5" s="204"/>
      <c r="I5" s="204"/>
      <c r="J5" s="205"/>
      <c r="K5" s="206"/>
      <c r="L5" s="206"/>
      <c r="M5" s="207"/>
      <c r="N5" s="196"/>
      <c r="O5" s="186"/>
      <c r="P5" s="208"/>
      <c r="Q5" s="186"/>
    </row>
    <row r="6" spans="1:17" ht="15" thickBot="1" x14ac:dyDescent="0.4">
      <c r="A6" s="184" t="s">
        <v>13</v>
      </c>
      <c r="B6" s="184"/>
      <c r="C6" s="184"/>
      <c r="D6" s="184"/>
      <c r="E6" s="184"/>
      <c r="F6" s="184"/>
      <c r="G6" s="184"/>
      <c r="H6" s="184"/>
      <c r="I6" s="184"/>
      <c r="J6" s="184"/>
      <c r="K6" s="184"/>
      <c r="L6" s="184"/>
      <c r="M6" s="185"/>
      <c r="N6" s="185"/>
      <c r="O6" s="186"/>
      <c r="P6" s="186"/>
      <c r="Q6" s="186"/>
    </row>
    <row r="7" spans="1:17" outlineLevel="1" x14ac:dyDescent="0.35">
      <c r="A7" s="212"/>
      <c r="B7" s="187" t="s">
        <v>14</v>
      </c>
      <c r="C7" s="188" t="s">
        <v>15</v>
      </c>
      <c r="D7" s="187" t="s">
        <v>16</v>
      </c>
      <c r="E7" s="188" t="s">
        <v>17</v>
      </c>
      <c r="F7" s="187" t="s">
        <v>18</v>
      </c>
      <c r="G7" s="187"/>
      <c r="H7" s="189"/>
      <c r="I7" s="189"/>
      <c r="J7" s="189"/>
      <c r="K7" s="189"/>
      <c r="L7" s="189"/>
      <c r="M7" s="185"/>
      <c r="N7" s="185"/>
      <c r="O7" s="186"/>
      <c r="P7" s="186"/>
      <c r="Q7" s="186"/>
    </row>
    <row r="8" spans="1:17" outlineLevel="1" x14ac:dyDescent="0.35">
      <c r="A8" s="212"/>
      <c r="B8" s="360" t="s">
        <v>19</v>
      </c>
      <c r="C8" s="192">
        <v>0</v>
      </c>
      <c r="D8" s="195"/>
      <c r="E8" s="194">
        <v>17943</v>
      </c>
      <c r="F8" s="383"/>
      <c r="G8" s="383"/>
      <c r="H8" s="212"/>
      <c r="I8" s="212"/>
      <c r="J8" s="212"/>
      <c r="K8" s="212"/>
      <c r="L8" s="212"/>
      <c r="M8" s="185"/>
      <c r="N8" s="185"/>
      <c r="O8" s="186"/>
      <c r="P8" s="186"/>
      <c r="Q8" s="186"/>
    </row>
    <row r="9" spans="1:17" outlineLevel="1" x14ac:dyDescent="0.35">
      <c r="B9" s="360" t="s">
        <v>20</v>
      </c>
      <c r="C9" s="192">
        <v>14414</v>
      </c>
      <c r="D9" s="195">
        <v>0.08</v>
      </c>
      <c r="E9" s="194">
        <f>C9+(C9*D9)</f>
        <v>15567.12</v>
      </c>
      <c r="F9" s="194">
        <f>E9-C9</f>
        <v>1153.1200000000008</v>
      </c>
      <c r="G9" s="363"/>
      <c r="H9" s="170"/>
      <c r="I9" s="170"/>
      <c r="J9" s="170"/>
      <c r="K9" s="170"/>
      <c r="L9" s="195"/>
      <c r="M9" s="207"/>
      <c r="N9" s="196"/>
      <c r="O9" s="186"/>
      <c r="P9" s="208"/>
      <c r="Q9" s="186"/>
    </row>
    <row r="10" spans="1:17" outlineLevel="1" x14ac:dyDescent="0.35">
      <c r="B10" s="322" t="s">
        <v>21</v>
      </c>
      <c r="C10" s="192">
        <v>13759</v>
      </c>
      <c r="D10" s="195">
        <v>7.0000000000000007E-2</v>
      </c>
      <c r="E10" s="194">
        <f>C10+(C10*D10)</f>
        <v>14722.130000000001</v>
      </c>
      <c r="F10" s="194">
        <f t="shared" ref="F10:F11" si="0">E10-C10</f>
        <v>963.13000000000102</v>
      </c>
      <c r="G10" s="363"/>
      <c r="H10" s="170"/>
      <c r="I10" s="170"/>
      <c r="J10" s="170"/>
      <c r="K10" s="170"/>
      <c r="L10" s="195"/>
      <c r="M10" s="207"/>
      <c r="N10" s="196"/>
      <c r="O10" s="186"/>
      <c r="P10" s="208"/>
      <c r="Q10" s="186"/>
    </row>
    <row r="11" spans="1:17" outlineLevel="1" x14ac:dyDescent="0.35">
      <c r="B11" s="322" t="s">
        <v>22</v>
      </c>
      <c r="C11" s="192">
        <v>12759</v>
      </c>
      <c r="D11" s="195">
        <v>0.05</v>
      </c>
      <c r="E11" s="194">
        <f t="shared" ref="E11" si="1">C11+(C11*D11)</f>
        <v>13396.95</v>
      </c>
      <c r="F11" s="194">
        <f t="shared" si="0"/>
        <v>637.95000000000073</v>
      </c>
      <c r="G11" s="363"/>
      <c r="H11" s="170"/>
      <c r="I11" s="170"/>
      <c r="J11" s="170"/>
      <c r="K11" s="170"/>
      <c r="L11" s="195"/>
      <c r="M11" s="207"/>
      <c r="N11" s="196"/>
      <c r="O11" s="186"/>
      <c r="P11" s="208"/>
      <c r="Q11" s="186"/>
    </row>
    <row r="12" spans="1:17" s="212" customFormat="1" x14ac:dyDescent="0.35">
      <c r="B12" s="221"/>
      <c r="C12" s="222"/>
      <c r="D12" s="223"/>
      <c r="E12" s="224"/>
      <c r="F12" s="225"/>
      <c r="G12" s="225"/>
      <c r="H12" s="225"/>
      <c r="I12" s="204"/>
      <c r="J12" s="226"/>
      <c r="K12" s="196"/>
      <c r="L12" s="196"/>
      <c r="M12" s="227"/>
      <c r="N12" s="196"/>
      <c r="O12" s="228"/>
      <c r="P12" s="229"/>
      <c r="Q12" s="228"/>
    </row>
    <row r="13" spans="1:17" ht="15" thickBot="1" x14ac:dyDescent="0.4">
      <c r="A13" s="184" t="s">
        <v>23</v>
      </c>
      <c r="B13" s="184"/>
      <c r="C13" s="184"/>
      <c r="D13" s="184"/>
      <c r="E13" s="184"/>
      <c r="F13" s="184"/>
      <c r="G13" s="184"/>
      <c r="H13" s="184"/>
      <c r="I13" s="184"/>
      <c r="J13" s="184"/>
      <c r="K13" s="184"/>
      <c r="L13" s="184"/>
      <c r="M13" s="185"/>
      <c r="N13" s="185"/>
      <c r="O13" s="186"/>
      <c r="P13" s="186"/>
      <c r="Q13" s="186"/>
    </row>
    <row r="14" spans="1:17" outlineLevel="1" x14ac:dyDescent="0.35">
      <c r="A14" s="212"/>
      <c r="B14" t="s">
        <v>27</v>
      </c>
      <c r="C14" s="212"/>
      <c r="D14" s="212"/>
      <c r="E14" s="202">
        <v>8</v>
      </c>
      <c r="F14">
        <v>10</v>
      </c>
      <c r="G14">
        <v>13</v>
      </c>
      <c r="H14">
        <v>20</v>
      </c>
      <c r="I14" s="212"/>
      <c r="J14" s="212"/>
      <c r="K14" s="212"/>
      <c r="L14" s="212"/>
      <c r="M14" s="185"/>
      <c r="N14" s="185"/>
      <c r="O14" s="186"/>
      <c r="P14" s="186"/>
      <c r="Q14" s="186"/>
    </row>
    <row r="15" spans="1:17" ht="15" outlineLevel="1" thickBot="1" x14ac:dyDescent="0.4">
      <c r="A15" s="213"/>
      <c r="B15" s="214" t="s">
        <v>28</v>
      </c>
      <c r="C15" s="215"/>
      <c r="D15" s="215"/>
      <c r="E15" s="217">
        <f>E8</f>
        <v>17943</v>
      </c>
      <c r="F15" s="217">
        <f>E9</f>
        <v>15567.12</v>
      </c>
      <c r="G15" s="217">
        <f>E10</f>
        <v>14722.130000000001</v>
      </c>
      <c r="H15" s="217">
        <f>E11</f>
        <v>13396.95</v>
      </c>
      <c r="I15" s="218"/>
      <c r="J15" s="219"/>
      <c r="K15" s="220"/>
      <c r="L15" s="220"/>
      <c r="M15" s="207"/>
      <c r="N15" s="196"/>
      <c r="O15" s="186"/>
      <c r="P15" s="208"/>
      <c r="Q15" s="186"/>
    </row>
    <row r="16" spans="1:17" s="212" customFormat="1" ht="15" thickTop="1" x14ac:dyDescent="0.35">
      <c r="A16" s="212" t="s">
        <v>29</v>
      </c>
      <c r="B16" s="221"/>
      <c r="C16" s="222"/>
      <c r="D16" s="222"/>
      <c r="E16" s="362">
        <f>E14*E15</f>
        <v>143544</v>
      </c>
      <c r="F16" s="362">
        <f>F14*F15</f>
        <v>155671.20000000001</v>
      </c>
      <c r="G16" s="364">
        <f>G15*G14</f>
        <v>191387.69</v>
      </c>
      <c r="H16" s="362">
        <f>H14*H15</f>
        <v>267939</v>
      </c>
      <c r="I16" s="204"/>
      <c r="J16" s="226"/>
      <c r="K16" s="196"/>
      <c r="L16" s="196"/>
      <c r="M16" s="227"/>
      <c r="N16" s="196"/>
      <c r="O16" s="228"/>
      <c r="P16" s="229"/>
      <c r="Q16" s="228"/>
    </row>
    <row r="17" spans="1:17" s="212" customFormat="1" x14ac:dyDescent="0.35">
      <c r="B17" s="221"/>
      <c r="C17" s="222"/>
      <c r="D17" s="223"/>
      <c r="E17" s="224"/>
      <c r="F17" s="225"/>
      <c r="G17" s="225"/>
      <c r="H17" s="225"/>
      <c r="I17" s="204"/>
      <c r="J17" s="226"/>
      <c r="K17" s="196"/>
      <c r="L17" s="196"/>
      <c r="M17" s="227"/>
      <c r="N17" s="196"/>
      <c r="O17" s="228"/>
      <c r="P17" s="229"/>
      <c r="Q17" s="228"/>
    </row>
    <row r="18" spans="1:17" ht="15" thickBot="1" x14ac:dyDescent="0.4">
      <c r="A18" s="184" t="s">
        <v>98</v>
      </c>
      <c r="B18" s="184"/>
      <c r="C18" s="184"/>
      <c r="D18" s="184"/>
      <c r="E18" s="184"/>
      <c r="F18" s="184"/>
      <c r="G18" s="184"/>
      <c r="H18" s="184"/>
      <c r="I18" s="184"/>
      <c r="J18" s="184"/>
      <c r="K18" s="184"/>
      <c r="L18" s="184"/>
      <c r="M18" s="185"/>
      <c r="N18" s="185"/>
      <c r="O18" s="186"/>
      <c r="P18" s="186"/>
      <c r="Q18" s="186"/>
    </row>
    <row r="19" spans="1:17" outlineLevel="1" x14ac:dyDescent="0.35">
      <c r="A19" s="212"/>
      <c r="B19" t="s">
        <v>27</v>
      </c>
      <c r="C19" s="212"/>
      <c r="D19" s="212"/>
      <c r="E19" s="202">
        <f>E14</f>
        <v>8</v>
      </c>
      <c r="F19" s="202">
        <f t="shared" ref="F19:H19" si="2">F14</f>
        <v>10</v>
      </c>
      <c r="G19" s="202">
        <f t="shared" si="2"/>
        <v>13</v>
      </c>
      <c r="H19" s="202">
        <f t="shared" si="2"/>
        <v>20</v>
      </c>
      <c r="I19" s="212"/>
      <c r="J19" s="212"/>
      <c r="K19" s="212"/>
      <c r="L19" s="212"/>
      <c r="M19" s="185"/>
      <c r="N19" s="185"/>
      <c r="O19" s="186"/>
      <c r="P19" s="186"/>
      <c r="Q19" s="186"/>
    </row>
    <row r="20" spans="1:17" ht="15" outlineLevel="1" thickBot="1" x14ac:dyDescent="0.4">
      <c r="A20" s="213"/>
      <c r="B20" s="214" t="s">
        <v>99</v>
      </c>
      <c r="C20" s="215"/>
      <c r="D20" s="215"/>
      <c r="E20" s="217">
        <f>$G$44+E60+E65+E69+(E75*(1/3))+E83+E98+E103</f>
        <v>112158.67027655999</v>
      </c>
      <c r="F20" s="217">
        <f t="shared" ref="F20:H20" si="3">$G$44+F60+F65+F69+(F75*(1/3))+F83+F98+F103</f>
        <v>119043.134428488</v>
      </c>
      <c r="G20" s="217">
        <f t="shared" si="3"/>
        <v>137968.9592479881</v>
      </c>
      <c r="H20" s="217">
        <f t="shared" si="3"/>
        <v>178799.03621210999</v>
      </c>
      <c r="I20" s="218"/>
      <c r="J20" s="219"/>
      <c r="K20" s="220"/>
      <c r="L20" s="220"/>
      <c r="M20" s="207"/>
      <c r="N20" s="196"/>
      <c r="O20" s="186"/>
      <c r="P20" s="208"/>
      <c r="Q20" s="186"/>
    </row>
    <row r="21" spans="1:17" s="212" customFormat="1" ht="15" thickTop="1" x14ac:dyDescent="0.35">
      <c r="A21" s="212" t="s">
        <v>100</v>
      </c>
      <c r="B21" s="221"/>
      <c r="C21" s="222"/>
      <c r="D21" s="222"/>
      <c r="E21" s="362">
        <f>E20/E19</f>
        <v>14019.833784569999</v>
      </c>
      <c r="F21" s="362">
        <f t="shared" ref="F21:H21" si="4">F20/F19</f>
        <v>11904.313442848801</v>
      </c>
      <c r="G21" s="362">
        <f t="shared" si="4"/>
        <v>10612.996865229854</v>
      </c>
      <c r="H21" s="362">
        <f t="shared" si="4"/>
        <v>8939.9518106055002</v>
      </c>
      <c r="I21" s="204"/>
      <c r="J21" s="226"/>
      <c r="K21" s="196"/>
      <c r="L21" s="196"/>
      <c r="M21" s="227"/>
      <c r="N21" s="196"/>
      <c r="O21" s="228"/>
      <c r="P21" s="229"/>
      <c r="Q21" s="228"/>
    </row>
    <row r="22" spans="1:17" x14ac:dyDescent="0.35">
      <c r="B22" s="211"/>
      <c r="C22" s="192"/>
      <c r="D22" s="201"/>
      <c r="E22" s="230"/>
      <c r="F22" s="203"/>
      <c r="G22" s="204"/>
      <c r="H22" s="204"/>
      <c r="I22" s="204"/>
      <c r="J22" s="205"/>
      <c r="K22" s="206"/>
      <c r="L22" s="206"/>
      <c r="M22" s="207"/>
      <c r="N22" s="196"/>
      <c r="O22" s="186"/>
      <c r="P22" s="208"/>
      <c r="Q22" s="186"/>
    </row>
    <row r="23" spans="1:17" ht="15" thickBot="1" x14ac:dyDescent="0.4">
      <c r="A23" s="184" t="s">
        <v>101</v>
      </c>
      <c r="B23" s="184"/>
      <c r="C23" s="184"/>
      <c r="D23" s="184"/>
      <c r="E23" s="184"/>
      <c r="F23" s="184"/>
      <c r="G23" s="184"/>
      <c r="H23" s="184"/>
      <c r="I23" s="184"/>
      <c r="J23" s="184"/>
      <c r="K23" s="184"/>
      <c r="L23" s="184"/>
      <c r="M23" s="185"/>
      <c r="N23" s="185"/>
      <c r="O23" s="186"/>
      <c r="P23" s="186"/>
      <c r="Q23" s="186"/>
    </row>
    <row r="24" spans="1:17" outlineLevel="1" x14ac:dyDescent="0.35">
      <c r="A24" s="212"/>
      <c r="B24" t="s">
        <v>27</v>
      </c>
      <c r="C24" s="212"/>
      <c r="D24" s="212"/>
      <c r="E24" s="202">
        <f>E14</f>
        <v>8</v>
      </c>
      <c r="F24" s="202">
        <f t="shared" ref="F24:H24" si="5">F14</f>
        <v>10</v>
      </c>
      <c r="G24" s="202">
        <f t="shared" si="5"/>
        <v>13</v>
      </c>
      <c r="H24" s="202">
        <f t="shared" si="5"/>
        <v>20</v>
      </c>
      <c r="I24" s="212"/>
      <c r="J24" s="212"/>
      <c r="K24" s="212"/>
      <c r="L24" s="212"/>
      <c r="M24" s="185"/>
      <c r="N24" s="185"/>
      <c r="O24" s="186"/>
      <c r="P24" s="186"/>
      <c r="Q24" s="186"/>
    </row>
    <row r="25" spans="1:17" ht="15" outlineLevel="1" thickBot="1" x14ac:dyDescent="0.4">
      <c r="A25" s="213"/>
      <c r="B25" s="214" t="s">
        <v>102</v>
      </c>
      <c r="C25" s="215"/>
      <c r="D25" s="215"/>
      <c r="E25" s="217">
        <f>E39+E52+(E75*(1/3))</f>
        <v>21863</v>
      </c>
      <c r="F25" s="217">
        <f t="shared" ref="F25:H25" si="6">F39+F52+(F75*(2/3))</f>
        <v>26895</v>
      </c>
      <c r="G25" s="217">
        <f t="shared" si="6"/>
        <v>31851</v>
      </c>
      <c r="H25" s="217">
        <f t="shared" si="6"/>
        <v>43415</v>
      </c>
      <c r="I25" s="218"/>
      <c r="J25" s="219"/>
      <c r="K25" s="220"/>
      <c r="L25" s="220"/>
      <c r="M25" s="207"/>
      <c r="N25" s="196"/>
      <c r="O25" s="186"/>
      <c r="P25" s="208"/>
      <c r="Q25" s="186"/>
    </row>
    <row r="26" spans="1:17" s="212" customFormat="1" ht="15" thickTop="1" x14ac:dyDescent="0.35">
      <c r="A26" s="212" t="s">
        <v>103</v>
      </c>
      <c r="B26" s="221"/>
      <c r="C26" s="223"/>
      <c r="D26" s="222"/>
      <c r="E26" s="385">
        <f>E25/E24</f>
        <v>2732.875</v>
      </c>
      <c r="F26" s="385">
        <f t="shared" ref="F26:H26" si="7">F25/F24</f>
        <v>2689.5</v>
      </c>
      <c r="G26" s="385">
        <f t="shared" si="7"/>
        <v>2450.0769230769229</v>
      </c>
      <c r="H26" s="385">
        <f t="shared" si="7"/>
        <v>2170.75</v>
      </c>
      <c r="I26" s="204"/>
      <c r="J26" s="226"/>
      <c r="K26" s="196"/>
      <c r="L26" s="196"/>
      <c r="M26" s="227"/>
      <c r="N26" s="196"/>
      <c r="O26" s="228"/>
      <c r="P26" s="229"/>
      <c r="Q26" s="228"/>
    </row>
    <row r="27" spans="1:17" s="212" customFormat="1" x14ac:dyDescent="0.35">
      <c r="B27" s="221"/>
      <c r="C27" s="223"/>
      <c r="D27" s="222"/>
      <c r="E27" s="385"/>
      <c r="F27" s="385"/>
      <c r="G27" s="385"/>
      <c r="H27" s="385"/>
      <c r="I27" s="204"/>
      <c r="J27" s="226"/>
      <c r="K27" s="196"/>
      <c r="L27" s="196"/>
      <c r="M27" s="227"/>
      <c r="N27" s="196"/>
      <c r="O27" s="228"/>
      <c r="P27" s="229"/>
      <c r="Q27" s="228"/>
    </row>
    <row r="28" spans="1:17" ht="15" thickBot="1" x14ac:dyDescent="0.4">
      <c r="A28" s="184" t="s">
        <v>104</v>
      </c>
      <c r="B28" s="184"/>
      <c r="C28" s="184"/>
      <c r="D28" s="184"/>
      <c r="E28" s="184"/>
      <c r="F28" s="184"/>
      <c r="G28" s="184"/>
      <c r="H28" s="184"/>
      <c r="I28" s="184"/>
      <c r="J28" s="184"/>
      <c r="K28" s="184"/>
      <c r="L28" s="184"/>
      <c r="M28" s="185"/>
      <c r="N28" s="185"/>
      <c r="O28" s="186"/>
      <c r="P28" s="186"/>
      <c r="Q28" s="186"/>
    </row>
    <row r="29" spans="1:17" outlineLevel="1" x14ac:dyDescent="0.35">
      <c r="A29" s="212"/>
      <c r="B29" t="s">
        <v>27</v>
      </c>
      <c r="C29" s="212"/>
      <c r="D29" s="212"/>
      <c r="E29" s="202">
        <f>E19</f>
        <v>8</v>
      </c>
      <c r="F29" s="202">
        <f t="shared" ref="F29:H29" si="8">F19</f>
        <v>10</v>
      </c>
      <c r="G29" s="202">
        <f t="shared" si="8"/>
        <v>13</v>
      </c>
      <c r="H29" s="202">
        <f t="shared" si="8"/>
        <v>20</v>
      </c>
      <c r="I29" s="212"/>
      <c r="J29" s="212"/>
      <c r="K29" s="212"/>
      <c r="L29" s="212"/>
      <c r="M29" s="185"/>
      <c r="N29" s="185"/>
      <c r="O29" s="186"/>
      <c r="P29" s="186"/>
      <c r="Q29" s="186"/>
    </row>
    <row r="30" spans="1:17" x14ac:dyDescent="0.35">
      <c r="B30" s="211" t="s">
        <v>105</v>
      </c>
      <c r="C30" s="384">
        <v>0.34100000000000003</v>
      </c>
      <c r="D30" s="192"/>
      <c r="E30" s="386">
        <f>E25*$C$30</f>
        <v>7455.2830000000004</v>
      </c>
      <c r="F30" s="386">
        <f t="shared" ref="F30:H30" si="9">F25*$C$30</f>
        <v>9171.1950000000015</v>
      </c>
      <c r="G30" s="386">
        <f t="shared" si="9"/>
        <v>10861.191000000001</v>
      </c>
      <c r="H30" s="386">
        <f t="shared" si="9"/>
        <v>14804.515000000001</v>
      </c>
      <c r="I30" s="387"/>
      <c r="J30" s="205"/>
      <c r="K30" s="206"/>
      <c r="L30" s="206"/>
      <c r="M30" s="207"/>
      <c r="N30" s="206"/>
      <c r="O30" s="186"/>
      <c r="P30" s="208"/>
      <c r="Q30" s="186"/>
    </row>
    <row r="31" spans="1:17" x14ac:dyDescent="0.35">
      <c r="B31" s="211" t="s">
        <v>106</v>
      </c>
      <c r="C31" s="384">
        <v>4.5400000000000003E-2</v>
      </c>
      <c r="D31" s="192"/>
      <c r="E31" s="386">
        <f>$C$31*E25+$C$31*E30</f>
        <v>1331.0500482000002</v>
      </c>
      <c r="F31" s="386">
        <f>$C$31*F25+$C$31*F30</f>
        <v>1637.4052530000004</v>
      </c>
      <c r="G31" s="386">
        <f>$C$31*G25+$C$31*G30</f>
        <v>1939.1334714</v>
      </c>
      <c r="H31" s="386">
        <f>$C$31*H25+$C$31*H30</f>
        <v>2643.1659810000001</v>
      </c>
      <c r="I31" s="387"/>
      <c r="J31" s="205"/>
      <c r="K31" s="206"/>
      <c r="L31" s="206"/>
      <c r="M31" s="207"/>
      <c r="N31" s="206"/>
      <c r="O31" s="186"/>
      <c r="P31" s="208"/>
      <c r="Q31" s="186"/>
    </row>
    <row r="32" spans="1:17" ht="15" thickBot="1" x14ac:dyDescent="0.4">
      <c r="B32" s="211"/>
      <c r="C32" s="192"/>
      <c r="D32" s="201"/>
      <c r="E32" s="230"/>
      <c r="F32" s="203"/>
      <c r="G32" s="204"/>
      <c r="H32" s="204"/>
      <c r="I32" s="204"/>
      <c r="J32" s="205"/>
      <c r="K32" s="206"/>
      <c r="L32" s="206"/>
      <c r="M32" s="207"/>
      <c r="N32" s="196"/>
      <c r="O32" s="186"/>
      <c r="P32" s="208"/>
      <c r="Q32" s="186"/>
    </row>
    <row r="33" spans="1:17" ht="15.5" thickTop="1" thickBot="1" x14ac:dyDescent="0.4">
      <c r="A33" s="184" t="s">
        <v>46</v>
      </c>
      <c r="B33" s="231"/>
      <c r="C33" s="231"/>
      <c r="D33" s="231"/>
      <c r="E33" s="231"/>
      <c r="F33" s="231"/>
      <c r="G33" s="231"/>
      <c r="H33" s="231"/>
      <c r="I33" s="231"/>
      <c r="J33" s="231"/>
      <c r="K33" s="232" t="s">
        <v>24</v>
      </c>
      <c r="L33" s="233"/>
      <c r="M33" s="228"/>
      <c r="N33" s="228"/>
      <c r="O33" s="186"/>
      <c r="P33" s="186"/>
      <c r="Q33" s="234"/>
    </row>
    <row r="34" spans="1:17" outlineLevel="1" x14ac:dyDescent="0.35">
      <c r="B34" s="382" t="s">
        <v>32</v>
      </c>
      <c r="C34" s="369" t="s">
        <v>33</v>
      </c>
      <c r="D34" s="369" t="s">
        <v>34</v>
      </c>
      <c r="E34" s="369" t="str">
        <f>_xlfn.CONCAT("Total Cost for ",E$14)</f>
        <v>Total Cost for 8</v>
      </c>
      <c r="F34" s="369" t="str">
        <f>_xlfn.CONCAT("Total Cost for ",F$14)</f>
        <v>Total Cost for 10</v>
      </c>
      <c r="G34" s="369" t="str">
        <f>_xlfn.CONCAT("Total Cost for ",G$14)</f>
        <v>Total Cost for 13</v>
      </c>
      <c r="H34" s="369" t="str">
        <f>_xlfn.CONCAT("Total Cost for ",H$14)</f>
        <v>Total Cost for 20</v>
      </c>
      <c r="I34" s="257"/>
      <c r="J34" s="237"/>
      <c r="K34" s="238" t="s">
        <v>25</v>
      </c>
      <c r="L34" s="239" t="s">
        <v>26</v>
      </c>
      <c r="M34" s="13"/>
      <c r="N34" s="186"/>
      <c r="O34" s="186"/>
    </row>
    <row r="35" spans="1:17" outlineLevel="2" x14ac:dyDescent="0.35">
      <c r="B35" s="370" t="s">
        <v>35</v>
      </c>
      <c r="C35" s="380">
        <v>3375</v>
      </c>
      <c r="D35" s="380">
        <v>0</v>
      </c>
      <c r="E35" s="380">
        <f t="shared" ref="E35:H38" si="10">$C35+$D35*E$14</f>
        <v>3375</v>
      </c>
      <c r="F35" s="380">
        <f t="shared" si="10"/>
        <v>3375</v>
      </c>
      <c r="G35" s="380">
        <f t="shared" si="10"/>
        <v>3375</v>
      </c>
      <c r="H35" s="380">
        <f t="shared" si="10"/>
        <v>3375</v>
      </c>
      <c r="I35" s="203"/>
      <c r="J35" s="240"/>
      <c r="K35" s="243"/>
      <c r="L35" s="244"/>
      <c r="M35" s="13"/>
      <c r="N35" s="186"/>
      <c r="O35" s="186"/>
    </row>
    <row r="36" spans="1:17" outlineLevel="2" x14ac:dyDescent="0.35">
      <c r="B36" s="370" t="s">
        <v>36</v>
      </c>
      <c r="C36" s="380">
        <v>0</v>
      </c>
      <c r="D36" s="380">
        <v>300</v>
      </c>
      <c r="E36" s="380">
        <f t="shared" si="10"/>
        <v>2400</v>
      </c>
      <c r="F36" s="380">
        <f t="shared" si="10"/>
        <v>3000</v>
      </c>
      <c r="G36" s="380">
        <f t="shared" si="10"/>
        <v>3900</v>
      </c>
      <c r="H36" s="380">
        <f t="shared" si="10"/>
        <v>6000</v>
      </c>
      <c r="I36" s="203"/>
      <c r="J36" s="203"/>
      <c r="K36" s="258"/>
      <c r="L36" s="259"/>
      <c r="M36" s="13"/>
      <c r="N36" s="186"/>
      <c r="O36" s="186"/>
    </row>
    <row r="37" spans="1:17" outlineLevel="2" x14ac:dyDescent="0.35">
      <c r="B37" s="370" t="s">
        <v>37</v>
      </c>
      <c r="C37" s="380">
        <v>0</v>
      </c>
      <c r="D37" s="380">
        <v>325</v>
      </c>
      <c r="E37" s="380">
        <f t="shared" si="10"/>
        <v>2600</v>
      </c>
      <c r="F37" s="380">
        <f t="shared" si="10"/>
        <v>3250</v>
      </c>
      <c r="G37" s="380">
        <f t="shared" si="10"/>
        <v>4225</v>
      </c>
      <c r="H37" s="380">
        <f t="shared" si="10"/>
        <v>6500</v>
      </c>
      <c r="I37" s="203"/>
      <c r="J37" s="240"/>
      <c r="K37" s="243"/>
      <c r="L37" s="244"/>
      <c r="M37" s="13"/>
      <c r="N37" s="186"/>
      <c r="O37" s="186"/>
    </row>
    <row r="38" spans="1:17" ht="15" outlineLevel="2" thickBot="1" x14ac:dyDescent="0.4">
      <c r="B38" s="381" t="s">
        <v>38</v>
      </c>
      <c r="C38" s="377">
        <v>0</v>
      </c>
      <c r="D38" s="377">
        <v>0</v>
      </c>
      <c r="E38" s="377">
        <f t="shared" si="10"/>
        <v>0</v>
      </c>
      <c r="F38" s="377">
        <f t="shared" si="10"/>
        <v>0</v>
      </c>
      <c r="G38" s="377">
        <f t="shared" si="10"/>
        <v>0</v>
      </c>
      <c r="H38" s="377">
        <f t="shared" si="10"/>
        <v>0</v>
      </c>
      <c r="I38" s="260"/>
      <c r="J38" s="260"/>
      <c r="K38" s="267"/>
      <c r="L38" s="268"/>
      <c r="M38" s="13"/>
      <c r="N38" s="186"/>
      <c r="O38" s="186"/>
    </row>
    <row r="39" spans="1:17" s="212" customFormat="1" ht="15" outlineLevel="1" thickTop="1" x14ac:dyDescent="0.35">
      <c r="B39" s="373" t="s">
        <v>39</v>
      </c>
      <c r="C39" s="380">
        <f t="shared" ref="C39:H39" si="11">SUM(C35:C38)</f>
        <v>3375</v>
      </c>
      <c r="D39" s="380">
        <f t="shared" si="11"/>
        <v>625</v>
      </c>
      <c r="E39" s="380">
        <f t="shared" si="11"/>
        <v>8375</v>
      </c>
      <c r="F39" s="380">
        <f t="shared" si="11"/>
        <v>9625</v>
      </c>
      <c r="G39" s="380">
        <f t="shared" si="11"/>
        <v>11500</v>
      </c>
      <c r="H39" s="380">
        <f t="shared" si="11"/>
        <v>15875</v>
      </c>
      <c r="I39" s="261"/>
      <c r="J39" s="261"/>
      <c r="K39" s="262"/>
      <c r="L39" s="263"/>
      <c r="M39" s="185"/>
      <c r="N39" s="228"/>
      <c r="O39" s="228"/>
    </row>
    <row r="40" spans="1:17" s="254" customFormat="1" outlineLevel="1" x14ac:dyDescent="0.35">
      <c r="B40" s="212"/>
      <c r="C40" s="212"/>
      <c r="D40" s="212"/>
      <c r="E40" s="212"/>
      <c r="F40" s="212"/>
      <c r="G40" s="212"/>
      <c r="H40" s="212"/>
      <c r="I40" s="212"/>
      <c r="K40" s="255"/>
      <c r="L40" s="256"/>
    </row>
    <row r="41" spans="1:17" outlineLevel="1" x14ac:dyDescent="0.35">
      <c r="B41" s="235" t="s">
        <v>47</v>
      </c>
      <c r="C41" s="236" t="s">
        <v>48</v>
      </c>
      <c r="D41" s="237" t="s">
        <v>49</v>
      </c>
      <c r="E41" s="237" t="s">
        <v>50</v>
      </c>
      <c r="F41" s="237" t="s">
        <v>51</v>
      </c>
      <c r="G41" s="237" t="s">
        <v>52</v>
      </c>
      <c r="H41" s="324"/>
      <c r="I41" s="324"/>
      <c r="J41" s="325"/>
      <c r="K41" s="326"/>
      <c r="L41" s="327"/>
    </row>
    <row r="42" spans="1:17" ht="15" customHeight="1" outlineLevel="2" x14ac:dyDescent="0.35">
      <c r="B42" t="s">
        <v>53</v>
      </c>
      <c r="C42" s="186" t="s">
        <v>54</v>
      </c>
      <c r="D42" s="240">
        <f>10000</f>
        <v>10000</v>
      </c>
      <c r="E42" s="241">
        <v>0.33</v>
      </c>
      <c r="F42" s="242">
        <f>D42*E42</f>
        <v>3300</v>
      </c>
      <c r="G42" s="240">
        <f>D42+F42</f>
        <v>13300</v>
      </c>
      <c r="J42" s="129"/>
      <c r="K42" s="243"/>
      <c r="L42" s="244"/>
      <c r="P42" s="125"/>
    </row>
    <row r="43" spans="1:17" ht="15" customHeight="1" outlineLevel="2" thickBot="1" x14ac:dyDescent="0.4">
      <c r="B43" s="213" t="s">
        <v>55</v>
      </c>
      <c r="C43" s="245" t="s">
        <v>56</v>
      </c>
      <c r="D43" s="246">
        <f>10000</f>
        <v>10000</v>
      </c>
      <c r="E43" s="247">
        <v>0.33</v>
      </c>
      <c r="F43" s="248">
        <f>D43*E43</f>
        <v>3300</v>
      </c>
      <c r="G43" s="246">
        <f>D43+F43</f>
        <v>13300</v>
      </c>
      <c r="H43" s="213"/>
      <c r="I43" s="213"/>
      <c r="J43" s="333"/>
      <c r="K43" s="249"/>
      <c r="L43" s="250"/>
    </row>
    <row r="44" spans="1:17" s="212" customFormat="1" ht="15" outlineLevel="1" thickTop="1" x14ac:dyDescent="0.35">
      <c r="B44" s="223" t="s">
        <v>57</v>
      </c>
      <c r="C44" s="223"/>
      <c r="D44" s="329">
        <f>SUM(D42:D43)</f>
        <v>20000</v>
      </c>
      <c r="E44" s="328"/>
      <c r="F44" s="329">
        <f>SUM(F42:F43)</f>
        <v>6600</v>
      </c>
      <c r="G44" s="365">
        <f>SUM(G42:G43)</f>
        <v>26600</v>
      </c>
      <c r="H44" s="185"/>
      <c r="I44" s="251"/>
      <c r="J44" s="251"/>
      <c r="K44" s="252"/>
      <c r="L44" s="253"/>
      <c r="M44" s="185"/>
      <c r="N44" s="228"/>
      <c r="O44" s="228"/>
    </row>
    <row r="45" spans="1:17" s="212" customFormat="1" outlineLevel="1" x14ac:dyDescent="0.35">
      <c r="B45" s="223"/>
      <c r="C45" s="223"/>
      <c r="D45" s="228"/>
      <c r="E45" s="228"/>
      <c r="F45" s="251"/>
      <c r="G45" s="251"/>
      <c r="H45" s="185"/>
      <c r="I45" s="251"/>
      <c r="J45" s="251"/>
      <c r="K45" s="252"/>
      <c r="L45" s="253"/>
      <c r="M45" s="185"/>
      <c r="N45" s="228"/>
      <c r="O45" s="228"/>
    </row>
    <row r="46" spans="1:17" outlineLevel="1" x14ac:dyDescent="0.35">
      <c r="B46" s="382" t="s">
        <v>40</v>
      </c>
      <c r="C46" s="369" t="s">
        <v>33</v>
      </c>
      <c r="D46" s="369" t="s">
        <v>34</v>
      </c>
      <c r="E46" s="369" t="str">
        <f>_xlfn.CONCAT("Total Cost for ",E$14)</f>
        <v>Total Cost for 8</v>
      </c>
      <c r="F46" s="369" t="str">
        <f>_xlfn.CONCAT("Total Cost for ",F$14)</f>
        <v>Total Cost for 10</v>
      </c>
      <c r="G46" s="369" t="str">
        <f>_xlfn.CONCAT("Total Cost for ",G$14)</f>
        <v>Total Cost for 13</v>
      </c>
      <c r="H46" s="369" t="str">
        <f>_xlfn.CONCAT("Total Cost for ",H$14)</f>
        <v>Total Cost for 20</v>
      </c>
      <c r="I46" s="257"/>
      <c r="J46" s="237"/>
      <c r="K46" s="238"/>
      <c r="L46" s="239"/>
      <c r="M46" s="13"/>
      <c r="N46" s="186"/>
      <c r="O46" s="186"/>
    </row>
    <row r="47" spans="1:17" outlineLevel="2" x14ac:dyDescent="0.35">
      <c r="B47" s="370" t="s">
        <v>41</v>
      </c>
      <c r="C47" s="380">
        <v>0</v>
      </c>
      <c r="D47" s="380">
        <v>0</v>
      </c>
      <c r="E47" s="380">
        <f>$C47+$D47*E$14</f>
        <v>0</v>
      </c>
      <c r="F47" s="380">
        <f>$C47+$D47*F$14</f>
        <v>0</v>
      </c>
      <c r="G47" s="380">
        <f t="shared" ref="G47:H51" si="12">$C47+$D47*G$14</f>
        <v>0</v>
      </c>
      <c r="H47" s="380">
        <f t="shared" si="12"/>
        <v>0</v>
      </c>
      <c r="I47" s="203"/>
      <c r="J47" s="203"/>
      <c r="K47" s="258"/>
      <c r="L47" s="259"/>
      <c r="M47" s="13"/>
      <c r="N47" s="186"/>
      <c r="O47" s="186"/>
    </row>
    <row r="48" spans="1:17" outlineLevel="2" x14ac:dyDescent="0.35">
      <c r="B48" s="370" t="s">
        <v>42</v>
      </c>
      <c r="C48" s="380">
        <v>0</v>
      </c>
      <c r="D48" s="380">
        <f>135*2</f>
        <v>270</v>
      </c>
      <c r="E48" s="380">
        <f>$C48+$D48*E$14</f>
        <v>2160</v>
      </c>
      <c r="F48" s="380">
        <f t="shared" ref="F48:F51" si="13">$C48+$D48*F$14</f>
        <v>2700</v>
      </c>
      <c r="G48" s="380">
        <f t="shared" si="12"/>
        <v>3510</v>
      </c>
      <c r="H48" s="380">
        <f t="shared" si="12"/>
        <v>5400</v>
      </c>
      <c r="I48" s="203"/>
      <c r="J48" s="203"/>
      <c r="K48" s="258"/>
      <c r="L48" s="259"/>
      <c r="M48" s="13"/>
      <c r="N48" s="186"/>
      <c r="O48" s="186"/>
    </row>
    <row r="49" spans="2:15" outlineLevel="2" x14ac:dyDescent="0.35">
      <c r="B49" s="370" t="s">
        <v>43</v>
      </c>
      <c r="C49" s="380">
        <v>7000</v>
      </c>
      <c r="D49" s="380">
        <v>0</v>
      </c>
      <c r="E49" s="380">
        <f t="shared" ref="E49:E51" si="14">$C49+$D49*E$14</f>
        <v>7000</v>
      </c>
      <c r="F49" s="380">
        <f t="shared" si="13"/>
        <v>7000</v>
      </c>
      <c r="G49" s="380">
        <f t="shared" si="12"/>
        <v>7000</v>
      </c>
      <c r="H49" s="380">
        <f t="shared" si="12"/>
        <v>7000</v>
      </c>
      <c r="I49" s="92"/>
      <c r="J49" s="92"/>
      <c r="K49" s="334"/>
      <c r="L49" s="335"/>
    </row>
    <row r="50" spans="2:15" outlineLevel="2" x14ac:dyDescent="0.35">
      <c r="B50" s="370" t="s">
        <v>37</v>
      </c>
      <c r="C50" s="380">
        <v>0</v>
      </c>
      <c r="D50" s="380">
        <v>325</v>
      </c>
      <c r="E50" s="380">
        <f t="shared" si="14"/>
        <v>2600</v>
      </c>
      <c r="F50" s="380">
        <f t="shared" si="13"/>
        <v>3250</v>
      </c>
      <c r="G50" s="380">
        <f t="shared" si="12"/>
        <v>4225</v>
      </c>
      <c r="H50" s="380">
        <f t="shared" si="12"/>
        <v>6500</v>
      </c>
      <c r="I50" s="203"/>
      <c r="J50" s="240"/>
      <c r="K50" s="243"/>
      <c r="L50" s="244"/>
      <c r="M50" s="13"/>
      <c r="N50" s="186"/>
      <c r="O50" s="186"/>
    </row>
    <row r="51" spans="2:15" ht="15" outlineLevel="2" thickBot="1" x14ac:dyDescent="0.4">
      <c r="B51" s="381" t="s">
        <v>38</v>
      </c>
      <c r="C51" s="377">
        <v>0</v>
      </c>
      <c r="D51" s="377">
        <v>0</v>
      </c>
      <c r="E51" s="377">
        <f t="shared" si="14"/>
        <v>0</v>
      </c>
      <c r="F51" s="377">
        <f t="shared" si="13"/>
        <v>0</v>
      </c>
      <c r="G51" s="377">
        <f t="shared" si="12"/>
        <v>0</v>
      </c>
      <c r="H51" s="377">
        <f t="shared" si="12"/>
        <v>0</v>
      </c>
      <c r="I51" s="260"/>
      <c r="J51" s="260"/>
      <c r="K51" s="267"/>
      <c r="L51" s="268"/>
      <c r="M51" s="13"/>
      <c r="N51" s="186"/>
      <c r="O51" s="186"/>
    </row>
    <row r="52" spans="2:15" s="212" customFormat="1" ht="15" outlineLevel="1" thickTop="1" x14ac:dyDescent="0.35">
      <c r="B52" s="373" t="s">
        <v>44</v>
      </c>
      <c r="C52" s="380">
        <f t="shared" ref="C52:H52" si="15">SUM(C47:C51)</f>
        <v>7000</v>
      </c>
      <c r="D52" s="380">
        <f t="shared" si="15"/>
        <v>595</v>
      </c>
      <c r="E52" s="380">
        <f>SUM(E47:E51)</f>
        <v>11760</v>
      </c>
      <c r="F52" s="380">
        <f t="shared" si="15"/>
        <v>12950</v>
      </c>
      <c r="G52" s="380">
        <f t="shared" si="15"/>
        <v>14735</v>
      </c>
      <c r="H52" s="380">
        <f t="shared" si="15"/>
        <v>18900</v>
      </c>
      <c r="I52" s="261"/>
      <c r="J52" s="261"/>
      <c r="K52" s="262"/>
      <c r="L52" s="263"/>
      <c r="M52" s="185"/>
      <c r="N52" s="228"/>
      <c r="O52" s="228"/>
    </row>
    <row r="53" spans="2:15" s="254" customFormat="1" outlineLevel="1" x14ac:dyDescent="0.35">
      <c r="B53" s="212"/>
      <c r="C53" s="212"/>
      <c r="D53" s="212"/>
      <c r="E53" s="212"/>
      <c r="F53" s="212"/>
      <c r="G53" s="212"/>
      <c r="H53" s="212"/>
      <c r="I53" s="212"/>
      <c r="K53" s="255"/>
      <c r="L53" s="256"/>
    </row>
    <row r="54" spans="2:15" outlineLevel="1" x14ac:dyDescent="0.35">
      <c r="B54" s="235" t="s">
        <v>58</v>
      </c>
      <c r="C54" s="257" t="s">
        <v>33</v>
      </c>
      <c r="D54" s="257" t="s">
        <v>34</v>
      </c>
      <c r="E54" s="257" t="str">
        <f>_xlfn.CONCAT("Total Cost for ",E$14)</f>
        <v>Total Cost for 8</v>
      </c>
      <c r="F54" s="257" t="str">
        <f>_xlfn.CONCAT("Total Cost for ",F$14)</f>
        <v>Total Cost for 10</v>
      </c>
      <c r="G54" s="257" t="str">
        <f>_xlfn.CONCAT("Total Cost for ",G$14)</f>
        <v>Total Cost for 13</v>
      </c>
      <c r="H54" s="257" t="str">
        <f>_xlfn.CONCAT("Total Cost for ",H$14)</f>
        <v>Total Cost for 20</v>
      </c>
      <c r="I54" s="257"/>
      <c r="J54" s="237"/>
      <c r="K54" s="238"/>
      <c r="L54" s="239"/>
      <c r="M54" s="13"/>
      <c r="N54" s="186"/>
      <c r="O54" s="186"/>
    </row>
    <row r="55" spans="2:15" outlineLevel="2" x14ac:dyDescent="0.35">
      <c r="B55" t="s">
        <v>59</v>
      </c>
      <c r="C55" s="203">
        <v>0</v>
      </c>
      <c r="D55" s="203">
        <v>0</v>
      </c>
      <c r="E55" s="203">
        <f t="shared" ref="E55:H59" si="16">$C55+$D55*E$14</f>
        <v>0</v>
      </c>
      <c r="F55" s="203">
        <f t="shared" si="16"/>
        <v>0</v>
      </c>
      <c r="G55" s="203">
        <f t="shared" si="16"/>
        <v>0</v>
      </c>
      <c r="H55" s="203">
        <f t="shared" si="16"/>
        <v>0</v>
      </c>
      <c r="I55" s="203"/>
      <c r="J55" s="240"/>
      <c r="K55" s="243"/>
      <c r="L55" s="244"/>
      <c r="M55" s="13"/>
      <c r="N55" s="186"/>
      <c r="O55" s="186"/>
    </row>
    <row r="56" spans="2:15" outlineLevel="2" x14ac:dyDescent="0.35">
      <c r="B56" t="s">
        <v>60</v>
      </c>
      <c r="C56" s="203">
        <v>0</v>
      </c>
      <c r="D56" s="203">
        <v>0</v>
      </c>
      <c r="E56" s="203">
        <f t="shared" si="16"/>
        <v>0</v>
      </c>
      <c r="F56" s="203">
        <f t="shared" si="16"/>
        <v>0</v>
      </c>
      <c r="G56" s="203">
        <f t="shared" si="16"/>
        <v>0</v>
      </c>
      <c r="H56" s="203">
        <f t="shared" si="16"/>
        <v>0</v>
      </c>
      <c r="I56" s="203"/>
      <c r="J56" s="203"/>
      <c r="K56" s="258"/>
      <c r="L56" s="259"/>
      <c r="M56" s="13"/>
      <c r="N56" s="186"/>
      <c r="O56" s="186"/>
    </row>
    <row r="57" spans="2:15" outlineLevel="2" x14ac:dyDescent="0.35">
      <c r="B57" t="s">
        <v>61</v>
      </c>
      <c r="C57" s="203">
        <v>0</v>
      </c>
      <c r="D57" s="203">
        <v>0</v>
      </c>
      <c r="E57" s="203">
        <f t="shared" si="16"/>
        <v>0</v>
      </c>
      <c r="F57" s="203">
        <f t="shared" si="16"/>
        <v>0</v>
      </c>
      <c r="G57" s="203">
        <f t="shared" si="16"/>
        <v>0</v>
      </c>
      <c r="H57" s="203">
        <f t="shared" si="16"/>
        <v>0</v>
      </c>
      <c r="I57" s="203"/>
      <c r="J57" s="240"/>
      <c r="K57" s="243"/>
      <c r="L57" s="244"/>
      <c r="M57" s="13"/>
      <c r="N57" s="186"/>
      <c r="O57" s="186"/>
    </row>
    <row r="58" spans="2:15" outlineLevel="2" x14ac:dyDescent="0.35">
      <c r="B58" t="s">
        <v>62</v>
      </c>
      <c r="C58" s="203">
        <v>0</v>
      </c>
      <c r="D58" s="203">
        <v>0</v>
      </c>
      <c r="E58" s="203">
        <f t="shared" si="16"/>
        <v>0</v>
      </c>
      <c r="F58" s="203">
        <f t="shared" si="16"/>
        <v>0</v>
      </c>
      <c r="G58" s="203">
        <f t="shared" si="16"/>
        <v>0</v>
      </c>
      <c r="H58" s="203">
        <f t="shared" si="16"/>
        <v>0</v>
      </c>
      <c r="I58" s="203"/>
      <c r="J58" s="203"/>
      <c r="K58" s="258"/>
      <c r="L58" s="259"/>
      <c r="M58" s="13"/>
      <c r="N58" s="186"/>
      <c r="O58" s="186"/>
    </row>
    <row r="59" spans="2:15" ht="15" outlineLevel="2" thickBot="1" x14ac:dyDescent="0.4">
      <c r="B59" s="213" t="s">
        <v>63</v>
      </c>
      <c r="C59" s="260">
        <v>0</v>
      </c>
      <c r="D59" s="260">
        <v>0</v>
      </c>
      <c r="E59" s="260">
        <f t="shared" si="16"/>
        <v>0</v>
      </c>
      <c r="F59" s="260">
        <f t="shared" si="16"/>
        <v>0</v>
      </c>
      <c r="G59" s="260">
        <f t="shared" si="16"/>
        <v>0</v>
      </c>
      <c r="H59" s="260">
        <f t="shared" si="16"/>
        <v>0</v>
      </c>
      <c r="I59" s="260"/>
      <c r="J59" s="246"/>
      <c r="K59" s="249"/>
      <c r="L59" s="250"/>
      <c r="M59" s="240"/>
      <c r="N59" s="186"/>
      <c r="O59" s="186"/>
    </row>
    <row r="60" spans="2:15" s="212" customFormat="1" ht="15" outlineLevel="1" thickTop="1" x14ac:dyDescent="0.35">
      <c r="B60" s="223" t="s">
        <v>64</v>
      </c>
      <c r="C60" s="261">
        <f t="shared" ref="C60:H60" si="17">SUM(C55:C59)</f>
        <v>0</v>
      </c>
      <c r="D60" s="261">
        <f t="shared" si="17"/>
        <v>0</v>
      </c>
      <c r="E60" s="261">
        <f t="shared" si="17"/>
        <v>0</v>
      </c>
      <c r="F60" s="261">
        <f t="shared" si="17"/>
        <v>0</v>
      </c>
      <c r="G60" s="261">
        <f t="shared" si="17"/>
        <v>0</v>
      </c>
      <c r="H60" s="261">
        <f t="shared" si="17"/>
        <v>0</v>
      </c>
      <c r="I60" s="261"/>
      <c r="J60" s="261"/>
      <c r="K60" s="262"/>
      <c r="L60" s="263"/>
      <c r="M60" s="185"/>
      <c r="N60" s="228"/>
      <c r="O60" s="228"/>
    </row>
    <row r="61" spans="2:15" s="212" customFormat="1" outlineLevel="1" x14ac:dyDescent="0.35">
      <c r="B61" s="223"/>
      <c r="C61" s="261"/>
      <c r="D61" s="261"/>
      <c r="E61" s="261"/>
      <c r="F61" s="261"/>
      <c r="G61" s="261"/>
      <c r="H61" s="261"/>
      <c r="I61" s="261"/>
      <c r="J61" s="261"/>
      <c r="K61" s="262"/>
      <c r="L61" s="263"/>
      <c r="M61" s="185"/>
      <c r="N61" s="228"/>
      <c r="O61" s="228"/>
    </row>
    <row r="62" spans="2:15" outlineLevel="1" x14ac:dyDescent="0.35">
      <c r="B62" s="336" t="s">
        <v>65</v>
      </c>
      <c r="C62" s="337" t="s">
        <v>33</v>
      </c>
      <c r="D62" s="337" t="s">
        <v>34</v>
      </c>
      <c r="E62" s="337" t="str">
        <f>_xlfn.CONCAT("Total Cost for ",E$14)</f>
        <v>Total Cost for 8</v>
      </c>
      <c r="F62" s="337" t="str">
        <f>_xlfn.CONCAT("Total Cost for ",F$14)</f>
        <v>Total Cost for 10</v>
      </c>
      <c r="G62" s="337" t="str">
        <f>_xlfn.CONCAT("Total Cost for ",G$14)</f>
        <v>Total Cost for 13</v>
      </c>
      <c r="H62" s="337" t="str">
        <f>_xlfn.CONCAT("Total Cost for ",H$14)</f>
        <v>Total Cost for 20</v>
      </c>
      <c r="I62" s="337"/>
      <c r="J62" s="338"/>
      <c r="K62" s="339"/>
      <c r="L62" s="340"/>
    </row>
    <row r="63" spans="2:15" outlineLevel="2" x14ac:dyDescent="0.35">
      <c r="B63" s="370" t="s">
        <v>66</v>
      </c>
      <c r="C63" s="380">
        <v>0</v>
      </c>
      <c r="D63" s="380">
        <v>175</v>
      </c>
      <c r="E63" s="380">
        <f t="shared" ref="E63:H64" si="18">$C63+$D63*E$14</f>
        <v>1400</v>
      </c>
      <c r="F63" s="380">
        <f t="shared" si="18"/>
        <v>1750</v>
      </c>
      <c r="G63" s="380">
        <f t="shared" si="18"/>
        <v>2275</v>
      </c>
      <c r="H63" s="380">
        <f t="shared" si="18"/>
        <v>3500</v>
      </c>
      <c r="I63" s="92"/>
      <c r="J63" s="92"/>
      <c r="K63" s="334"/>
      <c r="L63" s="335"/>
    </row>
    <row r="64" spans="2:15" ht="15" outlineLevel="2" thickBot="1" x14ac:dyDescent="0.4">
      <c r="B64" s="213" t="s">
        <v>67</v>
      </c>
      <c r="C64" s="342">
        <v>0</v>
      </c>
      <c r="D64" s="342">
        <v>0</v>
      </c>
      <c r="E64" s="342">
        <f t="shared" si="18"/>
        <v>0</v>
      </c>
      <c r="F64" s="342">
        <f t="shared" si="18"/>
        <v>0</v>
      </c>
      <c r="G64" s="342">
        <f t="shared" si="18"/>
        <v>0</v>
      </c>
      <c r="H64" s="342">
        <f t="shared" si="18"/>
        <v>0</v>
      </c>
      <c r="I64" s="342"/>
      <c r="J64" s="342"/>
      <c r="K64" s="343"/>
      <c r="L64" s="344"/>
    </row>
    <row r="65" spans="2:12" ht="15" outlineLevel="1" thickTop="1" x14ac:dyDescent="0.35">
      <c r="B65" s="345" t="s">
        <v>68</v>
      </c>
      <c r="C65" s="346">
        <f t="shared" ref="C65:G65" si="19">SUM(C63:C64)</f>
        <v>0</v>
      </c>
      <c r="D65" s="346">
        <f t="shared" si="19"/>
        <v>175</v>
      </c>
      <c r="E65" s="346">
        <f t="shared" si="19"/>
        <v>1400</v>
      </c>
      <c r="F65" s="346">
        <f t="shared" si="19"/>
        <v>1750</v>
      </c>
      <c r="G65" s="346">
        <f t="shared" si="19"/>
        <v>2275</v>
      </c>
      <c r="H65" s="346">
        <f>SUM(H63:H64)</f>
        <v>3500</v>
      </c>
      <c r="I65" s="346"/>
      <c r="J65" s="346"/>
      <c r="K65" s="347"/>
      <c r="L65" s="348"/>
    </row>
    <row r="66" spans="2:12" outlineLevel="1" x14ac:dyDescent="0.35">
      <c r="B66" s="264"/>
      <c r="J66" s="212"/>
      <c r="K66" s="349"/>
      <c r="L66" s="350"/>
    </row>
    <row r="67" spans="2:12" outlineLevel="1" x14ac:dyDescent="0.35">
      <c r="B67" s="336" t="s">
        <v>69</v>
      </c>
      <c r="C67" s="337" t="s">
        <v>33</v>
      </c>
      <c r="D67" s="337" t="s">
        <v>34</v>
      </c>
      <c r="E67" s="337" t="str">
        <f>_xlfn.CONCAT("Total Cost for ",E$14)</f>
        <v>Total Cost for 8</v>
      </c>
      <c r="F67" s="337" t="str">
        <f>_xlfn.CONCAT("Total Cost for ",F$14)</f>
        <v>Total Cost for 10</v>
      </c>
      <c r="G67" s="337" t="str">
        <f>_xlfn.CONCAT("Total Cost for ",G$14)</f>
        <v>Total Cost for 13</v>
      </c>
      <c r="H67" s="337" t="str">
        <f>_xlfn.CONCAT("Total Cost for ",H$14)</f>
        <v>Total Cost for 20</v>
      </c>
      <c r="I67" s="337"/>
      <c r="J67" s="338"/>
      <c r="K67" s="339"/>
      <c r="L67" s="340"/>
    </row>
    <row r="68" spans="2:12" ht="15" outlineLevel="2" thickBot="1" x14ac:dyDescent="0.4">
      <c r="B68" s="388" t="s">
        <v>70</v>
      </c>
      <c r="C68" s="389">
        <v>0</v>
      </c>
      <c r="D68" s="389">
        <v>25</v>
      </c>
      <c r="E68" s="389">
        <f>$C68+$D68*E$14</f>
        <v>200</v>
      </c>
      <c r="F68" s="389">
        <f>$C68+$D68*F$14</f>
        <v>250</v>
      </c>
      <c r="G68" s="389">
        <f>$C68+$D68*G$14</f>
        <v>325</v>
      </c>
      <c r="H68" s="389">
        <f>$C68+$D68*H$14</f>
        <v>500</v>
      </c>
      <c r="I68" s="92"/>
      <c r="J68" s="92"/>
      <c r="K68" s="334"/>
      <c r="L68" s="335"/>
    </row>
    <row r="69" spans="2:12" ht="15" outlineLevel="1" thickTop="1" x14ac:dyDescent="0.35">
      <c r="B69" s="345" t="s">
        <v>71</v>
      </c>
      <c r="C69" s="346">
        <f t="shared" ref="C69:H69" si="20">SUM(C68:C68)</f>
        <v>0</v>
      </c>
      <c r="D69" s="346">
        <f>SUM(D68:D68)</f>
        <v>25</v>
      </c>
      <c r="E69" s="346">
        <f t="shared" si="20"/>
        <v>200</v>
      </c>
      <c r="F69" s="346">
        <f t="shared" si="20"/>
        <v>250</v>
      </c>
      <c r="G69" s="346">
        <f t="shared" si="20"/>
        <v>325</v>
      </c>
      <c r="H69" s="346">
        <f t="shared" si="20"/>
        <v>500</v>
      </c>
      <c r="I69" s="346"/>
      <c r="J69" s="346"/>
      <c r="K69" s="347"/>
      <c r="L69" s="348"/>
    </row>
    <row r="70" spans="2:12" outlineLevel="1" x14ac:dyDescent="0.35">
      <c r="B70" s="264"/>
      <c r="J70" s="212"/>
      <c r="K70" s="349"/>
      <c r="L70" s="350"/>
    </row>
    <row r="71" spans="2:12" outlineLevel="1" x14ac:dyDescent="0.35">
      <c r="B71" s="336" t="s">
        <v>72</v>
      </c>
      <c r="C71" s="337" t="s">
        <v>33</v>
      </c>
      <c r="D71" s="337" t="s">
        <v>34</v>
      </c>
      <c r="E71" s="337" t="str">
        <f>_xlfn.CONCAT("Total Cost for ",E$14)</f>
        <v>Total Cost for 8</v>
      </c>
      <c r="F71" s="337" t="str">
        <f>_xlfn.CONCAT("Total Cost for ",F$14)</f>
        <v>Total Cost for 10</v>
      </c>
      <c r="G71" s="337" t="str">
        <f>_xlfn.CONCAT("Total Cost for ",G$14)</f>
        <v>Total Cost for 13</v>
      </c>
      <c r="H71" s="337" t="str">
        <f>_xlfn.CONCAT("Total Cost for ",H$14)</f>
        <v>Total Cost for 20</v>
      </c>
      <c r="I71" s="337"/>
      <c r="J71" s="338"/>
      <c r="K71" s="339"/>
      <c r="L71" s="340"/>
    </row>
    <row r="72" spans="2:12" outlineLevel="2" x14ac:dyDescent="0.35">
      <c r="B72" s="264" t="s">
        <v>73</v>
      </c>
      <c r="C72" s="92">
        <v>0</v>
      </c>
      <c r="D72" s="92">
        <v>0</v>
      </c>
      <c r="E72" s="92">
        <f t="shared" ref="E72:H74" si="21">$C72+$D72*E$14</f>
        <v>0</v>
      </c>
      <c r="F72" s="92">
        <f t="shared" si="21"/>
        <v>0</v>
      </c>
      <c r="G72" s="92">
        <f t="shared" si="21"/>
        <v>0</v>
      </c>
      <c r="H72" s="92">
        <f t="shared" si="21"/>
        <v>0</v>
      </c>
      <c r="I72" s="92"/>
      <c r="J72" s="92"/>
      <c r="K72" s="334"/>
      <c r="L72" s="335"/>
    </row>
    <row r="73" spans="2:12" outlineLevel="2" x14ac:dyDescent="0.35">
      <c r="B73" s="264" t="s">
        <v>74</v>
      </c>
      <c r="C73" s="92">
        <v>0</v>
      </c>
      <c r="D73" s="92">
        <v>0</v>
      </c>
      <c r="E73" s="92">
        <f t="shared" si="21"/>
        <v>0</v>
      </c>
      <c r="F73" s="92">
        <f t="shared" si="21"/>
        <v>0</v>
      </c>
      <c r="G73" s="92">
        <f t="shared" si="21"/>
        <v>0</v>
      </c>
      <c r="H73" s="92">
        <f t="shared" si="21"/>
        <v>0</v>
      </c>
      <c r="I73" s="92"/>
      <c r="J73" s="92"/>
      <c r="K73" s="334"/>
      <c r="L73" s="335"/>
    </row>
    <row r="74" spans="2:12" ht="15" outlineLevel="2" thickBot="1" x14ac:dyDescent="0.4">
      <c r="B74" s="381" t="s">
        <v>75</v>
      </c>
      <c r="C74" s="377">
        <v>0</v>
      </c>
      <c r="D74" s="377">
        <f>216*3</f>
        <v>648</v>
      </c>
      <c r="E74" s="377">
        <f t="shared" si="21"/>
        <v>5184</v>
      </c>
      <c r="F74" s="377">
        <f t="shared" si="21"/>
        <v>6480</v>
      </c>
      <c r="G74" s="377">
        <f t="shared" si="21"/>
        <v>8424</v>
      </c>
      <c r="H74" s="377">
        <f t="shared" si="21"/>
        <v>12960</v>
      </c>
      <c r="I74" s="342"/>
      <c r="J74" s="342"/>
      <c r="K74" s="351"/>
      <c r="L74" s="352"/>
    </row>
    <row r="75" spans="2:12" ht="15" outlineLevel="1" thickTop="1" x14ac:dyDescent="0.35">
      <c r="B75" s="345" t="s">
        <v>76</v>
      </c>
      <c r="C75" s="346">
        <f t="shared" ref="C75:H75" si="22">SUM(C72:C74)</f>
        <v>0</v>
      </c>
      <c r="D75" s="346">
        <f t="shared" si="22"/>
        <v>648</v>
      </c>
      <c r="E75" s="346">
        <f t="shared" si="22"/>
        <v>5184</v>
      </c>
      <c r="F75" s="346">
        <f t="shared" si="22"/>
        <v>6480</v>
      </c>
      <c r="G75" s="346">
        <f t="shared" si="22"/>
        <v>8424</v>
      </c>
      <c r="H75" s="346">
        <f t="shared" si="22"/>
        <v>12960</v>
      </c>
      <c r="I75" s="346"/>
      <c r="J75" s="346"/>
      <c r="K75" s="347"/>
      <c r="L75" s="348"/>
    </row>
    <row r="76" spans="2:12" outlineLevel="1" x14ac:dyDescent="0.35">
      <c r="B76" s="345"/>
      <c r="C76" s="346"/>
      <c r="D76" s="346"/>
      <c r="E76" s="346"/>
      <c r="F76" s="346"/>
      <c r="G76" s="346"/>
      <c r="H76" s="346"/>
      <c r="I76" s="346"/>
      <c r="J76" s="346"/>
      <c r="K76" s="347"/>
      <c r="L76" s="348"/>
    </row>
    <row r="77" spans="2:12" outlineLevel="1" x14ac:dyDescent="0.35">
      <c r="B77" s="336" t="s">
        <v>77</v>
      </c>
      <c r="C77" s="337" t="s">
        <v>33</v>
      </c>
      <c r="D77" s="337" t="s">
        <v>34</v>
      </c>
      <c r="E77" s="337" t="str">
        <f>_xlfn.CONCAT("Total Cost for ",E$14)</f>
        <v>Total Cost for 8</v>
      </c>
      <c r="F77" s="337" t="str">
        <f>_xlfn.CONCAT("Total Cost for ",F$14)</f>
        <v>Total Cost for 10</v>
      </c>
      <c r="G77" s="337" t="str">
        <f>_xlfn.CONCAT("Total Cost for ",G$14)</f>
        <v>Total Cost for 13</v>
      </c>
      <c r="H77" s="337" t="str">
        <f>_xlfn.CONCAT("Total Cost for ",H$14)</f>
        <v>Total Cost for 20</v>
      </c>
      <c r="I77" s="337"/>
      <c r="J77" s="338"/>
      <c r="K77" s="339"/>
      <c r="L77" s="340"/>
    </row>
    <row r="78" spans="2:12" outlineLevel="2" x14ac:dyDescent="0.35">
      <c r="B78" t="s">
        <v>78</v>
      </c>
      <c r="C78" s="92">
        <v>0</v>
      </c>
      <c r="D78" s="92">
        <v>15</v>
      </c>
      <c r="E78" s="92">
        <f t="shared" ref="E78:H82" si="23">$C78+$D78*E$14</f>
        <v>120</v>
      </c>
      <c r="F78" s="92">
        <f t="shared" si="23"/>
        <v>150</v>
      </c>
      <c r="G78" s="92">
        <f t="shared" si="23"/>
        <v>195</v>
      </c>
      <c r="H78" s="92">
        <f t="shared" si="23"/>
        <v>300</v>
      </c>
      <c r="I78" s="92"/>
      <c r="J78" s="92"/>
      <c r="K78" s="334"/>
      <c r="L78" s="335"/>
    </row>
    <row r="79" spans="2:12" outlineLevel="2" x14ac:dyDescent="0.35">
      <c r="B79" s="370" t="s">
        <v>79</v>
      </c>
      <c r="C79" s="380">
        <v>0</v>
      </c>
      <c r="D79" s="380">
        <v>20</v>
      </c>
      <c r="E79" s="380">
        <f t="shared" si="23"/>
        <v>160</v>
      </c>
      <c r="F79" s="380">
        <f t="shared" si="23"/>
        <v>200</v>
      </c>
      <c r="G79" s="380">
        <f t="shared" si="23"/>
        <v>260</v>
      </c>
      <c r="H79" s="380">
        <f t="shared" si="23"/>
        <v>400</v>
      </c>
      <c r="I79" s="92"/>
      <c r="J79" s="92"/>
      <c r="K79" s="334"/>
      <c r="L79" s="335"/>
    </row>
    <row r="80" spans="2:12" outlineLevel="2" x14ac:dyDescent="0.35">
      <c r="B80" t="s">
        <v>80</v>
      </c>
      <c r="C80" s="92">
        <v>0</v>
      </c>
      <c r="D80" s="92">
        <v>0</v>
      </c>
      <c r="E80" s="92">
        <f t="shared" si="23"/>
        <v>0</v>
      </c>
      <c r="F80" s="92">
        <f t="shared" si="23"/>
        <v>0</v>
      </c>
      <c r="G80" s="92">
        <f t="shared" si="23"/>
        <v>0</v>
      </c>
      <c r="H80" s="92">
        <f t="shared" si="23"/>
        <v>0</v>
      </c>
      <c r="I80" s="92"/>
      <c r="J80" s="92"/>
      <c r="K80" s="334"/>
      <c r="L80" s="335"/>
    </row>
    <row r="81" spans="1:17" outlineLevel="2" x14ac:dyDescent="0.35">
      <c r="B81" t="s">
        <v>81</v>
      </c>
      <c r="C81" s="92">
        <v>500</v>
      </c>
      <c r="D81" s="92">
        <v>0</v>
      </c>
      <c r="E81" s="92">
        <f t="shared" si="23"/>
        <v>500</v>
      </c>
      <c r="F81" s="92">
        <f t="shared" si="23"/>
        <v>500</v>
      </c>
      <c r="G81" s="92">
        <f t="shared" si="23"/>
        <v>500</v>
      </c>
      <c r="H81" s="92">
        <f t="shared" si="23"/>
        <v>500</v>
      </c>
      <c r="I81" s="92"/>
      <c r="J81" s="92"/>
      <c r="K81" s="334"/>
      <c r="L81" s="335"/>
    </row>
    <row r="82" spans="1:17" ht="15" outlineLevel="2" thickBot="1" x14ac:dyDescent="0.4">
      <c r="B82" s="213" t="s">
        <v>82</v>
      </c>
      <c r="C82" s="342">
        <v>0</v>
      </c>
      <c r="D82" s="342">
        <v>0</v>
      </c>
      <c r="E82" s="342">
        <f t="shared" si="23"/>
        <v>0</v>
      </c>
      <c r="F82" s="342">
        <f t="shared" si="23"/>
        <v>0</v>
      </c>
      <c r="G82" s="342">
        <f t="shared" si="23"/>
        <v>0</v>
      </c>
      <c r="H82" s="342">
        <f t="shared" si="23"/>
        <v>0</v>
      </c>
      <c r="I82" s="342"/>
      <c r="J82" s="342"/>
      <c r="K82" s="343"/>
      <c r="L82" s="344"/>
    </row>
    <row r="83" spans="1:17" ht="15.5" outlineLevel="1" thickTop="1" thickBot="1" x14ac:dyDescent="0.4">
      <c r="A83" s="213"/>
      <c r="B83" s="353" t="s">
        <v>83</v>
      </c>
      <c r="C83" s="354">
        <f t="shared" ref="C83:H83" si="24">SUM(C78:C82)</f>
        <v>500</v>
      </c>
      <c r="D83" s="354">
        <f t="shared" si="24"/>
        <v>35</v>
      </c>
      <c r="E83" s="354">
        <f t="shared" si="24"/>
        <v>780</v>
      </c>
      <c r="F83" s="354">
        <f t="shared" si="24"/>
        <v>850</v>
      </c>
      <c r="G83" s="354">
        <f t="shared" si="24"/>
        <v>955</v>
      </c>
      <c r="H83" s="354">
        <f t="shared" si="24"/>
        <v>1200</v>
      </c>
      <c r="I83" s="354"/>
      <c r="J83" s="354"/>
      <c r="K83" s="355"/>
      <c r="L83" s="356"/>
    </row>
    <row r="84" spans="1:17" ht="15" thickTop="1" x14ac:dyDescent="0.35">
      <c r="A84" s="212" t="s">
        <v>84</v>
      </c>
      <c r="B84" s="223"/>
      <c r="C84" s="261">
        <f>SUM(C83)</f>
        <v>500</v>
      </c>
      <c r="D84" s="261">
        <f>SUM(D83)</f>
        <v>35</v>
      </c>
      <c r="E84" s="261">
        <f>$G$44++E39+E52+E60+E65+E69+E75+E83</f>
        <v>54299</v>
      </c>
      <c r="F84" s="261">
        <f>$G$44++F39+F52+F60+F65+F69+F75+F83</f>
        <v>58505</v>
      </c>
      <c r="G84" s="261">
        <f>$G$44++G39+G52+G60+G65+G69+G75+G83</f>
        <v>64814</v>
      </c>
      <c r="H84" s="261">
        <f>$G$44++H39+H52+H60+H65+H69+H75+H83</f>
        <v>79535</v>
      </c>
      <c r="I84" s="261"/>
      <c r="J84" s="261"/>
      <c r="K84" s="265"/>
      <c r="L84" s="266"/>
      <c r="M84" s="13"/>
      <c r="N84" s="186"/>
      <c r="O84" s="186"/>
      <c r="P84" s="186"/>
      <c r="Q84" s="186"/>
    </row>
    <row r="85" spans="1:17" x14ac:dyDescent="0.35">
      <c r="A85" s="212"/>
      <c r="B85" s="223"/>
      <c r="C85" s="261"/>
      <c r="D85" s="261"/>
      <c r="E85" s="261"/>
      <c r="F85" s="261"/>
      <c r="G85" s="261"/>
      <c r="H85" s="261"/>
      <c r="I85" s="261"/>
      <c r="J85" s="261"/>
      <c r="K85" s="265"/>
      <c r="L85" s="266"/>
      <c r="M85" s="13"/>
      <c r="N85" s="186"/>
      <c r="O85" s="186"/>
      <c r="P85" s="186"/>
      <c r="Q85" s="186"/>
    </row>
    <row r="86" spans="1:17" x14ac:dyDescent="0.35">
      <c r="A86" s="369" t="s">
        <v>107</v>
      </c>
      <c r="B86" s="369"/>
      <c r="C86" s="369" t="s">
        <v>33</v>
      </c>
      <c r="D86" s="369" t="s">
        <v>34</v>
      </c>
      <c r="E86" s="369" t="str">
        <f>_xlfn.CONCAT("Total Cost for ",E$14)</f>
        <v>Total Cost for 8</v>
      </c>
      <c r="F86" s="369" t="str">
        <f>_xlfn.CONCAT("Total Cost for ",F$14)</f>
        <v>Total Cost for 10</v>
      </c>
      <c r="G86" s="369" t="str">
        <f>_xlfn.CONCAT("Total Cost for ",G$14)</f>
        <v>Total Cost for 13</v>
      </c>
      <c r="H86" s="369" t="str">
        <f>_xlfn.CONCAT("Total Cost for ",H$14)</f>
        <v>Total Cost for 20</v>
      </c>
      <c r="I86" s="257"/>
      <c r="J86" s="257"/>
      <c r="K86" s="272"/>
      <c r="L86" s="273"/>
      <c r="M86" s="13"/>
      <c r="N86" s="186"/>
      <c r="O86" s="186"/>
    </row>
    <row r="87" spans="1:17" outlineLevel="2" x14ac:dyDescent="0.35">
      <c r="A87" s="370"/>
      <c r="B87" s="371" t="str">
        <f t="shared" ref="B87:H87" si="25">B39</f>
        <v>Total Summer Quarter '23 - DCE Fees</v>
      </c>
      <c r="C87" s="372">
        <f t="shared" si="25"/>
        <v>3375</v>
      </c>
      <c r="D87" s="372">
        <f t="shared" si="25"/>
        <v>625</v>
      </c>
      <c r="E87" s="372">
        <f t="shared" si="25"/>
        <v>8375</v>
      </c>
      <c r="F87" s="372">
        <f t="shared" si="25"/>
        <v>9625</v>
      </c>
      <c r="G87" s="372">
        <f t="shared" si="25"/>
        <v>11500</v>
      </c>
      <c r="H87" s="372">
        <f t="shared" si="25"/>
        <v>15875</v>
      </c>
      <c r="I87" s="203"/>
      <c r="J87" s="203"/>
      <c r="K87" s="258"/>
      <c r="L87" s="259"/>
      <c r="M87" s="228"/>
      <c r="N87" s="228"/>
      <c r="O87" s="186"/>
      <c r="P87" s="186"/>
      <c r="Q87" s="234"/>
    </row>
    <row r="88" spans="1:17" outlineLevel="2" x14ac:dyDescent="0.35">
      <c r="A88" s="370"/>
      <c r="B88" s="373" t="str">
        <f>B52</f>
        <v>Total Fall Quarter '23 - DCE Fees</v>
      </c>
      <c r="C88" s="374">
        <f t="shared" ref="C88:H88" si="26">C52</f>
        <v>7000</v>
      </c>
      <c r="D88" s="374">
        <f t="shared" si="26"/>
        <v>595</v>
      </c>
      <c r="E88" s="374">
        <f t="shared" si="26"/>
        <v>11760</v>
      </c>
      <c r="F88" s="374">
        <f t="shared" si="26"/>
        <v>12950</v>
      </c>
      <c r="G88" s="374">
        <f t="shared" si="26"/>
        <v>14735</v>
      </c>
      <c r="H88" s="374">
        <f t="shared" si="26"/>
        <v>18900</v>
      </c>
      <c r="I88" s="203"/>
      <c r="J88" s="203"/>
      <c r="K88" s="258"/>
      <c r="L88" s="259"/>
      <c r="M88" s="228"/>
      <c r="N88" s="228"/>
      <c r="O88" s="186"/>
      <c r="P88" s="186"/>
      <c r="Q88" s="234"/>
    </row>
    <row r="89" spans="1:17" outlineLevel="2" x14ac:dyDescent="0.35">
      <c r="A89" s="370"/>
      <c r="B89" s="373" t="str">
        <f>B63</f>
        <v>Textbooks</v>
      </c>
      <c r="C89" s="374">
        <f t="shared" ref="C89:H89" si="27">C63</f>
        <v>0</v>
      </c>
      <c r="D89" s="374">
        <f>D63</f>
        <v>175</v>
      </c>
      <c r="E89" s="374">
        <f t="shared" si="27"/>
        <v>1400</v>
      </c>
      <c r="F89" s="374">
        <f t="shared" si="27"/>
        <v>1750</v>
      </c>
      <c r="G89" s="374">
        <f t="shared" si="27"/>
        <v>2275</v>
      </c>
      <c r="H89" s="374">
        <f t="shared" si="27"/>
        <v>3500</v>
      </c>
      <c r="I89" s="203"/>
      <c r="J89" s="203"/>
      <c r="K89" s="258"/>
      <c r="L89" s="259"/>
      <c r="M89" s="228"/>
      <c r="N89" s="228"/>
      <c r="O89" s="186"/>
      <c r="P89" s="186"/>
      <c r="Q89" s="234"/>
    </row>
    <row r="90" spans="1:17" outlineLevel="2" x14ac:dyDescent="0.35">
      <c r="A90" s="370"/>
      <c r="B90" s="373" t="str">
        <f t="shared" ref="B90:H90" si="28">B74</f>
        <v>Parking</v>
      </c>
      <c r="C90" s="374">
        <f t="shared" si="28"/>
        <v>0</v>
      </c>
      <c r="D90" s="374">
        <f t="shared" si="28"/>
        <v>648</v>
      </c>
      <c r="E90" s="374">
        <f t="shared" si="28"/>
        <v>5184</v>
      </c>
      <c r="F90" s="374">
        <f t="shared" si="28"/>
        <v>6480</v>
      </c>
      <c r="G90" s="374">
        <f t="shared" si="28"/>
        <v>8424</v>
      </c>
      <c r="H90" s="374">
        <f t="shared" si="28"/>
        <v>12960</v>
      </c>
      <c r="I90" s="203"/>
      <c r="J90" s="203"/>
      <c r="K90" s="258"/>
      <c r="L90" s="259"/>
      <c r="M90" s="228"/>
      <c r="N90" s="228"/>
      <c r="O90" s="186"/>
      <c r="P90" s="186"/>
      <c r="Q90" s="234"/>
    </row>
    <row r="91" spans="1:17" ht="15" outlineLevel="2" thickBot="1" x14ac:dyDescent="0.4">
      <c r="A91" s="370"/>
      <c r="B91" s="375" t="str">
        <f t="shared" ref="B91:H91" si="29">B79</f>
        <v>Student ID Card</v>
      </c>
      <c r="C91" s="376">
        <f t="shared" si="29"/>
        <v>0</v>
      </c>
      <c r="D91" s="376">
        <f t="shared" si="29"/>
        <v>20</v>
      </c>
      <c r="E91" s="376">
        <f t="shared" si="29"/>
        <v>160</v>
      </c>
      <c r="F91" s="376">
        <f t="shared" si="29"/>
        <v>200</v>
      </c>
      <c r="G91" s="376">
        <f t="shared" si="29"/>
        <v>260</v>
      </c>
      <c r="H91" s="376">
        <f t="shared" si="29"/>
        <v>400</v>
      </c>
      <c r="I91" s="341"/>
      <c r="J91" s="260"/>
      <c r="K91" s="267"/>
      <c r="L91" s="268"/>
      <c r="M91" s="228"/>
      <c r="N91" s="228"/>
      <c r="O91" s="186"/>
      <c r="P91" s="186"/>
      <c r="Q91" s="234"/>
    </row>
    <row r="92" spans="1:17" ht="15.5" outlineLevel="2" thickTop="1" thickBot="1" x14ac:dyDescent="0.4">
      <c r="A92" s="370"/>
      <c r="B92" s="375" t="s">
        <v>108</v>
      </c>
      <c r="C92" s="377">
        <f t="shared" ref="C92:H92" si="30">SUM(C87:C91)</f>
        <v>10375</v>
      </c>
      <c r="D92" s="377">
        <f t="shared" si="30"/>
        <v>2063</v>
      </c>
      <c r="E92" s="377">
        <f t="shared" si="30"/>
        <v>26879</v>
      </c>
      <c r="F92" s="377">
        <f t="shared" si="30"/>
        <v>31005</v>
      </c>
      <c r="G92" s="377">
        <f t="shared" si="30"/>
        <v>37194</v>
      </c>
      <c r="H92" s="377">
        <f t="shared" si="30"/>
        <v>51635</v>
      </c>
      <c r="I92" s="260"/>
      <c r="J92" s="246"/>
      <c r="K92" s="249"/>
      <c r="L92" s="250"/>
      <c r="M92" s="13"/>
      <c r="N92" s="186"/>
      <c r="O92" s="186"/>
      <c r="P92" s="186"/>
      <c r="Q92" s="186"/>
    </row>
    <row r="93" spans="1:17" ht="15" thickTop="1" x14ac:dyDescent="0.35">
      <c r="A93" s="378" t="s">
        <v>109</v>
      </c>
      <c r="B93" s="378"/>
      <c r="C93" s="379">
        <f>SUM(C92)</f>
        <v>10375</v>
      </c>
      <c r="D93" s="379">
        <f>SUM(D92)</f>
        <v>2063</v>
      </c>
      <c r="E93" s="379">
        <f>E84-E92</f>
        <v>27420</v>
      </c>
      <c r="F93" s="379">
        <f>F84-F92</f>
        <v>27500</v>
      </c>
      <c r="G93" s="379">
        <f>G84-G92</f>
        <v>27620</v>
      </c>
      <c r="H93" s="379">
        <f>H84-H92</f>
        <v>27900</v>
      </c>
      <c r="I93" s="292"/>
      <c r="J93" s="292"/>
      <c r="K93" s="294"/>
      <c r="L93" s="295"/>
      <c r="M93" s="13"/>
      <c r="N93" s="186"/>
      <c r="O93" s="186"/>
    </row>
    <row r="94" spans="1:17" x14ac:dyDescent="0.35">
      <c r="A94" s="212"/>
      <c r="B94" s="223"/>
      <c r="C94" s="261"/>
      <c r="D94" s="261"/>
      <c r="E94" s="261"/>
      <c r="F94" s="261"/>
      <c r="G94" s="261"/>
      <c r="H94" s="261"/>
      <c r="I94" s="261"/>
      <c r="J94" s="261"/>
      <c r="K94" s="265"/>
      <c r="L94" s="266"/>
      <c r="M94" s="13"/>
      <c r="N94" s="186"/>
      <c r="O94" s="186"/>
      <c r="P94" s="186"/>
      <c r="Q94" s="186"/>
    </row>
    <row r="95" spans="1:17" ht="15" thickBot="1" x14ac:dyDescent="0.4">
      <c r="A95" s="184" t="s">
        <v>85</v>
      </c>
      <c r="B95" s="231"/>
      <c r="C95" s="231"/>
      <c r="D95" s="231"/>
      <c r="E95" s="231"/>
      <c r="F95" s="231"/>
      <c r="G95" s="231"/>
      <c r="H95" s="231"/>
      <c r="I95" s="231"/>
      <c r="J95" s="231"/>
      <c r="K95" s="270"/>
      <c r="L95" s="271"/>
      <c r="M95" s="13"/>
      <c r="N95" s="186"/>
      <c r="O95" s="186"/>
    </row>
    <row r="96" spans="1:17" outlineLevel="1" x14ac:dyDescent="0.35">
      <c r="A96" s="212"/>
      <c r="B96" s="235" t="s">
        <v>86</v>
      </c>
      <c r="C96" s="257" t="s">
        <v>33</v>
      </c>
      <c r="D96" s="257" t="s">
        <v>34</v>
      </c>
      <c r="E96" s="257" t="str">
        <f>_xlfn.CONCAT("Total Cost for ",E$14)</f>
        <v>Total Cost for 8</v>
      </c>
      <c r="F96" s="257" t="str">
        <f>_xlfn.CONCAT("Total Cost for ",F$14)</f>
        <v>Total Cost for 10</v>
      </c>
      <c r="G96" s="257" t="str">
        <f>_xlfn.CONCAT("Total Cost for ",G$14)</f>
        <v>Total Cost for 13</v>
      </c>
      <c r="H96" s="257" t="str">
        <f>_xlfn.CONCAT("Total Cost for ",H$14)</f>
        <v>Total Cost for 20</v>
      </c>
      <c r="I96" s="257"/>
      <c r="J96" s="257"/>
      <c r="K96" s="272"/>
      <c r="L96" s="273"/>
      <c r="M96" s="13"/>
      <c r="N96" s="186"/>
      <c r="O96" s="186"/>
    </row>
    <row r="97" spans="1:18" ht="15" outlineLevel="2" thickBot="1" x14ac:dyDescent="0.4">
      <c r="A97" s="212"/>
      <c r="B97" s="216" t="s">
        <v>7</v>
      </c>
      <c r="C97" s="274">
        <v>0</v>
      </c>
      <c r="D97" s="390">
        <v>0.35</v>
      </c>
      <c r="E97" s="260">
        <f>$D97*E$16</f>
        <v>50240.399999999994</v>
      </c>
      <c r="F97" s="260">
        <f>$D97*F$16</f>
        <v>54484.92</v>
      </c>
      <c r="G97" s="260">
        <f>$D97*G$16</f>
        <v>66985.691500000001</v>
      </c>
      <c r="H97" s="260">
        <f>$D97*H$16</f>
        <v>93778.65</v>
      </c>
      <c r="I97" s="276"/>
      <c r="J97" s="276"/>
      <c r="K97" s="277"/>
      <c r="L97" s="278"/>
      <c r="M97" s="13"/>
      <c r="N97" s="186"/>
      <c r="O97" s="186"/>
    </row>
    <row r="98" spans="1:18" ht="15" outlineLevel="1" thickTop="1" x14ac:dyDescent="0.35">
      <c r="A98" s="212"/>
      <c r="B98" s="223" t="s">
        <v>87</v>
      </c>
      <c r="C98" s="261">
        <f>SUM(C97)</f>
        <v>0</v>
      </c>
      <c r="D98" s="279">
        <f>SUM(D97)</f>
        <v>0.35</v>
      </c>
      <c r="E98" s="261">
        <f>SUM(E97)</f>
        <v>50240.399999999994</v>
      </c>
      <c r="F98" s="261">
        <f t="shared" ref="F98:H98" si="31">SUM(F97)</f>
        <v>54484.92</v>
      </c>
      <c r="G98" s="261">
        <f t="shared" si="31"/>
        <v>66985.691500000001</v>
      </c>
      <c r="H98" s="261">
        <f t="shared" si="31"/>
        <v>93778.65</v>
      </c>
      <c r="I98" s="228"/>
      <c r="J98" s="228"/>
      <c r="K98" s="280"/>
      <c r="L98" s="281"/>
      <c r="M98" s="13"/>
      <c r="N98" s="186"/>
      <c r="O98" s="186"/>
    </row>
    <row r="99" spans="1:18" outlineLevel="1" x14ac:dyDescent="0.35">
      <c r="A99" s="212"/>
      <c r="B99" s="228"/>
      <c r="C99" s="228"/>
      <c r="D99" s="228"/>
      <c r="E99" s="228"/>
      <c r="F99" s="228"/>
      <c r="G99" s="228"/>
      <c r="H99" s="228"/>
      <c r="I99" s="228"/>
      <c r="J99" s="228"/>
      <c r="K99" s="280"/>
      <c r="L99" s="281"/>
      <c r="M99" s="13"/>
      <c r="N99" s="186"/>
      <c r="O99" s="186"/>
    </row>
    <row r="100" spans="1:18" outlineLevel="1" x14ac:dyDescent="0.35">
      <c r="A100" s="212"/>
      <c r="B100" s="257" t="s">
        <v>88</v>
      </c>
      <c r="C100" s="257" t="s">
        <v>33</v>
      </c>
      <c r="D100" s="257" t="s">
        <v>34</v>
      </c>
      <c r="E100" s="257" t="str">
        <f>_xlfn.CONCAT("Total Cost for ",E$14)</f>
        <v>Total Cost for 8</v>
      </c>
      <c r="F100" s="257" t="str">
        <f>_xlfn.CONCAT("Total Cost for ",F$14)</f>
        <v>Total Cost for 10</v>
      </c>
      <c r="G100" s="257" t="str">
        <f>_xlfn.CONCAT("Total Cost for ",G$14)</f>
        <v>Total Cost for 13</v>
      </c>
      <c r="H100" s="257" t="str">
        <f>_xlfn.CONCAT("Total Cost for ",H$14)</f>
        <v>Total Cost for 20</v>
      </c>
      <c r="I100" s="257"/>
      <c r="J100" s="257"/>
      <c r="K100" s="272"/>
      <c r="L100" s="273"/>
      <c r="M100" s="13"/>
      <c r="N100" s="186"/>
      <c r="O100" s="186"/>
    </row>
    <row r="101" spans="1:18" outlineLevel="2" x14ac:dyDescent="0.35">
      <c r="A101" s="212"/>
      <c r="B101" s="264" t="s">
        <v>89</v>
      </c>
      <c r="C101" s="282">
        <v>0</v>
      </c>
      <c r="D101" s="283">
        <v>0.34100000000000003</v>
      </c>
      <c r="E101" s="203">
        <f>$D101*(E$93+E$97)</f>
        <v>26482.196400000001</v>
      </c>
      <c r="F101" s="203">
        <f>$D101*(F$93+F$97)</f>
        <v>27956.85772</v>
      </c>
      <c r="G101" s="203">
        <f>$D101*(G$93+G$97)</f>
        <v>32260.540801500003</v>
      </c>
      <c r="H101" s="203">
        <f>$D101*(H$93+H$97)</f>
        <v>41492.419650000003</v>
      </c>
      <c r="I101" s="203"/>
      <c r="J101" s="203"/>
      <c r="K101" s="258"/>
      <c r="L101" s="259"/>
      <c r="M101" s="228"/>
      <c r="N101" s="228"/>
      <c r="O101" s="186"/>
      <c r="P101" s="186"/>
      <c r="Q101" s="234"/>
    </row>
    <row r="102" spans="1:18" ht="15" outlineLevel="2" thickBot="1" x14ac:dyDescent="0.4">
      <c r="B102" s="216" t="s">
        <v>90</v>
      </c>
      <c r="C102" s="274">
        <v>0</v>
      </c>
      <c r="D102" s="275">
        <v>4.5400000000000003E-2</v>
      </c>
      <c r="E102" s="260">
        <f>$D102*(E$93+E$98+E101)</f>
        <v>4728.0738765599999</v>
      </c>
      <c r="F102" s="260">
        <f>$D102*(F$93+F$98+F101)</f>
        <v>4991.3567084880005</v>
      </c>
      <c r="G102" s="260">
        <f>$D102*(G$93+G$98+G101)</f>
        <v>5759.7269464881001</v>
      </c>
      <c r="H102" s="260">
        <f>$D102*(H$93+H$98+H101)</f>
        <v>7407.9665621100003</v>
      </c>
      <c r="I102" s="260"/>
      <c r="J102" s="246"/>
      <c r="K102" s="249"/>
      <c r="L102" s="250"/>
      <c r="M102" s="13"/>
      <c r="N102" s="186"/>
      <c r="O102" s="186"/>
      <c r="P102" s="186"/>
      <c r="Q102" s="186"/>
    </row>
    <row r="103" spans="1:18" s="212" customFormat="1" ht="15.5" outlineLevel="1" thickTop="1" thickBot="1" x14ac:dyDescent="0.4">
      <c r="A103" s="284"/>
      <c r="B103" s="276" t="s">
        <v>91</v>
      </c>
      <c r="C103" s="269">
        <f>SUM(C101:C102)</f>
        <v>0</v>
      </c>
      <c r="D103" s="285">
        <f>SUM(D101:D102)</f>
        <v>0.38640000000000002</v>
      </c>
      <c r="E103" s="286">
        <f>SUM(E101:E102)</f>
        <v>31210.270276560001</v>
      </c>
      <c r="F103" s="286">
        <f t="shared" ref="F103:G103" si="32">SUM(F101:F102)</f>
        <v>32948.214428487998</v>
      </c>
      <c r="G103" s="286">
        <f t="shared" si="32"/>
        <v>38020.267747988102</v>
      </c>
      <c r="H103" s="286">
        <f>SUM(H101:H102)</f>
        <v>48900.386212110003</v>
      </c>
      <c r="I103" s="287"/>
      <c r="J103" s="287"/>
      <c r="K103" s="288"/>
      <c r="L103" s="289"/>
      <c r="M103" s="290"/>
      <c r="N103" s="228"/>
      <c r="O103" s="228"/>
      <c r="P103" s="228"/>
      <c r="Q103" s="228"/>
    </row>
    <row r="104" spans="1:18" ht="15" thickTop="1" x14ac:dyDescent="0.35">
      <c r="A104" s="291" t="s">
        <v>92</v>
      </c>
      <c r="B104" s="292"/>
      <c r="C104" s="293">
        <f>SUM(C103)</f>
        <v>0</v>
      </c>
      <c r="D104" s="361">
        <f>SUM(D103)</f>
        <v>0.38640000000000002</v>
      </c>
      <c r="E104" s="293">
        <f>E$103+E$98</f>
        <v>81450.670276559991</v>
      </c>
      <c r="F104" s="293">
        <f>F$103+F$98</f>
        <v>87433.134428488003</v>
      </c>
      <c r="G104" s="293">
        <f>G$103+G$98</f>
        <v>105005.9592479881</v>
      </c>
      <c r="H104" s="293">
        <f>H$103+H$98</f>
        <v>142679.03621210999</v>
      </c>
      <c r="I104" s="292"/>
      <c r="J104" s="292"/>
      <c r="K104" s="294"/>
      <c r="L104" s="295"/>
      <c r="M104" s="13"/>
      <c r="N104" s="186"/>
      <c r="O104" s="186"/>
    </row>
    <row r="105" spans="1:18" x14ac:dyDescent="0.35">
      <c r="B105" s="186"/>
      <c r="C105" s="296"/>
      <c r="D105" s="296"/>
      <c r="E105" s="296"/>
      <c r="F105" s="13"/>
      <c r="G105" s="13"/>
      <c r="H105" s="13"/>
      <c r="I105" s="13"/>
      <c r="J105" s="94"/>
      <c r="K105" s="297"/>
      <c r="L105" s="298"/>
      <c r="M105" s="299"/>
      <c r="N105" s="186"/>
      <c r="O105" s="186"/>
      <c r="P105" s="186"/>
      <c r="Q105" s="186"/>
    </row>
    <row r="106" spans="1:18" ht="15" thickBot="1" x14ac:dyDescent="0.4">
      <c r="A106" s="184" t="s">
        <v>93</v>
      </c>
      <c r="B106" s="231"/>
      <c r="C106" s="231"/>
      <c r="D106" s="231"/>
      <c r="E106" s="231" t="str">
        <f>_xlfn.CONCAT("Total Profit for ",E$14)</f>
        <v>Total Profit for 8</v>
      </c>
      <c r="F106" s="231" t="str">
        <f>_xlfn.CONCAT("Total Profit for ",F$14)</f>
        <v>Total Profit for 10</v>
      </c>
      <c r="G106" s="231" t="str">
        <f>_xlfn.CONCAT("Total Profit for ",G$14)</f>
        <v>Total Profit for 13</v>
      </c>
      <c r="H106" s="231" t="str">
        <f>_xlfn.CONCAT("Total Profit for ",H$14)</f>
        <v>Total Profit for 20</v>
      </c>
      <c r="I106" s="231"/>
      <c r="J106" s="231"/>
      <c r="K106" s="270"/>
      <c r="L106" s="271"/>
      <c r="M106" s="13"/>
      <c r="N106" s="186"/>
      <c r="O106" s="186"/>
    </row>
    <row r="107" spans="1:18" outlineLevel="1" x14ac:dyDescent="0.35">
      <c r="A107" s="300"/>
      <c r="B107" s="301" t="s">
        <v>94</v>
      </c>
      <c r="C107" s="302"/>
      <c r="D107" s="303"/>
      <c r="E107" s="332">
        <f>E$16-E$84</f>
        <v>89245</v>
      </c>
      <c r="F107" s="332">
        <f>F$16-F$84</f>
        <v>97166.200000000012</v>
      </c>
      <c r="G107" s="366">
        <f>G$16-G$84</f>
        <v>126573.69</v>
      </c>
      <c r="H107" s="332">
        <f>H$16-H$84</f>
        <v>188404</v>
      </c>
      <c r="I107" s="304"/>
      <c r="J107" s="304"/>
      <c r="K107" s="305"/>
      <c r="L107" s="306"/>
      <c r="M107" s="299"/>
      <c r="N107" s="186"/>
      <c r="O107" s="186"/>
      <c r="P107" s="186"/>
      <c r="Q107" s="186"/>
    </row>
    <row r="108" spans="1:18" ht="15" outlineLevel="1" thickBot="1" x14ac:dyDescent="0.4">
      <c r="A108" s="213"/>
      <c r="B108" s="245" t="s">
        <v>95</v>
      </c>
      <c r="C108" s="307"/>
      <c r="D108" s="307"/>
      <c r="E108" s="331">
        <f>E$16-E$84-E$98</f>
        <v>39004.600000000006</v>
      </c>
      <c r="F108" s="260">
        <f>F$16-F$84-F$98</f>
        <v>42681.280000000013</v>
      </c>
      <c r="G108" s="260">
        <f>G$16-G$84-G$98</f>
        <v>59587.998500000002</v>
      </c>
      <c r="H108" s="260">
        <f>H$16-H$84-H$98</f>
        <v>94625.35</v>
      </c>
      <c r="I108" s="308"/>
      <c r="J108" s="308"/>
      <c r="K108" s="309"/>
      <c r="L108" s="310"/>
      <c r="M108" s="13"/>
      <c r="N108" s="186"/>
      <c r="O108" s="186"/>
      <c r="P108" s="186"/>
      <c r="Q108" s="186"/>
    </row>
    <row r="109" spans="1:18" s="212" customFormat="1" ht="15" thickTop="1" x14ac:dyDescent="0.35">
      <c r="A109" s="212" t="s">
        <v>11</v>
      </c>
      <c r="B109" s="228"/>
      <c r="C109" s="311"/>
      <c r="D109" s="311"/>
      <c r="E109" s="330">
        <f>E108-E103</f>
        <v>7794.3297234400052</v>
      </c>
      <c r="F109" s="312">
        <f>F107-F104</f>
        <v>9733.0655715120083</v>
      </c>
      <c r="G109" s="312">
        <f>G107-G104</f>
        <v>21567.730752011907</v>
      </c>
      <c r="H109" s="312">
        <f t="shared" ref="H109" si="33">H107-H104</f>
        <v>45724.96378789001</v>
      </c>
      <c r="I109" s="313"/>
      <c r="J109" s="313"/>
      <c r="K109" s="314"/>
      <c r="L109" s="315"/>
      <c r="M109" s="190"/>
      <c r="N109" s="190"/>
      <c r="O109" s="228"/>
      <c r="P109" s="228"/>
      <c r="Q109" s="228"/>
    </row>
    <row r="110" spans="1:18" s="212" customFormat="1" ht="15" thickBot="1" x14ac:dyDescent="0.4">
      <c r="A110" s="316"/>
      <c r="B110" s="228" t="s">
        <v>96</v>
      </c>
      <c r="C110" s="311"/>
      <c r="D110" s="311"/>
      <c r="E110" s="317">
        <f>E$109/E$16</f>
        <v>5.4299237330992622E-2</v>
      </c>
      <c r="F110" s="317">
        <f>F$109/F$16</f>
        <v>6.2523225693076223E-2</v>
      </c>
      <c r="G110" s="367">
        <f>G$109/G$16</f>
        <v>0.11269131652099415</v>
      </c>
      <c r="H110" s="317">
        <f>H$109/H$16</f>
        <v>0.17065437949641526</v>
      </c>
      <c r="I110" s="318"/>
      <c r="J110" s="185"/>
      <c r="K110" s="319"/>
      <c r="L110" s="320"/>
      <c r="M110" s="290"/>
      <c r="N110" s="228"/>
      <c r="O110" s="229"/>
      <c r="P110" s="228"/>
      <c r="Q110" s="228"/>
    </row>
    <row r="111" spans="1:18" ht="15" thickTop="1" x14ac:dyDescent="0.35">
      <c r="B111" s="296"/>
      <c r="C111" s="296"/>
      <c r="D111" s="296"/>
      <c r="E111" s="317"/>
      <c r="F111" s="359"/>
      <c r="G111" s="368"/>
      <c r="H111" s="359"/>
      <c r="I111" s="13"/>
      <c r="J111" s="13"/>
      <c r="K111" s="13"/>
      <c r="L111" s="13"/>
      <c r="M111" s="299"/>
      <c r="N111" s="186"/>
      <c r="O111" s="186"/>
      <c r="P111" s="186"/>
      <c r="Q111" s="186"/>
      <c r="R111" s="125"/>
    </row>
    <row r="112" spans="1:18" x14ac:dyDescent="0.35">
      <c r="B112" s="186"/>
      <c r="C112" s="186"/>
      <c r="D112" s="186"/>
      <c r="E112" s="186"/>
      <c r="F112" s="186"/>
      <c r="G112" s="186"/>
      <c r="H112" s="186"/>
      <c r="I112" s="186"/>
      <c r="J112" s="186"/>
      <c r="K112" s="186"/>
      <c r="L112" s="186"/>
      <c r="M112" s="234"/>
      <c r="N112" s="186"/>
      <c r="O112" s="186"/>
      <c r="P112" s="186"/>
      <c r="Q112" s="186"/>
    </row>
    <row r="113" spans="2:17" x14ac:dyDescent="0.35">
      <c r="B113" s="186"/>
      <c r="C113" s="186"/>
      <c r="D113" s="321"/>
      <c r="E113" s="186"/>
      <c r="F113" s="186"/>
      <c r="G113" s="186"/>
      <c r="H113" s="186"/>
      <c r="I113" s="186"/>
      <c r="J113" s="186"/>
      <c r="K113" s="186"/>
      <c r="L113" s="186"/>
      <c r="M113" s="234"/>
      <c r="N113" s="186"/>
      <c r="O113" s="186"/>
      <c r="P113" s="186"/>
      <c r="Q113" s="186"/>
    </row>
    <row r="114" spans="2:17" x14ac:dyDescent="0.35">
      <c r="B114" s="186"/>
      <c r="C114" s="186"/>
      <c r="D114" s="186"/>
      <c r="E114" s="186"/>
      <c r="F114" s="186"/>
      <c r="G114" s="186"/>
      <c r="H114" s="186"/>
      <c r="I114" s="186"/>
      <c r="J114" s="186"/>
      <c r="K114" s="186"/>
      <c r="L114" s="186"/>
      <c r="M114" s="234"/>
      <c r="N114" s="186"/>
      <c r="O114" s="186"/>
      <c r="P114" s="186"/>
      <c r="Q114" s="186"/>
    </row>
    <row r="115" spans="2:17" x14ac:dyDescent="0.35">
      <c r="B115" s="186"/>
      <c r="C115" s="186"/>
      <c r="D115" s="234"/>
      <c r="E115" s="186"/>
      <c r="F115" s="186"/>
      <c r="G115" s="186"/>
      <c r="H115" s="186"/>
      <c r="I115" s="186"/>
      <c r="J115" s="186"/>
      <c r="K115" s="234"/>
      <c r="L115" s="234"/>
      <c r="M115" s="234"/>
      <c r="N115" s="186"/>
      <c r="O115" s="186"/>
      <c r="P115" s="186"/>
      <c r="Q115" s="186"/>
    </row>
    <row r="116" spans="2:17" x14ac:dyDescent="0.35">
      <c r="B116" s="186"/>
      <c r="C116" s="186"/>
      <c r="D116" s="234"/>
      <c r="E116" s="186"/>
      <c r="F116" s="186"/>
      <c r="G116" s="186"/>
      <c r="H116" s="186"/>
      <c r="I116" s="186"/>
      <c r="J116" s="186"/>
      <c r="K116" s="234"/>
      <c r="L116" s="234"/>
      <c r="M116" s="234"/>
      <c r="N116" s="186"/>
      <c r="O116" s="186"/>
      <c r="P116" s="186"/>
      <c r="Q116" s="186"/>
    </row>
    <row r="117" spans="2:17" x14ac:dyDescent="0.35">
      <c r="B117" s="186"/>
      <c r="C117" s="186"/>
      <c r="D117" s="234"/>
      <c r="E117" s="186"/>
      <c r="F117" s="186"/>
      <c r="G117" s="186"/>
      <c r="H117" s="186"/>
      <c r="I117" s="186"/>
      <c r="J117" s="186"/>
      <c r="K117" s="234"/>
      <c r="L117" s="234"/>
      <c r="M117" s="186"/>
      <c r="N117" s="186"/>
      <c r="O117" s="186"/>
      <c r="P117" s="186"/>
      <c r="Q117" s="186"/>
    </row>
    <row r="118" spans="2:17" x14ac:dyDescent="0.35">
      <c r="B118" s="186"/>
      <c r="C118" s="186"/>
      <c r="D118" s="186"/>
      <c r="E118" s="186"/>
      <c r="F118" s="186"/>
      <c r="G118" s="186"/>
      <c r="H118" s="186"/>
      <c r="I118" s="186"/>
      <c r="J118" s="186"/>
      <c r="K118" s="234"/>
      <c r="L118" s="234"/>
      <c r="M118" s="186"/>
      <c r="N118" s="186"/>
      <c r="O118" s="186"/>
      <c r="P118" s="186"/>
      <c r="Q118" s="186"/>
    </row>
    <row r="119" spans="2:17" x14ac:dyDescent="0.35">
      <c r="B119" s="186"/>
      <c r="C119" s="186"/>
      <c r="D119" s="186"/>
      <c r="E119" s="186"/>
      <c r="F119" s="186"/>
      <c r="G119" s="186"/>
      <c r="H119" s="186"/>
      <c r="I119" s="186"/>
      <c r="J119" s="186"/>
      <c r="K119" s="234"/>
      <c r="L119" s="234"/>
      <c r="M119" s="186"/>
      <c r="N119" s="186"/>
      <c r="O119" s="186"/>
      <c r="P119" s="186"/>
      <c r="Q119" s="186"/>
    </row>
    <row r="120" spans="2:17" x14ac:dyDescent="0.35">
      <c r="B120" s="186"/>
      <c r="C120" s="186"/>
      <c r="D120" s="186"/>
      <c r="E120" s="186"/>
      <c r="F120" s="186"/>
      <c r="G120" s="186"/>
      <c r="H120" s="186"/>
      <c r="I120" s="186"/>
      <c r="J120" s="186"/>
      <c r="K120" s="234"/>
      <c r="L120" s="234"/>
      <c r="M120" s="186"/>
      <c r="N120" s="186"/>
      <c r="O120" s="186"/>
      <c r="P120" s="186"/>
      <c r="Q120" s="186"/>
    </row>
    <row r="121" spans="2:17" x14ac:dyDescent="0.35">
      <c r="B121" s="186"/>
      <c r="C121" s="186"/>
      <c r="D121" s="186"/>
      <c r="E121" s="186"/>
      <c r="F121" s="186"/>
      <c r="G121" s="186"/>
      <c r="H121" s="186"/>
      <c r="I121" s="186"/>
      <c r="J121" s="186"/>
      <c r="K121" s="234"/>
      <c r="L121" s="234"/>
      <c r="M121" s="186"/>
      <c r="N121" s="186"/>
      <c r="O121" s="186"/>
      <c r="P121" s="186"/>
      <c r="Q121" s="186"/>
    </row>
    <row r="122" spans="2:17" x14ac:dyDescent="0.35">
      <c r="B122" s="186"/>
      <c r="C122" s="186"/>
      <c r="D122" s="186"/>
      <c r="E122" s="186"/>
      <c r="F122" s="186"/>
      <c r="G122" s="186"/>
      <c r="H122" s="186"/>
      <c r="I122" s="186"/>
      <c r="J122" s="186"/>
      <c r="K122" s="186"/>
      <c r="L122" s="186"/>
      <c r="M122" s="186"/>
      <c r="N122" s="186"/>
      <c r="O122" s="186"/>
      <c r="P122" s="186"/>
      <c r="Q122" s="186"/>
    </row>
    <row r="123" spans="2:17" x14ac:dyDescent="0.35">
      <c r="B123" s="186"/>
      <c r="C123" s="186"/>
      <c r="D123" s="186"/>
      <c r="E123" s="186"/>
      <c r="F123" s="186"/>
      <c r="G123" s="186"/>
      <c r="H123" s="186"/>
      <c r="I123" s="186"/>
      <c r="J123" s="186"/>
      <c r="K123" s="186"/>
      <c r="L123" s="186"/>
      <c r="M123" s="186"/>
      <c r="N123" s="186"/>
      <c r="O123" s="186"/>
      <c r="P123" s="186"/>
      <c r="Q123" s="186"/>
    </row>
    <row r="124" spans="2:17" x14ac:dyDescent="0.35">
      <c r="B124" s="186"/>
      <c r="C124" s="186"/>
      <c r="D124" s="186"/>
      <c r="E124" s="186"/>
      <c r="F124" s="186"/>
      <c r="G124" s="186"/>
      <c r="H124" s="186"/>
      <c r="I124" s="186"/>
      <c r="J124" s="186"/>
      <c r="K124" s="186"/>
      <c r="L124" s="186"/>
      <c r="M124" s="186"/>
      <c r="N124" s="186"/>
      <c r="O124" s="186"/>
      <c r="P124" s="186"/>
      <c r="Q124" s="186"/>
    </row>
    <row r="125" spans="2:17" x14ac:dyDescent="0.35">
      <c r="B125" s="186"/>
      <c r="C125" s="186"/>
      <c r="D125" s="186"/>
      <c r="E125" s="186"/>
      <c r="F125" s="186"/>
      <c r="G125" s="186"/>
      <c r="H125" s="186"/>
      <c r="I125" s="186"/>
      <c r="J125" s="186"/>
      <c r="K125" s="186"/>
      <c r="L125" s="186"/>
      <c r="M125" s="186"/>
      <c r="N125" s="186"/>
      <c r="O125" s="186"/>
      <c r="P125" s="186"/>
      <c r="Q125" s="186"/>
    </row>
    <row r="126" spans="2:17" x14ac:dyDescent="0.35">
      <c r="B126" s="186"/>
      <c r="C126" s="186"/>
      <c r="D126" s="186"/>
      <c r="E126" s="186"/>
      <c r="F126" s="186"/>
      <c r="G126" s="186"/>
      <c r="H126" s="186"/>
      <c r="I126" s="186"/>
      <c r="J126" s="186"/>
      <c r="K126" s="186"/>
      <c r="L126" s="186"/>
      <c r="M126" s="186"/>
      <c r="N126" s="186"/>
      <c r="O126" s="186"/>
      <c r="P126" s="186"/>
      <c r="Q126" s="186"/>
    </row>
    <row r="127" spans="2:17" x14ac:dyDescent="0.35">
      <c r="B127" s="186"/>
      <c r="C127" s="186"/>
      <c r="D127" s="186"/>
      <c r="E127" s="186"/>
      <c r="F127" s="186"/>
      <c r="G127" s="186"/>
      <c r="H127" s="186"/>
      <c r="I127" s="186"/>
      <c r="J127" s="186"/>
      <c r="K127" s="186"/>
      <c r="L127" s="186"/>
      <c r="M127" s="186"/>
      <c r="N127" s="186"/>
      <c r="O127" s="186"/>
      <c r="P127" s="186"/>
      <c r="Q127" s="186"/>
    </row>
    <row r="128" spans="2:17" x14ac:dyDescent="0.35">
      <c r="B128" s="186"/>
      <c r="C128" s="186"/>
      <c r="D128" s="186"/>
      <c r="E128" s="186"/>
      <c r="F128" s="186"/>
      <c r="G128" s="186"/>
      <c r="H128" s="186"/>
      <c r="I128" s="186"/>
      <c r="J128" s="186"/>
      <c r="K128" s="186"/>
      <c r="L128" s="186"/>
      <c r="M128" s="186"/>
      <c r="N128" s="186"/>
      <c r="O128" s="186"/>
      <c r="P128" s="186"/>
      <c r="Q128" s="186"/>
    </row>
    <row r="129" spans="2:17" x14ac:dyDescent="0.35">
      <c r="B129" s="186"/>
      <c r="C129" s="186"/>
      <c r="D129" s="186"/>
      <c r="E129" s="186"/>
      <c r="F129" s="186"/>
      <c r="G129" s="186"/>
      <c r="H129" s="186"/>
      <c r="I129" s="186"/>
      <c r="J129" s="186"/>
      <c r="K129" s="186"/>
      <c r="L129" s="186"/>
      <c r="M129" s="186"/>
      <c r="N129" s="186"/>
      <c r="O129" s="186"/>
      <c r="P129" s="186"/>
      <c r="Q129" s="186"/>
    </row>
    <row r="130" spans="2:17" x14ac:dyDescent="0.35">
      <c r="B130" s="186"/>
      <c r="C130" s="186"/>
      <c r="D130" s="186"/>
      <c r="E130" s="186"/>
      <c r="F130" s="186"/>
      <c r="G130" s="186"/>
      <c r="H130" s="186"/>
      <c r="I130" s="186"/>
      <c r="J130" s="186"/>
      <c r="K130" s="186"/>
      <c r="L130" s="186"/>
      <c r="M130" s="186"/>
      <c r="N130" s="186"/>
      <c r="O130" s="186"/>
      <c r="P130" s="186"/>
      <c r="Q130" s="186"/>
    </row>
    <row r="131" spans="2:17" x14ac:dyDescent="0.35">
      <c r="B131" s="186"/>
      <c r="C131" s="186"/>
      <c r="D131" s="186"/>
      <c r="E131" s="186"/>
      <c r="F131" s="186"/>
      <c r="G131" s="186"/>
      <c r="H131" s="186"/>
      <c r="I131" s="186"/>
      <c r="J131" s="186"/>
      <c r="K131" s="186"/>
      <c r="L131" s="186"/>
      <c r="M131" s="186"/>
      <c r="N131" s="186"/>
      <c r="O131" s="186"/>
      <c r="P131" s="186"/>
      <c r="Q131" s="186"/>
    </row>
    <row r="132" spans="2:17" x14ac:dyDescent="0.35">
      <c r="B132" s="186"/>
      <c r="C132" s="186"/>
      <c r="D132" s="186"/>
      <c r="E132" s="186"/>
      <c r="F132" s="186"/>
      <c r="G132" s="186"/>
      <c r="H132" s="186"/>
      <c r="I132" s="186"/>
      <c r="J132" s="186"/>
      <c r="K132" s="186"/>
      <c r="L132" s="186"/>
      <c r="M132" s="186"/>
      <c r="N132" s="186"/>
      <c r="O132" s="186"/>
      <c r="P132" s="186"/>
      <c r="Q132" s="186"/>
    </row>
    <row r="133" spans="2:17" x14ac:dyDescent="0.35">
      <c r="B133" s="186"/>
      <c r="C133" s="186"/>
      <c r="D133" s="186"/>
      <c r="E133" s="186"/>
      <c r="F133" s="186"/>
      <c r="G133" s="186"/>
      <c r="H133" s="186"/>
      <c r="I133" s="186"/>
      <c r="J133" s="186"/>
      <c r="K133" s="186"/>
      <c r="L133" s="186"/>
      <c r="M133" s="186"/>
      <c r="N133" s="186"/>
      <c r="O133" s="186"/>
      <c r="P133" s="186"/>
      <c r="Q133" s="186"/>
    </row>
    <row r="134" spans="2:17" x14ac:dyDescent="0.35">
      <c r="B134" s="186"/>
      <c r="C134" s="186"/>
      <c r="D134" s="186"/>
      <c r="E134" s="186"/>
      <c r="F134" s="186"/>
      <c r="G134" s="186"/>
      <c r="H134" s="186"/>
      <c r="I134" s="186"/>
      <c r="J134" s="186"/>
      <c r="K134" s="186"/>
      <c r="L134" s="186"/>
      <c r="M134" s="186"/>
      <c r="N134" s="186"/>
      <c r="O134" s="186"/>
      <c r="P134" s="186"/>
      <c r="Q134" s="186"/>
    </row>
    <row r="135" spans="2:17" x14ac:dyDescent="0.35">
      <c r="B135" s="186"/>
      <c r="C135" s="186"/>
      <c r="D135" s="186"/>
      <c r="E135" s="186"/>
      <c r="F135" s="186"/>
      <c r="G135" s="186"/>
      <c r="H135" s="186"/>
      <c r="I135" s="186"/>
      <c r="J135" s="186"/>
      <c r="K135" s="186"/>
      <c r="L135" s="186"/>
      <c r="M135" s="186"/>
      <c r="N135" s="186"/>
      <c r="O135" s="186"/>
      <c r="P135" s="186"/>
      <c r="Q135" s="186"/>
    </row>
    <row r="136" spans="2:17" x14ac:dyDescent="0.35">
      <c r="B136" s="186"/>
      <c r="C136" s="186"/>
      <c r="D136" s="186"/>
      <c r="E136" s="186"/>
      <c r="F136" s="186"/>
      <c r="G136" s="186"/>
      <c r="H136" s="186"/>
      <c r="I136" s="186"/>
      <c r="J136" s="186"/>
      <c r="K136" s="186"/>
      <c r="L136" s="186"/>
      <c r="M136" s="186"/>
      <c r="N136" s="186"/>
      <c r="O136" s="186"/>
      <c r="P136" s="186"/>
      <c r="Q136" s="186"/>
    </row>
    <row r="137" spans="2:17" x14ac:dyDescent="0.35">
      <c r="B137" s="186"/>
      <c r="C137" s="186"/>
      <c r="D137" s="186"/>
      <c r="E137" s="186"/>
      <c r="F137" s="186"/>
      <c r="G137" s="186"/>
      <c r="H137" s="186"/>
      <c r="I137" s="186"/>
      <c r="J137" s="186"/>
      <c r="K137" s="186"/>
      <c r="L137" s="186"/>
      <c r="M137" s="186"/>
      <c r="N137" s="186"/>
      <c r="O137" s="186"/>
      <c r="P137" s="186"/>
      <c r="Q137" s="186"/>
    </row>
    <row r="138" spans="2:17" x14ac:dyDescent="0.35">
      <c r="B138" s="186"/>
      <c r="C138" s="186"/>
      <c r="D138" s="186"/>
      <c r="E138" s="186"/>
      <c r="F138" s="186"/>
      <c r="G138" s="186"/>
      <c r="H138" s="186"/>
      <c r="I138" s="186"/>
      <c r="J138" s="186"/>
      <c r="K138" s="186"/>
      <c r="L138" s="186"/>
      <c r="M138" s="186"/>
      <c r="N138" s="186"/>
      <c r="O138" s="186"/>
      <c r="P138" s="186"/>
      <c r="Q138" s="186"/>
    </row>
    <row r="139" spans="2:17" x14ac:dyDescent="0.35">
      <c r="B139" s="186"/>
      <c r="C139" s="186"/>
      <c r="D139" s="186"/>
      <c r="E139" s="186"/>
      <c r="F139" s="186"/>
      <c r="G139" s="186"/>
      <c r="H139" s="186"/>
      <c r="I139" s="186"/>
      <c r="J139" s="186"/>
      <c r="K139" s="186"/>
      <c r="L139" s="186"/>
      <c r="M139" s="186"/>
      <c r="N139" s="186"/>
      <c r="O139" s="186"/>
      <c r="P139" s="186"/>
      <c r="Q139" s="186"/>
    </row>
    <row r="140" spans="2:17" x14ac:dyDescent="0.35">
      <c r="B140" s="186"/>
      <c r="C140" s="186"/>
      <c r="D140" s="186"/>
      <c r="E140" s="186"/>
      <c r="F140" s="186"/>
      <c r="G140" s="186"/>
      <c r="H140" s="186"/>
      <c r="I140" s="186"/>
      <c r="J140" s="186"/>
      <c r="K140" s="186"/>
      <c r="L140" s="186"/>
      <c r="M140" s="186"/>
      <c r="N140" s="186"/>
      <c r="O140" s="186"/>
      <c r="P140" s="186"/>
      <c r="Q140" s="186"/>
    </row>
    <row r="141" spans="2:17" x14ac:dyDescent="0.35">
      <c r="B141" s="186"/>
      <c r="C141" s="186"/>
      <c r="D141" s="186"/>
      <c r="E141" s="186"/>
      <c r="F141" s="186"/>
      <c r="G141" s="186"/>
      <c r="H141" s="186"/>
      <c r="I141" s="186"/>
      <c r="J141" s="186"/>
      <c r="K141" s="186"/>
      <c r="L141" s="186"/>
      <c r="M141" s="186"/>
      <c r="N141" s="186"/>
      <c r="O141" s="186"/>
      <c r="P141" s="186"/>
      <c r="Q141" s="186"/>
    </row>
    <row r="142" spans="2:17" x14ac:dyDescent="0.35">
      <c r="B142" s="186"/>
      <c r="C142" s="186"/>
      <c r="D142" s="186"/>
      <c r="E142" s="186"/>
      <c r="F142" s="186"/>
      <c r="G142" s="186"/>
      <c r="H142" s="186"/>
      <c r="I142" s="186"/>
      <c r="J142" s="186"/>
      <c r="K142" s="186"/>
      <c r="L142" s="186"/>
      <c r="M142" s="186"/>
      <c r="N142" s="186"/>
      <c r="O142" s="186"/>
      <c r="P142" s="186"/>
      <c r="Q142" s="186"/>
    </row>
    <row r="143" spans="2:17" x14ac:dyDescent="0.35">
      <c r="B143" s="186"/>
      <c r="C143" s="186"/>
      <c r="D143" s="186"/>
      <c r="E143" s="186"/>
      <c r="F143" s="186"/>
      <c r="G143" s="186"/>
      <c r="H143" s="186"/>
      <c r="I143" s="186"/>
      <c r="J143" s="186"/>
      <c r="K143" s="186"/>
      <c r="L143" s="186"/>
      <c r="M143" s="186"/>
      <c r="N143" s="186"/>
      <c r="O143" s="186"/>
      <c r="P143" s="186"/>
      <c r="Q143" s="186"/>
    </row>
    <row r="144" spans="2:17" x14ac:dyDescent="0.35">
      <c r="B144" s="186"/>
      <c r="C144" s="186"/>
      <c r="D144" s="186"/>
      <c r="E144" s="186"/>
      <c r="F144" s="186"/>
      <c r="G144" s="186"/>
      <c r="H144" s="186"/>
      <c r="I144" s="186"/>
      <c r="J144" s="186"/>
      <c r="K144" s="186"/>
      <c r="L144" s="186"/>
      <c r="M144" s="186"/>
      <c r="N144" s="186"/>
      <c r="O144" s="186"/>
      <c r="P144" s="186"/>
      <c r="Q144" s="186"/>
    </row>
    <row r="145" spans="2:17" x14ac:dyDescent="0.35">
      <c r="B145" s="186"/>
      <c r="C145" s="186"/>
      <c r="D145" s="186"/>
      <c r="E145" s="186"/>
      <c r="F145" s="186"/>
      <c r="G145" s="186"/>
      <c r="H145" s="186"/>
      <c r="I145" s="186"/>
      <c r="J145" s="186"/>
      <c r="K145" s="186"/>
      <c r="L145" s="186"/>
      <c r="M145" s="186"/>
      <c r="N145" s="186"/>
      <c r="O145" s="186"/>
      <c r="P145" s="186"/>
      <c r="Q145" s="186"/>
    </row>
    <row r="146" spans="2:17" x14ac:dyDescent="0.35">
      <c r="B146" s="186"/>
      <c r="C146" s="186"/>
      <c r="D146" s="186"/>
      <c r="E146" s="186"/>
      <c r="F146" s="186"/>
      <c r="G146" s="186"/>
      <c r="H146" s="186"/>
      <c r="I146" s="186"/>
      <c r="J146" s="186"/>
      <c r="K146" s="186"/>
      <c r="L146" s="186"/>
      <c r="M146" s="186"/>
      <c r="N146" s="186"/>
      <c r="O146" s="186"/>
      <c r="P146" s="186"/>
      <c r="Q146" s="186"/>
    </row>
    <row r="147" spans="2:17" x14ac:dyDescent="0.35">
      <c r="B147" s="186"/>
      <c r="C147" s="186"/>
      <c r="D147" s="186"/>
      <c r="E147" s="186"/>
      <c r="F147" s="186"/>
      <c r="G147" s="186"/>
      <c r="H147" s="186"/>
      <c r="I147" s="186"/>
      <c r="J147" s="186"/>
      <c r="K147" s="186"/>
      <c r="L147" s="186"/>
      <c r="M147" s="186"/>
      <c r="N147" s="186"/>
      <c r="O147" s="186"/>
      <c r="P147" s="186"/>
      <c r="Q147" s="186"/>
    </row>
    <row r="148" spans="2:17" x14ac:dyDescent="0.35">
      <c r="B148" s="186"/>
      <c r="C148" s="186"/>
      <c r="D148" s="186"/>
      <c r="E148" s="186"/>
      <c r="F148" s="186"/>
      <c r="G148" s="186"/>
      <c r="H148" s="186"/>
      <c r="I148" s="186"/>
      <c r="J148" s="186"/>
      <c r="K148" s="186"/>
      <c r="L148" s="186"/>
      <c r="M148" s="186"/>
      <c r="N148" s="186"/>
      <c r="O148" s="186"/>
      <c r="P148" s="186"/>
      <c r="Q148" s="186"/>
    </row>
    <row r="149" spans="2:17" x14ac:dyDescent="0.35">
      <c r="B149" s="186"/>
      <c r="C149" s="186"/>
      <c r="D149" s="186"/>
      <c r="E149" s="186"/>
      <c r="F149" s="186"/>
      <c r="G149" s="186"/>
      <c r="H149" s="186"/>
      <c r="I149" s="186"/>
      <c r="J149" s="186"/>
      <c r="K149" s="186"/>
      <c r="L149" s="186"/>
      <c r="M149" s="186"/>
      <c r="N149" s="186"/>
      <c r="O149" s="186"/>
      <c r="P149" s="186"/>
      <c r="Q149" s="186"/>
    </row>
    <row r="150" spans="2:17" x14ac:dyDescent="0.35">
      <c r="B150" s="186"/>
      <c r="C150" s="186"/>
      <c r="D150" s="186"/>
      <c r="E150" s="186"/>
      <c r="F150" s="186"/>
      <c r="G150" s="186"/>
      <c r="H150" s="186"/>
      <c r="I150" s="186"/>
      <c r="J150" s="186"/>
      <c r="K150" s="186"/>
      <c r="L150" s="186"/>
      <c r="M150" s="186"/>
      <c r="N150" s="186"/>
      <c r="O150" s="186"/>
      <c r="P150" s="186"/>
      <c r="Q150" s="186"/>
    </row>
    <row r="151" spans="2:17" x14ac:dyDescent="0.35">
      <c r="B151" s="186"/>
      <c r="C151" s="186"/>
      <c r="D151" s="186"/>
      <c r="E151" s="186"/>
      <c r="F151" s="186"/>
      <c r="G151" s="186"/>
      <c r="H151" s="186"/>
      <c r="I151" s="186"/>
      <c r="J151" s="186"/>
      <c r="K151" s="186"/>
      <c r="L151" s="186"/>
      <c r="M151" s="186"/>
      <c r="N151" s="186"/>
      <c r="O151" s="186"/>
      <c r="P151" s="186"/>
      <c r="Q151" s="186"/>
    </row>
    <row r="152" spans="2:17" x14ac:dyDescent="0.35">
      <c r="B152" s="186"/>
      <c r="C152" s="186"/>
      <c r="D152" s="186"/>
      <c r="E152" s="186"/>
      <c r="F152" s="186"/>
      <c r="G152" s="186"/>
      <c r="H152" s="186"/>
      <c r="I152" s="186"/>
      <c r="J152" s="186"/>
      <c r="K152" s="186"/>
      <c r="L152" s="186"/>
      <c r="M152" s="186"/>
      <c r="N152" s="186"/>
      <c r="O152" s="186"/>
      <c r="P152" s="186"/>
      <c r="Q152" s="186"/>
    </row>
    <row r="153" spans="2:17" x14ac:dyDescent="0.35">
      <c r="B153" s="186"/>
      <c r="C153" s="186"/>
      <c r="D153" s="186"/>
      <c r="E153" s="186"/>
      <c r="F153" s="186"/>
      <c r="G153" s="186"/>
      <c r="H153" s="186"/>
      <c r="I153" s="186"/>
      <c r="J153" s="186"/>
      <c r="K153" s="186"/>
      <c r="L153" s="186"/>
      <c r="M153" s="186"/>
      <c r="N153" s="186"/>
      <c r="O153" s="186"/>
      <c r="P153" s="186"/>
      <c r="Q153" s="186"/>
    </row>
    <row r="154" spans="2:17" x14ac:dyDescent="0.35">
      <c r="B154" s="186"/>
      <c r="C154" s="186"/>
      <c r="D154" s="186"/>
      <c r="E154" s="186"/>
      <c r="F154" s="186"/>
      <c r="G154" s="186"/>
      <c r="H154" s="186"/>
      <c r="I154" s="186"/>
      <c r="J154" s="186"/>
      <c r="K154" s="186"/>
      <c r="L154" s="186"/>
      <c r="M154" s="186"/>
      <c r="N154" s="186"/>
      <c r="O154" s="186"/>
      <c r="P154" s="186"/>
      <c r="Q154" s="186"/>
    </row>
    <row r="155" spans="2:17" x14ac:dyDescent="0.35">
      <c r="B155" s="186"/>
      <c r="C155" s="186"/>
      <c r="D155" s="186"/>
      <c r="E155" s="186"/>
      <c r="F155" s="186"/>
      <c r="G155" s="186"/>
      <c r="H155" s="186"/>
      <c r="I155" s="186"/>
      <c r="J155" s="186"/>
      <c r="K155" s="186"/>
      <c r="L155" s="186"/>
      <c r="M155" s="186"/>
      <c r="N155" s="186"/>
      <c r="O155" s="186"/>
      <c r="P155" s="186"/>
      <c r="Q155" s="186"/>
    </row>
    <row r="156" spans="2:17" x14ac:dyDescent="0.35">
      <c r="B156" s="186"/>
      <c r="C156" s="186"/>
      <c r="D156" s="186"/>
      <c r="E156" s="186"/>
      <c r="F156" s="186"/>
      <c r="G156" s="186"/>
      <c r="H156" s="186"/>
      <c r="I156" s="186"/>
      <c r="J156" s="186"/>
      <c r="K156" s="186"/>
      <c r="L156" s="186"/>
      <c r="M156" s="186"/>
      <c r="N156" s="186"/>
      <c r="O156" s="186"/>
      <c r="P156" s="186"/>
      <c r="Q156" s="186"/>
    </row>
    <row r="157" spans="2:17" x14ac:dyDescent="0.35">
      <c r="B157" s="186"/>
      <c r="C157" s="186"/>
      <c r="D157" s="186"/>
      <c r="E157" s="186"/>
      <c r="F157" s="186"/>
      <c r="G157" s="186"/>
      <c r="H157" s="186"/>
      <c r="I157" s="186"/>
      <c r="J157" s="186"/>
      <c r="K157" s="186"/>
      <c r="L157" s="186"/>
      <c r="M157" s="186"/>
      <c r="N157" s="186"/>
      <c r="O157" s="186"/>
      <c r="P157" s="186"/>
      <c r="Q157" s="186"/>
    </row>
    <row r="158" spans="2:17" x14ac:dyDescent="0.35">
      <c r="B158" s="186"/>
      <c r="C158" s="186"/>
      <c r="D158" s="186"/>
      <c r="E158" s="186"/>
      <c r="F158" s="186"/>
      <c r="G158" s="186"/>
      <c r="H158" s="186"/>
      <c r="I158" s="186"/>
      <c r="J158" s="186"/>
      <c r="K158" s="186"/>
      <c r="L158" s="186"/>
      <c r="M158" s="186"/>
      <c r="N158" s="186"/>
      <c r="O158" s="186"/>
      <c r="P158" s="186"/>
      <c r="Q158" s="186"/>
    </row>
    <row r="159" spans="2:17" x14ac:dyDescent="0.35">
      <c r="B159" s="186"/>
      <c r="C159" s="186"/>
      <c r="D159" s="186"/>
      <c r="E159" s="186"/>
      <c r="F159" s="186"/>
      <c r="G159" s="186"/>
      <c r="H159" s="186"/>
      <c r="I159" s="186"/>
      <c r="J159" s="186"/>
      <c r="K159" s="186"/>
      <c r="L159" s="186"/>
      <c r="M159" s="186"/>
      <c r="N159" s="186"/>
      <c r="O159" s="186"/>
      <c r="P159" s="186"/>
      <c r="Q159" s="186"/>
    </row>
    <row r="160" spans="2:17" x14ac:dyDescent="0.35">
      <c r="B160" s="186"/>
      <c r="C160" s="186"/>
      <c r="D160" s="186"/>
      <c r="E160" s="186"/>
      <c r="F160" s="186"/>
      <c r="G160" s="186"/>
      <c r="H160" s="186"/>
      <c r="I160" s="186"/>
      <c r="J160" s="186"/>
      <c r="K160" s="186"/>
      <c r="L160" s="186"/>
      <c r="M160" s="186"/>
      <c r="N160" s="186"/>
      <c r="O160" s="186"/>
      <c r="P160" s="186"/>
      <c r="Q160" s="186"/>
    </row>
    <row r="161" spans="2:17" x14ac:dyDescent="0.35">
      <c r="B161" s="186"/>
      <c r="C161" s="186"/>
      <c r="D161" s="186"/>
      <c r="E161" s="186"/>
      <c r="F161" s="186"/>
      <c r="G161" s="186"/>
      <c r="H161" s="186"/>
      <c r="I161" s="186"/>
      <c r="J161" s="186"/>
      <c r="K161" s="186"/>
      <c r="L161" s="186"/>
      <c r="M161" s="186"/>
      <c r="N161" s="186"/>
      <c r="O161" s="186"/>
      <c r="P161" s="186"/>
      <c r="Q161" s="186"/>
    </row>
    <row r="162" spans="2:17" x14ac:dyDescent="0.35">
      <c r="B162" s="186"/>
      <c r="C162" s="186"/>
      <c r="D162" s="186"/>
      <c r="E162" s="186"/>
      <c r="F162" s="186"/>
      <c r="G162" s="186"/>
      <c r="H162" s="186"/>
      <c r="I162" s="186"/>
      <c r="J162" s="186"/>
      <c r="K162" s="186"/>
      <c r="L162" s="186"/>
      <c r="M162" s="186"/>
      <c r="N162" s="186"/>
      <c r="O162" s="186"/>
      <c r="P162" s="186"/>
      <c r="Q162" s="186"/>
    </row>
    <row r="163" spans="2:17" x14ac:dyDescent="0.35">
      <c r="B163" s="186"/>
      <c r="C163" s="186"/>
      <c r="D163" s="186"/>
      <c r="E163" s="186"/>
      <c r="F163" s="186"/>
      <c r="G163" s="186"/>
      <c r="H163" s="186"/>
      <c r="I163" s="186"/>
      <c r="J163" s="186"/>
      <c r="K163" s="186"/>
      <c r="L163" s="186"/>
      <c r="M163" s="186"/>
      <c r="N163" s="186"/>
      <c r="O163" s="186"/>
      <c r="P163" s="186"/>
      <c r="Q163" s="186"/>
    </row>
    <row r="164" spans="2:17" x14ac:dyDescent="0.35">
      <c r="B164" s="186"/>
      <c r="C164" s="186"/>
      <c r="D164" s="186"/>
      <c r="E164" s="186"/>
      <c r="F164" s="186"/>
      <c r="G164" s="186"/>
      <c r="H164" s="186"/>
      <c r="I164" s="186"/>
      <c r="J164" s="186"/>
      <c r="K164" s="186"/>
      <c r="L164" s="186"/>
      <c r="M164" s="186"/>
      <c r="N164" s="186"/>
      <c r="O164" s="186"/>
      <c r="P164" s="186"/>
      <c r="Q164" s="186"/>
    </row>
    <row r="165" spans="2:17" x14ac:dyDescent="0.35">
      <c r="B165" s="186"/>
      <c r="C165" s="186"/>
      <c r="D165" s="186"/>
      <c r="E165" s="186"/>
      <c r="F165" s="186"/>
      <c r="G165" s="186"/>
      <c r="H165" s="186"/>
      <c r="I165" s="186"/>
      <c r="J165" s="186"/>
      <c r="K165" s="186"/>
      <c r="L165" s="186"/>
      <c r="M165" s="186"/>
      <c r="N165" s="186"/>
      <c r="O165" s="186"/>
      <c r="P165" s="186"/>
      <c r="Q165" s="186"/>
    </row>
    <row r="166" spans="2:17" x14ac:dyDescent="0.35">
      <c r="B166" s="186"/>
      <c r="C166" s="186"/>
      <c r="D166" s="186"/>
      <c r="E166" s="186"/>
      <c r="F166" s="186"/>
      <c r="G166" s="186"/>
      <c r="H166" s="186"/>
      <c r="I166" s="186"/>
      <c r="J166" s="186"/>
      <c r="K166" s="186"/>
      <c r="L166" s="186"/>
      <c r="M166" s="186"/>
      <c r="N166" s="186"/>
      <c r="O166" s="186"/>
      <c r="P166" s="186"/>
      <c r="Q166" s="186"/>
    </row>
    <row r="167" spans="2:17" x14ac:dyDescent="0.35">
      <c r="B167" s="186"/>
      <c r="C167" s="186"/>
      <c r="D167" s="186"/>
      <c r="E167" s="186"/>
      <c r="F167" s="186"/>
      <c r="G167" s="186"/>
      <c r="H167" s="186"/>
      <c r="I167" s="186"/>
      <c r="J167" s="186"/>
      <c r="K167" s="186"/>
      <c r="L167" s="186"/>
      <c r="M167" s="186"/>
      <c r="N167" s="186"/>
      <c r="O167" s="186"/>
      <c r="P167" s="186"/>
      <c r="Q167" s="186"/>
    </row>
    <row r="168" spans="2:17" x14ac:dyDescent="0.35">
      <c r="B168" s="186"/>
      <c r="C168" s="186"/>
      <c r="D168" s="186"/>
      <c r="E168" s="186"/>
      <c r="F168" s="186"/>
      <c r="G168" s="186"/>
      <c r="H168" s="186"/>
      <c r="I168" s="186"/>
      <c r="J168" s="186"/>
      <c r="K168" s="186"/>
      <c r="L168" s="186"/>
      <c r="M168" s="186"/>
      <c r="N168" s="186"/>
      <c r="O168" s="186"/>
      <c r="P168" s="186"/>
      <c r="Q168" s="186"/>
    </row>
    <row r="169" spans="2:17" x14ac:dyDescent="0.35">
      <c r="B169" s="186"/>
      <c r="C169" s="186"/>
      <c r="D169" s="186"/>
      <c r="E169" s="186"/>
      <c r="F169" s="186"/>
      <c r="G169" s="186"/>
      <c r="H169" s="186"/>
      <c r="I169" s="186"/>
      <c r="J169" s="186"/>
      <c r="K169" s="186"/>
      <c r="L169" s="186"/>
      <c r="M169" s="186"/>
      <c r="N169" s="186"/>
      <c r="O169" s="186"/>
      <c r="P169" s="186"/>
      <c r="Q169" s="186"/>
    </row>
    <row r="170" spans="2:17" x14ac:dyDescent="0.35">
      <c r="B170" s="186"/>
      <c r="C170" s="186"/>
      <c r="D170" s="186"/>
      <c r="E170" s="186"/>
      <c r="F170" s="186"/>
      <c r="G170" s="186"/>
      <c r="H170" s="186"/>
      <c r="I170" s="186"/>
      <c r="J170" s="186"/>
      <c r="K170" s="186"/>
      <c r="L170" s="186"/>
      <c r="M170" s="186"/>
      <c r="N170" s="186"/>
      <c r="O170" s="186"/>
      <c r="P170" s="186"/>
      <c r="Q170" s="186"/>
    </row>
    <row r="171" spans="2:17" x14ac:dyDescent="0.35">
      <c r="B171" s="186"/>
      <c r="C171" s="186"/>
      <c r="D171" s="186"/>
      <c r="E171" s="186"/>
      <c r="F171" s="186"/>
      <c r="G171" s="186"/>
      <c r="H171" s="186"/>
      <c r="I171" s="186"/>
      <c r="J171" s="186"/>
      <c r="K171" s="186"/>
      <c r="L171" s="186"/>
      <c r="M171" s="186"/>
      <c r="N171" s="186"/>
      <c r="O171" s="186"/>
      <c r="P171" s="186"/>
      <c r="Q171" s="186"/>
    </row>
    <row r="172" spans="2:17" x14ac:dyDescent="0.35">
      <c r="B172" s="186"/>
      <c r="C172" s="186"/>
      <c r="D172" s="186"/>
      <c r="E172" s="186"/>
      <c r="F172" s="186"/>
      <c r="G172" s="186"/>
      <c r="H172" s="186"/>
      <c r="I172" s="186"/>
      <c r="J172" s="186"/>
      <c r="K172" s="186"/>
      <c r="L172" s="186"/>
      <c r="M172" s="186"/>
      <c r="N172" s="186"/>
      <c r="O172" s="186"/>
      <c r="P172" s="186"/>
      <c r="Q172" s="186"/>
    </row>
    <row r="173" spans="2:17" x14ac:dyDescent="0.35">
      <c r="B173" s="186"/>
      <c r="C173" s="186"/>
      <c r="D173" s="186"/>
      <c r="E173" s="186"/>
      <c r="F173" s="186"/>
      <c r="G173" s="186"/>
      <c r="H173" s="186"/>
      <c r="I173" s="186"/>
      <c r="J173" s="186"/>
      <c r="K173" s="186"/>
      <c r="L173" s="186"/>
      <c r="M173" s="186"/>
      <c r="N173" s="186"/>
      <c r="O173" s="186"/>
      <c r="P173" s="186"/>
      <c r="Q173" s="186"/>
    </row>
    <row r="174" spans="2:17" x14ac:dyDescent="0.35">
      <c r="B174" s="186"/>
      <c r="C174" s="186"/>
      <c r="D174" s="186"/>
      <c r="E174" s="186"/>
      <c r="F174" s="186"/>
      <c r="G174" s="186"/>
      <c r="H174" s="186"/>
      <c r="I174" s="186"/>
      <c r="J174" s="186"/>
      <c r="K174" s="186"/>
      <c r="L174" s="186"/>
      <c r="M174" s="186"/>
      <c r="N174" s="186"/>
      <c r="O174" s="186"/>
      <c r="P174" s="186"/>
      <c r="Q174" s="186"/>
    </row>
    <row r="175" spans="2:17" x14ac:dyDescent="0.35">
      <c r="B175" s="186"/>
      <c r="C175" s="186"/>
      <c r="D175" s="186"/>
      <c r="E175" s="186"/>
      <c r="F175" s="186"/>
      <c r="G175" s="186"/>
      <c r="H175" s="186"/>
      <c r="I175" s="186"/>
      <c r="J175" s="186"/>
      <c r="K175" s="186"/>
      <c r="L175" s="186"/>
      <c r="M175" s="186"/>
      <c r="N175" s="186"/>
      <c r="O175" s="186"/>
      <c r="P175" s="186"/>
      <c r="Q175" s="186"/>
    </row>
    <row r="176" spans="2:17" x14ac:dyDescent="0.35">
      <c r="B176" s="186"/>
      <c r="C176" s="186"/>
      <c r="D176" s="186"/>
      <c r="E176" s="186"/>
      <c r="F176" s="186"/>
      <c r="G176" s="186"/>
      <c r="H176" s="186"/>
      <c r="I176" s="186"/>
      <c r="J176" s="186"/>
      <c r="K176" s="186"/>
      <c r="L176" s="186"/>
      <c r="M176" s="186"/>
      <c r="N176" s="186"/>
      <c r="O176" s="186"/>
      <c r="P176" s="186"/>
      <c r="Q176" s="186"/>
    </row>
    <row r="177" spans="2:17" x14ac:dyDescent="0.35">
      <c r="B177" s="186"/>
      <c r="C177" s="186"/>
      <c r="D177" s="186"/>
      <c r="E177" s="186"/>
      <c r="F177" s="186"/>
      <c r="G177" s="186"/>
      <c r="H177" s="186"/>
      <c r="I177" s="186"/>
      <c r="J177" s="186"/>
      <c r="K177" s="186"/>
      <c r="L177" s="186"/>
      <c r="M177" s="186"/>
      <c r="N177" s="186"/>
      <c r="O177" s="186"/>
      <c r="P177" s="186"/>
      <c r="Q177" s="186"/>
    </row>
    <row r="178" spans="2:17" x14ac:dyDescent="0.35">
      <c r="B178" s="186"/>
      <c r="C178" s="186"/>
      <c r="D178" s="186"/>
      <c r="E178" s="186"/>
      <c r="F178" s="186"/>
      <c r="G178" s="186"/>
      <c r="H178" s="186"/>
      <c r="I178" s="186"/>
      <c r="J178" s="186"/>
      <c r="K178" s="186"/>
      <c r="L178" s="186"/>
      <c r="M178" s="186"/>
      <c r="N178" s="186"/>
      <c r="O178" s="186"/>
      <c r="P178" s="186"/>
      <c r="Q178" s="186"/>
    </row>
    <row r="179" spans="2:17" x14ac:dyDescent="0.35">
      <c r="B179" s="186"/>
      <c r="C179" s="186"/>
      <c r="D179" s="186"/>
      <c r="E179" s="186"/>
      <c r="F179" s="186"/>
      <c r="G179" s="186"/>
      <c r="H179" s="186"/>
      <c r="I179" s="186"/>
      <c r="J179" s="186"/>
      <c r="K179" s="186"/>
      <c r="L179" s="186"/>
      <c r="M179" s="186"/>
      <c r="N179" s="186"/>
      <c r="O179" s="186"/>
      <c r="P179" s="186"/>
      <c r="Q179" s="186"/>
    </row>
    <row r="180" spans="2:17" x14ac:dyDescent="0.35">
      <c r="B180" s="186"/>
      <c r="C180" s="186"/>
      <c r="D180" s="186"/>
      <c r="E180" s="186"/>
      <c r="F180" s="186"/>
      <c r="G180" s="186"/>
      <c r="H180" s="186"/>
      <c r="I180" s="186"/>
      <c r="J180" s="186"/>
      <c r="K180" s="186"/>
      <c r="L180" s="186"/>
      <c r="M180" s="186"/>
      <c r="N180" s="186"/>
      <c r="O180" s="186"/>
      <c r="P180" s="186"/>
      <c r="Q180" s="186"/>
    </row>
    <row r="181" spans="2:17" x14ac:dyDescent="0.35">
      <c r="B181" s="186"/>
      <c r="C181" s="186"/>
      <c r="D181" s="186"/>
      <c r="E181" s="186"/>
      <c r="F181" s="186"/>
      <c r="G181" s="186"/>
      <c r="H181" s="186"/>
      <c r="I181" s="186"/>
      <c r="J181" s="186"/>
      <c r="K181" s="186"/>
      <c r="L181" s="186"/>
      <c r="M181" s="186"/>
      <c r="N181" s="186"/>
      <c r="O181" s="186"/>
      <c r="P181" s="186"/>
      <c r="Q181" s="186"/>
    </row>
    <row r="182" spans="2:17" x14ac:dyDescent="0.35">
      <c r="B182" s="186"/>
      <c r="C182" s="186"/>
      <c r="D182" s="186"/>
      <c r="E182" s="186"/>
      <c r="F182" s="186"/>
      <c r="G182" s="186"/>
      <c r="H182" s="186"/>
      <c r="I182" s="186"/>
      <c r="J182" s="186"/>
      <c r="K182" s="186"/>
      <c r="L182" s="186"/>
      <c r="M182" s="186"/>
      <c r="N182" s="186"/>
      <c r="O182" s="186"/>
      <c r="P182" s="186"/>
      <c r="Q182" s="186"/>
    </row>
    <row r="183" spans="2:17" x14ac:dyDescent="0.35">
      <c r="B183" s="186"/>
      <c r="C183" s="186"/>
      <c r="D183" s="186"/>
      <c r="E183" s="186"/>
      <c r="F183" s="186"/>
      <c r="G183" s="186"/>
      <c r="H183" s="186"/>
      <c r="I183" s="186"/>
      <c r="J183" s="186"/>
      <c r="K183" s="186"/>
      <c r="L183" s="186"/>
      <c r="M183" s="186"/>
      <c r="N183" s="186"/>
      <c r="O183" s="186"/>
      <c r="P183" s="186"/>
      <c r="Q183" s="186"/>
    </row>
    <row r="184" spans="2:17" x14ac:dyDescent="0.35">
      <c r="B184" s="186"/>
      <c r="C184" s="186"/>
      <c r="D184" s="186"/>
      <c r="E184" s="186"/>
      <c r="F184" s="186"/>
      <c r="G184" s="186"/>
      <c r="H184" s="186"/>
      <c r="I184" s="186"/>
      <c r="J184" s="186"/>
      <c r="K184" s="186"/>
      <c r="L184" s="186"/>
      <c r="M184" s="186"/>
      <c r="N184" s="186"/>
      <c r="O184" s="186"/>
      <c r="P184" s="186"/>
      <c r="Q184" s="186"/>
    </row>
    <row r="185" spans="2:17" x14ac:dyDescent="0.35">
      <c r="B185" s="186"/>
      <c r="C185" s="186"/>
      <c r="D185" s="186"/>
      <c r="E185" s="186"/>
      <c r="F185" s="186"/>
      <c r="G185" s="186"/>
      <c r="H185" s="186"/>
      <c r="I185" s="186"/>
      <c r="J185" s="186"/>
      <c r="K185" s="186"/>
      <c r="L185" s="186"/>
      <c r="M185" s="186"/>
      <c r="N185" s="186"/>
      <c r="O185" s="186"/>
      <c r="P185" s="186"/>
      <c r="Q185" s="186"/>
    </row>
    <row r="186" spans="2:17" x14ac:dyDescent="0.35">
      <c r="B186" s="186"/>
      <c r="C186" s="186"/>
      <c r="D186" s="186"/>
      <c r="E186" s="186"/>
      <c r="F186" s="186"/>
      <c r="G186" s="186"/>
      <c r="H186" s="186"/>
      <c r="I186" s="186"/>
      <c r="J186" s="186"/>
      <c r="K186" s="186"/>
      <c r="L186" s="186"/>
      <c r="M186" s="186"/>
      <c r="N186" s="186"/>
      <c r="O186" s="186"/>
      <c r="P186" s="186"/>
      <c r="Q186" s="186"/>
    </row>
    <row r="187" spans="2:17" x14ac:dyDescent="0.35">
      <c r="B187" s="186"/>
      <c r="C187" s="186"/>
      <c r="D187" s="186"/>
      <c r="E187" s="186"/>
      <c r="F187" s="186"/>
      <c r="G187" s="186"/>
      <c r="H187" s="186"/>
      <c r="I187" s="186"/>
      <c r="J187" s="186"/>
      <c r="K187" s="186"/>
      <c r="L187" s="186"/>
      <c r="M187" s="186"/>
      <c r="N187" s="186"/>
      <c r="O187" s="186"/>
      <c r="P187" s="186"/>
      <c r="Q187" s="186"/>
    </row>
    <row r="188" spans="2:17" x14ac:dyDescent="0.35">
      <c r="B188" s="186"/>
      <c r="C188" s="186"/>
      <c r="D188" s="186"/>
      <c r="E188" s="186"/>
      <c r="F188" s="186"/>
      <c r="G188" s="186"/>
      <c r="H188" s="186"/>
      <c r="I188" s="186"/>
      <c r="J188" s="186"/>
      <c r="K188" s="186"/>
      <c r="L188" s="186"/>
      <c r="M188" s="186"/>
      <c r="N188" s="186"/>
      <c r="O188" s="186"/>
      <c r="P188" s="186"/>
      <c r="Q188" s="186"/>
    </row>
    <row r="189" spans="2:17" x14ac:dyDescent="0.35">
      <c r="B189" s="186"/>
      <c r="C189" s="186"/>
      <c r="D189" s="186"/>
      <c r="E189" s="186"/>
      <c r="F189" s="186"/>
      <c r="G189" s="186"/>
      <c r="H189" s="186"/>
      <c r="I189" s="186"/>
      <c r="J189" s="186"/>
      <c r="K189" s="186"/>
      <c r="L189" s="186"/>
      <c r="M189" s="186"/>
      <c r="N189" s="186"/>
      <c r="O189" s="186"/>
      <c r="P189" s="186"/>
      <c r="Q189" s="186"/>
    </row>
    <row r="190" spans="2:17" x14ac:dyDescent="0.35">
      <c r="B190" s="186"/>
      <c r="C190" s="186"/>
      <c r="D190" s="186"/>
      <c r="E190" s="186"/>
      <c r="F190" s="186"/>
      <c r="G190" s="186"/>
      <c r="H190" s="186"/>
      <c r="I190" s="186"/>
      <c r="J190" s="186"/>
      <c r="K190" s="186"/>
      <c r="L190" s="186"/>
      <c r="M190" s="186"/>
      <c r="N190" s="186"/>
      <c r="O190" s="186"/>
      <c r="P190" s="186"/>
      <c r="Q190" s="186"/>
    </row>
    <row r="191" spans="2:17" x14ac:dyDescent="0.35">
      <c r="B191" s="186"/>
      <c r="C191" s="186"/>
      <c r="D191" s="186"/>
      <c r="E191" s="186"/>
      <c r="F191" s="186"/>
      <c r="G191" s="186"/>
      <c r="H191" s="186"/>
      <c r="I191" s="186"/>
      <c r="J191" s="186"/>
      <c r="K191" s="186"/>
      <c r="L191" s="186"/>
      <c r="M191" s="186"/>
      <c r="N191" s="186"/>
      <c r="O191" s="186"/>
      <c r="P191" s="186"/>
      <c r="Q191" s="186"/>
    </row>
    <row r="192" spans="2:17" x14ac:dyDescent="0.35">
      <c r="B192" s="186"/>
      <c r="C192" s="186"/>
      <c r="D192" s="186"/>
      <c r="E192" s="186"/>
      <c r="F192" s="186"/>
      <c r="G192" s="186"/>
      <c r="H192" s="186"/>
      <c r="I192" s="186"/>
      <c r="J192" s="186"/>
      <c r="K192" s="186"/>
      <c r="L192" s="186"/>
      <c r="M192" s="186"/>
      <c r="N192" s="186"/>
      <c r="O192" s="186"/>
      <c r="P192" s="186"/>
      <c r="Q192" s="186"/>
    </row>
    <row r="193" spans="2:17" x14ac:dyDescent="0.35">
      <c r="B193" s="186"/>
      <c r="C193" s="186"/>
      <c r="D193" s="186"/>
      <c r="E193" s="186"/>
      <c r="F193" s="186"/>
      <c r="G193" s="186"/>
      <c r="H193" s="186"/>
      <c r="I193" s="186"/>
      <c r="J193" s="186"/>
      <c r="K193" s="186"/>
      <c r="L193" s="186"/>
      <c r="M193" s="186"/>
      <c r="N193" s="186"/>
      <c r="O193" s="186"/>
      <c r="P193" s="186"/>
      <c r="Q193" s="186"/>
    </row>
    <row r="194" spans="2:17" x14ac:dyDescent="0.35">
      <c r="B194" s="186"/>
      <c r="C194" s="186"/>
      <c r="D194" s="186"/>
      <c r="E194" s="186"/>
      <c r="F194" s="186"/>
      <c r="G194" s="186"/>
      <c r="H194" s="186"/>
      <c r="I194" s="186"/>
      <c r="J194" s="186"/>
      <c r="K194" s="186"/>
      <c r="L194" s="186"/>
      <c r="M194" s="186"/>
      <c r="N194" s="186"/>
      <c r="O194" s="186"/>
      <c r="P194" s="186"/>
      <c r="Q194" s="186"/>
    </row>
    <row r="195" spans="2:17" x14ac:dyDescent="0.35">
      <c r="B195" s="186"/>
      <c r="C195" s="186"/>
      <c r="D195" s="186"/>
      <c r="E195" s="186"/>
      <c r="F195" s="186"/>
      <c r="G195" s="186"/>
      <c r="H195" s="186"/>
      <c r="I195" s="186"/>
      <c r="J195" s="186"/>
      <c r="K195" s="186"/>
      <c r="L195" s="186"/>
      <c r="M195" s="186"/>
      <c r="N195" s="186"/>
      <c r="O195" s="186"/>
      <c r="P195" s="186"/>
      <c r="Q195" s="186"/>
    </row>
    <row r="196" spans="2:17" x14ac:dyDescent="0.35">
      <c r="B196" s="186"/>
      <c r="C196" s="186"/>
      <c r="D196" s="186"/>
      <c r="E196" s="186"/>
      <c r="F196" s="186"/>
      <c r="G196" s="186"/>
      <c r="H196" s="186"/>
      <c r="I196" s="186"/>
      <c r="J196" s="186"/>
      <c r="K196" s="186"/>
      <c r="L196" s="186"/>
      <c r="M196" s="186"/>
      <c r="N196" s="186"/>
      <c r="O196" s="186"/>
      <c r="P196" s="186"/>
      <c r="Q196" s="186"/>
    </row>
    <row r="197" spans="2:17" x14ac:dyDescent="0.35">
      <c r="B197" s="186"/>
      <c r="C197" s="186"/>
      <c r="D197" s="186"/>
      <c r="E197" s="186"/>
      <c r="F197" s="186"/>
      <c r="G197" s="186"/>
      <c r="H197" s="186"/>
      <c r="I197" s="186"/>
      <c r="J197" s="186"/>
      <c r="K197" s="186"/>
      <c r="L197" s="186"/>
      <c r="M197" s="186"/>
      <c r="N197" s="186"/>
      <c r="O197" s="186"/>
      <c r="P197" s="186"/>
      <c r="Q197" s="186"/>
    </row>
    <row r="198" spans="2:17" x14ac:dyDescent="0.35">
      <c r="B198" s="186"/>
      <c r="C198" s="186"/>
      <c r="D198" s="186"/>
      <c r="E198" s="186"/>
      <c r="F198" s="186"/>
      <c r="G198" s="186"/>
      <c r="H198" s="186"/>
      <c r="I198" s="186"/>
      <c r="J198" s="186"/>
      <c r="K198" s="186"/>
      <c r="L198" s="186"/>
      <c r="M198" s="186"/>
      <c r="N198" s="186"/>
      <c r="O198" s="186"/>
      <c r="P198" s="186"/>
      <c r="Q198" s="186"/>
    </row>
    <row r="199" spans="2:17" x14ac:dyDescent="0.35">
      <c r="B199" s="186"/>
      <c r="C199" s="186"/>
      <c r="D199" s="186"/>
      <c r="E199" s="186"/>
      <c r="F199" s="186"/>
      <c r="G199" s="186"/>
      <c r="H199" s="186"/>
      <c r="I199" s="186"/>
      <c r="J199" s="186"/>
      <c r="K199" s="186"/>
      <c r="L199" s="186"/>
      <c r="M199" s="186"/>
      <c r="N199" s="186"/>
      <c r="O199" s="186"/>
      <c r="P199" s="186"/>
      <c r="Q199" s="186"/>
    </row>
    <row r="200" spans="2:17" x14ac:dyDescent="0.35">
      <c r="B200" s="186"/>
      <c r="C200" s="186"/>
      <c r="D200" s="186"/>
      <c r="E200" s="186"/>
      <c r="F200" s="186"/>
      <c r="G200" s="186"/>
      <c r="H200" s="186"/>
      <c r="I200" s="186"/>
      <c r="J200" s="186"/>
      <c r="K200" s="186"/>
      <c r="L200" s="186"/>
      <c r="M200" s="186"/>
      <c r="N200" s="186"/>
      <c r="O200" s="186"/>
      <c r="P200" s="186"/>
      <c r="Q200" s="186"/>
    </row>
    <row r="201" spans="2:17" x14ac:dyDescent="0.35">
      <c r="B201" s="186"/>
      <c r="C201" s="186"/>
      <c r="D201" s="186"/>
      <c r="E201" s="186"/>
      <c r="F201" s="186"/>
      <c r="G201" s="186"/>
      <c r="H201" s="186"/>
      <c r="I201" s="186"/>
      <c r="J201" s="186"/>
      <c r="K201" s="186"/>
      <c r="L201" s="186"/>
      <c r="M201" s="186"/>
      <c r="N201" s="186"/>
      <c r="O201" s="186"/>
      <c r="P201" s="186"/>
      <c r="Q201" s="186"/>
    </row>
    <row r="202" spans="2:17" x14ac:dyDescent="0.35">
      <c r="B202" s="186"/>
      <c r="C202" s="186"/>
      <c r="D202" s="186"/>
      <c r="E202" s="186"/>
      <c r="F202" s="186"/>
      <c r="G202" s="186"/>
      <c r="H202" s="186"/>
      <c r="I202" s="186"/>
      <c r="J202" s="186"/>
      <c r="K202" s="186"/>
      <c r="L202" s="186"/>
      <c r="M202" s="186"/>
      <c r="N202" s="186"/>
      <c r="O202" s="186"/>
      <c r="P202" s="186"/>
      <c r="Q202" s="186"/>
    </row>
    <row r="203" spans="2:17" x14ac:dyDescent="0.35">
      <c r="B203" s="186"/>
      <c r="C203" s="186"/>
      <c r="D203" s="186"/>
      <c r="E203" s="186"/>
      <c r="F203" s="186"/>
      <c r="G203" s="186"/>
      <c r="H203" s="186"/>
      <c r="I203" s="186"/>
      <c r="J203" s="186"/>
      <c r="K203" s="186"/>
      <c r="L203" s="186"/>
      <c r="M203" s="186"/>
      <c r="N203" s="186"/>
      <c r="O203" s="186"/>
      <c r="P203" s="186"/>
      <c r="Q203" s="186"/>
    </row>
    <row r="204" spans="2:17" x14ac:dyDescent="0.35">
      <c r="B204" s="186"/>
      <c r="C204" s="186"/>
      <c r="D204" s="186"/>
      <c r="E204" s="186"/>
      <c r="F204" s="186"/>
      <c r="G204" s="186"/>
      <c r="H204" s="186"/>
      <c r="I204" s="186"/>
      <c r="J204" s="186"/>
      <c r="K204" s="186"/>
      <c r="L204" s="186"/>
      <c r="M204" s="186"/>
      <c r="N204" s="186"/>
      <c r="O204" s="186"/>
      <c r="P204" s="186"/>
      <c r="Q204" s="186"/>
    </row>
    <row r="205" spans="2:17" x14ac:dyDescent="0.35">
      <c r="B205" s="186"/>
      <c r="C205" s="186"/>
      <c r="D205" s="186"/>
      <c r="E205" s="186"/>
      <c r="F205" s="186"/>
      <c r="G205" s="186"/>
      <c r="H205" s="186"/>
      <c r="I205" s="186"/>
      <c r="J205" s="186"/>
      <c r="K205" s="186"/>
      <c r="L205" s="186"/>
      <c r="M205" s="186"/>
      <c r="N205" s="186"/>
      <c r="O205" s="186"/>
      <c r="P205" s="186"/>
      <c r="Q205" s="186"/>
    </row>
    <row r="206" spans="2:17" x14ac:dyDescent="0.35">
      <c r="B206" s="186"/>
      <c r="C206" s="186"/>
      <c r="D206" s="186"/>
      <c r="E206" s="186"/>
      <c r="F206" s="186"/>
      <c r="G206" s="186"/>
      <c r="H206" s="186"/>
      <c r="I206" s="186"/>
      <c r="J206" s="186"/>
      <c r="K206" s="186"/>
      <c r="L206" s="186"/>
      <c r="M206" s="186"/>
      <c r="N206" s="186"/>
      <c r="O206" s="186"/>
      <c r="P206" s="186"/>
      <c r="Q206" s="186"/>
    </row>
    <row r="207" spans="2:17" x14ac:dyDescent="0.35">
      <c r="B207" s="186"/>
      <c r="C207" s="186"/>
      <c r="D207" s="186"/>
      <c r="E207" s="186"/>
      <c r="F207" s="186"/>
      <c r="G207" s="186"/>
      <c r="H207" s="186"/>
      <c r="I207" s="186"/>
      <c r="J207" s="186"/>
      <c r="K207" s="186"/>
      <c r="L207" s="186"/>
      <c r="M207" s="186"/>
      <c r="N207" s="186"/>
      <c r="O207" s="186"/>
      <c r="P207" s="186"/>
      <c r="Q207" s="186"/>
    </row>
    <row r="208" spans="2:17" x14ac:dyDescent="0.35">
      <c r="B208" s="186"/>
      <c r="C208" s="186"/>
      <c r="D208" s="186"/>
      <c r="E208" s="186"/>
      <c r="F208" s="186"/>
      <c r="G208" s="186"/>
      <c r="H208" s="186"/>
      <c r="I208" s="186"/>
      <c r="J208" s="186"/>
      <c r="K208" s="186"/>
      <c r="L208" s="186"/>
      <c r="M208" s="186"/>
      <c r="N208" s="186"/>
      <c r="O208" s="186"/>
      <c r="P208" s="186"/>
      <c r="Q208" s="186"/>
    </row>
    <row r="209" spans="2:17" x14ac:dyDescent="0.35">
      <c r="B209" s="186"/>
      <c r="C209" s="186"/>
      <c r="D209" s="186"/>
      <c r="E209" s="186"/>
      <c r="F209" s="186"/>
      <c r="G209" s="186"/>
      <c r="H209" s="186"/>
      <c r="I209" s="186"/>
      <c r="J209" s="186"/>
      <c r="K209" s="186"/>
      <c r="L209" s="186"/>
      <c r="M209" s="186"/>
      <c r="N209" s="186"/>
      <c r="O209" s="186"/>
      <c r="P209" s="186"/>
      <c r="Q209" s="186"/>
    </row>
    <row r="210" spans="2:17" x14ac:dyDescent="0.35">
      <c r="B210" s="186"/>
      <c r="C210" s="186"/>
      <c r="D210" s="186"/>
      <c r="E210" s="186"/>
      <c r="F210" s="186"/>
      <c r="G210" s="186"/>
      <c r="H210" s="186"/>
      <c r="I210" s="186"/>
      <c r="J210" s="186"/>
      <c r="K210" s="186"/>
      <c r="L210" s="186"/>
      <c r="M210" s="186"/>
      <c r="N210" s="186"/>
      <c r="O210" s="186"/>
      <c r="P210" s="186"/>
      <c r="Q210" s="186"/>
    </row>
    <row r="211" spans="2:17" x14ac:dyDescent="0.35">
      <c r="B211" s="186"/>
      <c r="C211" s="186"/>
      <c r="D211" s="186"/>
      <c r="E211" s="186"/>
      <c r="F211" s="186"/>
      <c r="G211" s="186"/>
      <c r="H211" s="186"/>
      <c r="I211" s="186"/>
      <c r="J211" s="186"/>
      <c r="K211" s="186"/>
      <c r="L211" s="186"/>
      <c r="M211" s="186"/>
      <c r="N211" s="186"/>
      <c r="O211" s="186"/>
      <c r="P211" s="186"/>
      <c r="Q211" s="186"/>
    </row>
    <row r="212" spans="2:17" x14ac:dyDescent="0.35">
      <c r="B212" s="186"/>
      <c r="C212" s="186"/>
      <c r="D212" s="186"/>
      <c r="E212" s="186"/>
      <c r="F212" s="186"/>
      <c r="G212" s="186"/>
      <c r="H212" s="186"/>
      <c r="I212" s="186"/>
      <c r="J212" s="186"/>
      <c r="K212" s="186"/>
      <c r="L212" s="186"/>
      <c r="M212" s="186"/>
      <c r="N212" s="186"/>
      <c r="O212" s="186"/>
      <c r="P212" s="186"/>
      <c r="Q212" s="186"/>
    </row>
    <row r="213" spans="2:17" x14ac:dyDescent="0.35">
      <c r="B213" s="186"/>
      <c r="C213" s="186"/>
      <c r="D213" s="186"/>
      <c r="E213" s="186"/>
      <c r="F213" s="186"/>
      <c r="G213" s="186"/>
      <c r="H213" s="186"/>
      <c r="I213" s="186"/>
      <c r="J213" s="186"/>
      <c r="K213" s="186"/>
      <c r="L213" s="186"/>
      <c r="M213" s="186"/>
      <c r="N213" s="186"/>
      <c r="O213" s="186"/>
      <c r="P213" s="186"/>
      <c r="Q213" s="186"/>
    </row>
    <row r="214" spans="2:17" x14ac:dyDescent="0.35">
      <c r="B214" s="186"/>
      <c r="C214" s="186"/>
      <c r="D214" s="186"/>
      <c r="E214" s="186"/>
      <c r="F214" s="186"/>
      <c r="G214" s="186"/>
      <c r="H214" s="186"/>
      <c r="I214" s="186"/>
      <c r="J214" s="186"/>
      <c r="K214" s="186"/>
      <c r="L214" s="186"/>
      <c r="M214" s="186"/>
      <c r="N214" s="186"/>
      <c r="O214" s="186"/>
      <c r="P214" s="186"/>
      <c r="Q214" s="186"/>
    </row>
    <row r="215" spans="2:17" x14ac:dyDescent="0.35">
      <c r="B215" s="186"/>
      <c r="C215" s="186"/>
      <c r="D215" s="186"/>
      <c r="E215" s="186"/>
      <c r="F215" s="186"/>
      <c r="G215" s="186"/>
      <c r="H215" s="186"/>
      <c r="I215" s="186"/>
      <c r="J215" s="186"/>
      <c r="K215" s="186"/>
      <c r="L215" s="186"/>
      <c r="M215" s="186"/>
      <c r="N215" s="186"/>
      <c r="O215" s="186"/>
      <c r="P215" s="186"/>
      <c r="Q215" s="186"/>
    </row>
    <row r="216" spans="2:17" x14ac:dyDescent="0.35">
      <c r="B216" s="186"/>
      <c r="C216" s="186"/>
      <c r="D216" s="186"/>
      <c r="E216" s="186"/>
      <c r="F216" s="186"/>
      <c r="G216" s="186"/>
      <c r="H216" s="186"/>
      <c r="I216" s="186"/>
      <c r="J216" s="186"/>
      <c r="K216" s="186"/>
      <c r="L216" s="186"/>
      <c r="M216" s="186"/>
      <c r="N216" s="186"/>
      <c r="O216" s="186"/>
      <c r="P216" s="186"/>
      <c r="Q216" s="186"/>
    </row>
    <row r="217" spans="2:17" x14ac:dyDescent="0.35">
      <c r="B217" s="186"/>
      <c r="C217" s="186"/>
      <c r="D217" s="186"/>
      <c r="E217" s="186"/>
      <c r="F217" s="186"/>
      <c r="G217" s="186"/>
      <c r="H217" s="186"/>
      <c r="I217" s="186"/>
      <c r="J217" s="186"/>
      <c r="K217" s="186"/>
      <c r="L217" s="186"/>
      <c r="M217" s="186"/>
      <c r="N217" s="186"/>
      <c r="O217" s="186"/>
      <c r="P217" s="186"/>
      <c r="Q217" s="186"/>
    </row>
    <row r="218" spans="2:17" x14ac:dyDescent="0.35">
      <c r="B218" s="186"/>
      <c r="C218" s="186"/>
      <c r="D218" s="186"/>
      <c r="E218" s="186"/>
      <c r="F218" s="186"/>
      <c r="G218" s="186"/>
      <c r="H218" s="186"/>
      <c r="I218" s="186"/>
      <c r="J218" s="186"/>
      <c r="K218" s="186"/>
      <c r="L218" s="186"/>
      <c r="M218" s="186"/>
      <c r="N218" s="186"/>
      <c r="O218" s="186"/>
      <c r="P218" s="186"/>
      <c r="Q218" s="186"/>
    </row>
    <row r="219" spans="2:17" x14ac:dyDescent="0.35">
      <c r="B219" s="186"/>
      <c r="C219" s="186"/>
      <c r="D219" s="186"/>
      <c r="E219" s="186"/>
      <c r="F219" s="186"/>
      <c r="G219" s="186"/>
      <c r="H219" s="186"/>
      <c r="I219" s="186"/>
      <c r="J219" s="186"/>
      <c r="K219" s="186"/>
      <c r="L219" s="186"/>
      <c r="M219" s="186"/>
      <c r="N219" s="186"/>
      <c r="O219" s="186"/>
      <c r="P219" s="186"/>
      <c r="Q219" s="186"/>
    </row>
    <row r="220" spans="2:17" x14ac:dyDescent="0.35">
      <c r="B220" s="186"/>
      <c r="C220" s="186"/>
      <c r="D220" s="186"/>
      <c r="E220" s="186"/>
      <c r="F220" s="186"/>
      <c r="G220" s="186"/>
      <c r="H220" s="186"/>
      <c r="I220" s="186"/>
      <c r="J220" s="186"/>
      <c r="K220" s="186"/>
      <c r="L220" s="186"/>
      <c r="M220" s="186"/>
      <c r="N220" s="186"/>
      <c r="O220" s="186"/>
      <c r="P220" s="186"/>
      <c r="Q220" s="186"/>
    </row>
    <row r="221" spans="2:17" x14ac:dyDescent="0.35">
      <c r="B221" s="186"/>
      <c r="C221" s="186"/>
      <c r="D221" s="186"/>
      <c r="E221" s="186"/>
      <c r="F221" s="186"/>
      <c r="G221" s="186"/>
      <c r="H221" s="186"/>
      <c r="I221" s="186"/>
      <c r="J221" s="186"/>
      <c r="K221" s="186"/>
      <c r="L221" s="186"/>
      <c r="M221" s="186"/>
      <c r="N221" s="186"/>
      <c r="O221" s="186"/>
      <c r="P221" s="186"/>
      <c r="Q221" s="186"/>
    </row>
    <row r="222" spans="2:17" x14ac:dyDescent="0.35">
      <c r="B222" s="186"/>
      <c r="C222" s="186"/>
      <c r="D222" s="186"/>
      <c r="E222" s="186"/>
      <c r="F222" s="186"/>
      <c r="G222" s="186"/>
      <c r="H222" s="186"/>
      <c r="I222" s="186"/>
      <c r="J222" s="186"/>
      <c r="K222" s="186"/>
      <c r="L222" s="186"/>
      <c r="M222" s="186"/>
      <c r="N222" s="186"/>
      <c r="O222" s="186"/>
      <c r="P222" s="186"/>
      <c r="Q222" s="186"/>
    </row>
    <row r="223" spans="2:17" x14ac:dyDescent="0.35">
      <c r="B223" s="186"/>
      <c r="C223" s="186"/>
      <c r="D223" s="186"/>
      <c r="E223" s="186"/>
      <c r="F223" s="186"/>
      <c r="G223" s="186"/>
      <c r="H223" s="186"/>
      <c r="I223" s="186"/>
      <c r="J223" s="186"/>
      <c r="K223" s="186"/>
      <c r="L223" s="186"/>
      <c r="M223" s="186"/>
      <c r="N223" s="186"/>
      <c r="O223" s="186"/>
      <c r="P223" s="186"/>
      <c r="Q223" s="186"/>
    </row>
    <row r="224" spans="2:17" x14ac:dyDescent="0.35">
      <c r="B224" s="186"/>
      <c r="C224" s="186"/>
      <c r="D224" s="186"/>
      <c r="E224" s="186"/>
      <c r="F224" s="186"/>
      <c r="G224" s="186"/>
      <c r="H224" s="186"/>
      <c r="I224" s="186"/>
      <c r="J224" s="186"/>
      <c r="K224" s="186"/>
      <c r="L224" s="186"/>
      <c r="M224" s="186"/>
      <c r="N224" s="186"/>
      <c r="O224" s="186"/>
      <c r="P224" s="186"/>
      <c r="Q224" s="186"/>
    </row>
    <row r="225" spans="2:17" x14ac:dyDescent="0.35">
      <c r="B225" s="186"/>
      <c r="C225" s="186"/>
      <c r="D225" s="186"/>
      <c r="E225" s="186"/>
      <c r="F225" s="186"/>
      <c r="G225" s="186"/>
      <c r="H225" s="186"/>
      <c r="I225" s="186"/>
      <c r="J225" s="186"/>
      <c r="K225" s="186"/>
      <c r="L225" s="186"/>
      <c r="M225" s="186"/>
      <c r="N225" s="186"/>
      <c r="O225" s="186"/>
      <c r="P225" s="186"/>
      <c r="Q225" s="186"/>
    </row>
    <row r="226" spans="2:17" x14ac:dyDescent="0.35">
      <c r="B226" s="186"/>
      <c r="C226" s="186"/>
      <c r="D226" s="186"/>
      <c r="E226" s="186"/>
      <c r="F226" s="186"/>
      <c r="G226" s="186"/>
      <c r="H226" s="186"/>
      <c r="I226" s="186"/>
      <c r="J226" s="186"/>
      <c r="K226" s="186"/>
      <c r="L226" s="186"/>
      <c r="M226" s="186"/>
      <c r="N226" s="186"/>
      <c r="O226" s="186"/>
      <c r="P226" s="186"/>
      <c r="Q226" s="186"/>
    </row>
    <row r="227" spans="2:17" x14ac:dyDescent="0.35">
      <c r="B227" s="186"/>
      <c r="C227" s="186"/>
      <c r="D227" s="186"/>
      <c r="E227" s="186"/>
      <c r="F227" s="186"/>
      <c r="G227" s="186"/>
      <c r="H227" s="186"/>
      <c r="I227" s="186"/>
      <c r="J227" s="186"/>
      <c r="K227" s="186"/>
      <c r="L227" s="186"/>
      <c r="M227" s="186"/>
      <c r="N227" s="186"/>
      <c r="O227" s="186"/>
      <c r="P227" s="186"/>
      <c r="Q227" s="186"/>
    </row>
    <row r="228" spans="2:17" x14ac:dyDescent="0.35">
      <c r="B228" s="186"/>
      <c r="C228" s="186"/>
      <c r="D228" s="186"/>
      <c r="E228" s="186"/>
      <c r="F228" s="186"/>
      <c r="G228" s="186"/>
      <c r="H228" s="186"/>
      <c r="I228" s="186"/>
      <c r="J228" s="186"/>
      <c r="K228" s="186"/>
      <c r="L228" s="186"/>
      <c r="M228" s="186"/>
      <c r="N228" s="186"/>
      <c r="O228" s="186"/>
      <c r="P228" s="186"/>
      <c r="Q228" s="186"/>
    </row>
    <row r="229" spans="2:17" x14ac:dyDescent="0.35">
      <c r="B229" s="186"/>
      <c r="C229" s="186"/>
      <c r="D229" s="186"/>
      <c r="E229" s="186"/>
      <c r="F229" s="186"/>
      <c r="G229" s="186"/>
      <c r="H229" s="186"/>
      <c r="I229" s="186"/>
      <c r="J229" s="186"/>
      <c r="K229" s="186"/>
      <c r="L229" s="186"/>
      <c r="M229" s="186"/>
      <c r="N229" s="186"/>
      <c r="O229" s="186"/>
      <c r="P229" s="186"/>
      <c r="Q229" s="186"/>
    </row>
    <row r="230" spans="2:17" x14ac:dyDescent="0.35">
      <c r="B230" s="186"/>
      <c r="C230" s="186"/>
      <c r="D230" s="186"/>
      <c r="E230" s="186"/>
      <c r="F230" s="186"/>
      <c r="G230" s="186"/>
      <c r="H230" s="186"/>
      <c r="I230" s="186"/>
      <c r="J230" s="186"/>
      <c r="K230" s="186"/>
      <c r="L230" s="186"/>
      <c r="M230" s="186"/>
      <c r="N230" s="186"/>
      <c r="O230" s="186"/>
      <c r="P230" s="186"/>
      <c r="Q230" s="186"/>
    </row>
    <row r="231" spans="2:17" x14ac:dyDescent="0.35">
      <c r="B231" s="186"/>
      <c r="C231" s="186"/>
      <c r="D231" s="186"/>
      <c r="E231" s="186"/>
      <c r="F231" s="186"/>
      <c r="G231" s="186"/>
      <c r="H231" s="186"/>
      <c r="I231" s="186"/>
      <c r="J231" s="186"/>
      <c r="K231" s="186"/>
      <c r="L231" s="186"/>
      <c r="M231" s="186"/>
      <c r="N231" s="186"/>
      <c r="O231" s="186"/>
      <c r="P231" s="186"/>
      <c r="Q231" s="186"/>
    </row>
    <row r="232" spans="2:17" x14ac:dyDescent="0.35">
      <c r="B232" s="186"/>
      <c r="C232" s="186"/>
      <c r="D232" s="186"/>
      <c r="E232" s="186"/>
      <c r="F232" s="186"/>
      <c r="G232" s="186"/>
      <c r="H232" s="186"/>
      <c r="I232" s="186"/>
      <c r="J232" s="186"/>
      <c r="K232" s="186"/>
      <c r="L232" s="186"/>
      <c r="M232" s="186"/>
      <c r="N232" s="186"/>
      <c r="O232" s="186"/>
      <c r="P232" s="186"/>
      <c r="Q232" s="186"/>
    </row>
    <row r="233" spans="2:17" x14ac:dyDescent="0.35">
      <c r="B233" s="186"/>
      <c r="C233" s="186"/>
      <c r="D233" s="186"/>
      <c r="E233" s="186"/>
      <c r="F233" s="186"/>
      <c r="G233" s="186"/>
      <c r="H233" s="186"/>
      <c r="I233" s="186"/>
      <c r="J233" s="186"/>
      <c r="K233" s="186"/>
      <c r="L233" s="186"/>
      <c r="M233" s="186"/>
      <c r="N233" s="186"/>
      <c r="O233" s="186"/>
      <c r="P233" s="186"/>
      <c r="Q233" s="186"/>
    </row>
    <row r="234" spans="2:17" x14ac:dyDescent="0.35">
      <c r="B234" s="186"/>
      <c r="C234" s="186"/>
      <c r="D234" s="186"/>
      <c r="E234" s="186"/>
      <c r="F234" s="186"/>
      <c r="G234" s="186"/>
      <c r="H234" s="186"/>
      <c r="I234" s="186"/>
      <c r="J234" s="186"/>
      <c r="K234" s="186"/>
      <c r="L234" s="186"/>
      <c r="M234" s="186"/>
      <c r="N234" s="186"/>
      <c r="O234" s="186"/>
      <c r="P234" s="186"/>
      <c r="Q234" s="186"/>
    </row>
    <row r="235" spans="2:17" x14ac:dyDescent="0.35">
      <c r="B235" s="186"/>
      <c r="C235" s="186"/>
      <c r="D235" s="186"/>
      <c r="E235" s="186"/>
      <c r="F235" s="186"/>
      <c r="G235" s="186"/>
      <c r="H235" s="186"/>
      <c r="I235" s="186"/>
      <c r="J235" s="186"/>
      <c r="K235" s="186"/>
      <c r="L235" s="186"/>
      <c r="M235" s="186"/>
      <c r="N235" s="186"/>
      <c r="O235" s="186"/>
      <c r="P235" s="186"/>
      <c r="Q235" s="186"/>
    </row>
    <row r="236" spans="2:17" x14ac:dyDescent="0.35">
      <c r="B236" s="186"/>
      <c r="C236" s="186"/>
      <c r="D236" s="186"/>
      <c r="E236" s="186"/>
      <c r="F236" s="186"/>
      <c r="G236" s="186"/>
      <c r="H236" s="186"/>
      <c r="I236" s="186"/>
      <c r="J236" s="186"/>
      <c r="K236" s="186"/>
      <c r="L236" s="186"/>
      <c r="M236" s="186"/>
      <c r="N236" s="186"/>
      <c r="O236" s="186"/>
      <c r="P236" s="186"/>
      <c r="Q236" s="186"/>
    </row>
    <row r="237" spans="2:17" x14ac:dyDescent="0.35">
      <c r="B237" s="186"/>
      <c r="C237" s="186"/>
      <c r="D237" s="186"/>
      <c r="E237" s="186"/>
      <c r="F237" s="186"/>
      <c r="G237" s="186"/>
      <c r="H237" s="186"/>
      <c r="I237" s="186"/>
      <c r="J237" s="186"/>
      <c r="K237" s="186"/>
      <c r="L237" s="186"/>
      <c r="M237" s="186"/>
      <c r="N237" s="186"/>
      <c r="O237" s="186"/>
      <c r="P237" s="186"/>
      <c r="Q237" s="186"/>
    </row>
    <row r="238" spans="2:17" x14ac:dyDescent="0.35">
      <c r="B238" s="186"/>
      <c r="C238" s="186"/>
      <c r="D238" s="186"/>
      <c r="E238" s="186"/>
      <c r="F238" s="186"/>
      <c r="G238" s="186"/>
      <c r="H238" s="186"/>
      <c r="I238" s="186"/>
      <c r="J238" s="186"/>
      <c r="K238" s="186"/>
      <c r="L238" s="186"/>
      <c r="M238" s="186"/>
      <c r="N238" s="186"/>
      <c r="O238" s="186"/>
      <c r="P238" s="186"/>
      <c r="Q238" s="186"/>
    </row>
    <row r="239" spans="2:17" x14ac:dyDescent="0.35">
      <c r="B239" s="186"/>
      <c r="C239" s="186"/>
      <c r="D239" s="186"/>
      <c r="E239" s="186"/>
      <c r="F239" s="186"/>
      <c r="G239" s="186"/>
      <c r="H239" s="186"/>
      <c r="I239" s="186"/>
      <c r="J239" s="186"/>
      <c r="K239" s="186"/>
      <c r="L239" s="186"/>
      <c r="M239" s="186"/>
      <c r="N239" s="186"/>
      <c r="O239" s="186"/>
      <c r="P239" s="186"/>
      <c r="Q239" s="186"/>
    </row>
    <row r="240" spans="2:17" x14ac:dyDescent="0.35">
      <c r="B240" s="186"/>
      <c r="C240" s="186"/>
      <c r="D240" s="186"/>
      <c r="E240" s="186"/>
      <c r="F240" s="186"/>
      <c r="G240" s="186"/>
      <c r="H240" s="186"/>
      <c r="I240" s="186"/>
      <c r="J240" s="186"/>
      <c r="K240" s="186"/>
      <c r="L240" s="186"/>
      <c r="M240" s="186"/>
      <c r="N240" s="186"/>
      <c r="O240" s="186"/>
      <c r="P240" s="186"/>
      <c r="Q240" s="186"/>
    </row>
    <row r="241" spans="2:17" x14ac:dyDescent="0.35">
      <c r="B241" s="186"/>
      <c r="C241" s="186"/>
      <c r="D241" s="186"/>
      <c r="E241" s="186"/>
      <c r="F241" s="186"/>
      <c r="G241" s="186"/>
      <c r="H241" s="186"/>
      <c r="I241" s="186"/>
      <c r="J241" s="186"/>
      <c r="K241" s="186"/>
      <c r="L241" s="186"/>
      <c r="M241" s="186"/>
      <c r="N241" s="186"/>
      <c r="O241" s="186"/>
      <c r="P241" s="186"/>
      <c r="Q241" s="186"/>
    </row>
    <row r="242" spans="2:17" x14ac:dyDescent="0.35">
      <c r="B242" s="186"/>
      <c r="C242" s="186"/>
      <c r="D242" s="186"/>
      <c r="E242" s="186"/>
      <c r="F242" s="186"/>
      <c r="G242" s="186"/>
      <c r="H242" s="186"/>
      <c r="I242" s="186"/>
      <c r="J242" s="186"/>
      <c r="K242" s="186"/>
      <c r="L242" s="186"/>
      <c r="M242" s="186"/>
      <c r="N242" s="186"/>
      <c r="O242" s="186"/>
      <c r="P242" s="186"/>
      <c r="Q242" s="186"/>
    </row>
    <row r="243" spans="2:17" x14ac:dyDescent="0.35">
      <c r="B243" s="186"/>
      <c r="C243" s="186"/>
      <c r="D243" s="186"/>
      <c r="E243" s="186"/>
      <c r="F243" s="186"/>
      <c r="G243" s="186"/>
      <c r="H243" s="186"/>
      <c r="I243" s="186"/>
      <c r="J243" s="186"/>
      <c r="K243" s="186"/>
      <c r="L243" s="186"/>
      <c r="M243" s="186"/>
      <c r="N243" s="186"/>
      <c r="O243" s="186"/>
      <c r="P243" s="186"/>
      <c r="Q243" s="186"/>
    </row>
    <row r="244" spans="2:17" x14ac:dyDescent="0.35">
      <c r="B244" s="186"/>
      <c r="C244" s="186"/>
      <c r="D244" s="186"/>
      <c r="E244" s="186"/>
      <c r="F244" s="186"/>
      <c r="G244" s="186"/>
      <c r="H244" s="186"/>
      <c r="I244" s="186"/>
      <c r="J244" s="186"/>
      <c r="K244" s="186"/>
      <c r="L244" s="186"/>
      <c r="M244" s="186"/>
      <c r="N244" s="186"/>
      <c r="O244" s="186"/>
      <c r="P244" s="186"/>
      <c r="Q244" s="186"/>
    </row>
    <row r="245" spans="2:17" x14ac:dyDescent="0.35">
      <c r="B245" s="186"/>
      <c r="C245" s="186"/>
      <c r="D245" s="186"/>
      <c r="E245" s="186"/>
      <c r="F245" s="186"/>
      <c r="G245" s="186"/>
      <c r="H245" s="186"/>
      <c r="I245" s="186"/>
      <c r="J245" s="186"/>
      <c r="K245" s="186"/>
      <c r="L245" s="186"/>
      <c r="M245" s="186"/>
      <c r="N245" s="186"/>
      <c r="O245" s="186"/>
      <c r="P245" s="186"/>
      <c r="Q245" s="186"/>
    </row>
    <row r="246" spans="2:17" x14ac:dyDescent="0.35">
      <c r="B246" s="186"/>
      <c r="C246" s="186"/>
      <c r="D246" s="186"/>
      <c r="E246" s="186"/>
      <c r="F246" s="186"/>
      <c r="G246" s="186"/>
      <c r="H246" s="186"/>
      <c r="I246" s="186"/>
      <c r="J246" s="186"/>
      <c r="K246" s="186"/>
      <c r="L246" s="186"/>
      <c r="M246" s="186"/>
      <c r="N246" s="186"/>
      <c r="O246" s="186"/>
      <c r="P246" s="186"/>
      <c r="Q246" s="186"/>
    </row>
    <row r="247" spans="2:17" x14ac:dyDescent="0.35">
      <c r="B247" s="186"/>
      <c r="C247" s="186"/>
      <c r="D247" s="186"/>
      <c r="E247" s="186"/>
      <c r="F247" s="186"/>
      <c r="G247" s="186"/>
      <c r="H247" s="186"/>
      <c r="I247" s="186"/>
      <c r="J247" s="186"/>
      <c r="K247" s="186"/>
      <c r="L247" s="186"/>
      <c r="M247" s="186"/>
      <c r="N247" s="186"/>
      <c r="O247" s="186"/>
      <c r="P247" s="186"/>
      <c r="Q247" s="186"/>
    </row>
    <row r="248" spans="2:17" x14ac:dyDescent="0.35">
      <c r="B248" s="186"/>
      <c r="C248" s="186"/>
      <c r="D248" s="186"/>
      <c r="E248" s="186"/>
      <c r="F248" s="186"/>
      <c r="G248" s="186"/>
      <c r="H248" s="186"/>
      <c r="I248" s="186"/>
      <c r="J248" s="186"/>
      <c r="K248" s="186"/>
      <c r="L248" s="186"/>
      <c r="M248" s="186"/>
      <c r="N248" s="186"/>
      <c r="O248" s="186"/>
      <c r="P248" s="186"/>
      <c r="Q248" s="186"/>
    </row>
    <row r="249" spans="2:17" x14ac:dyDescent="0.35">
      <c r="B249" s="186"/>
      <c r="C249" s="186"/>
      <c r="D249" s="186"/>
      <c r="E249" s="186"/>
      <c r="F249" s="186"/>
      <c r="G249" s="186"/>
      <c r="H249" s="186"/>
      <c r="I249" s="186"/>
      <c r="J249" s="186"/>
      <c r="K249" s="186"/>
      <c r="L249" s="186"/>
      <c r="M249" s="186"/>
      <c r="N249" s="186"/>
      <c r="O249" s="186"/>
      <c r="P249" s="186"/>
      <c r="Q249" s="186"/>
    </row>
    <row r="250" spans="2:17" x14ac:dyDescent="0.35">
      <c r="B250" s="186"/>
      <c r="C250" s="186"/>
      <c r="D250" s="186"/>
      <c r="E250" s="186"/>
      <c r="F250" s="186"/>
      <c r="G250" s="186"/>
      <c r="H250" s="186"/>
      <c r="I250" s="186"/>
      <c r="J250" s="186"/>
      <c r="K250" s="186"/>
      <c r="L250" s="186"/>
      <c r="M250" s="186"/>
      <c r="N250" s="186"/>
      <c r="O250" s="186"/>
      <c r="P250" s="186"/>
      <c r="Q250" s="186"/>
    </row>
    <row r="251" spans="2:17" x14ac:dyDescent="0.35">
      <c r="B251" s="186"/>
      <c r="C251" s="186"/>
      <c r="D251" s="186"/>
      <c r="E251" s="186"/>
      <c r="F251" s="186"/>
      <c r="G251" s="186"/>
      <c r="H251" s="186"/>
      <c r="I251" s="186"/>
      <c r="J251" s="186"/>
      <c r="K251" s="186"/>
      <c r="L251" s="186"/>
      <c r="M251" s="186"/>
      <c r="N251" s="186"/>
      <c r="O251" s="186"/>
      <c r="P251" s="186"/>
      <c r="Q251" s="186"/>
    </row>
    <row r="252" spans="2:17" x14ac:dyDescent="0.35">
      <c r="B252" s="186"/>
      <c r="C252" s="186"/>
      <c r="D252" s="186"/>
      <c r="E252" s="186"/>
      <c r="F252" s="186"/>
      <c r="G252" s="186"/>
      <c r="H252" s="186"/>
      <c r="I252" s="186"/>
      <c r="J252" s="186"/>
      <c r="K252" s="186"/>
      <c r="L252" s="186"/>
      <c r="M252" s="186"/>
      <c r="N252" s="186"/>
      <c r="O252" s="186"/>
      <c r="P252" s="186"/>
      <c r="Q252" s="186"/>
    </row>
    <row r="253" spans="2:17" x14ac:dyDescent="0.35">
      <c r="B253" s="186"/>
      <c r="C253" s="186"/>
      <c r="D253" s="186"/>
      <c r="E253" s="186"/>
      <c r="F253" s="186"/>
      <c r="G253" s="186"/>
      <c r="H253" s="186"/>
      <c r="I253" s="186"/>
      <c r="J253" s="186"/>
      <c r="K253" s="186"/>
      <c r="L253" s="186"/>
      <c r="M253" s="186"/>
      <c r="N253" s="186"/>
      <c r="O253" s="186"/>
      <c r="P253" s="186"/>
      <c r="Q253" s="186"/>
    </row>
    <row r="254" spans="2:17" x14ac:dyDescent="0.35">
      <c r="B254" s="186"/>
      <c r="C254" s="186"/>
      <c r="D254" s="186"/>
      <c r="E254" s="186"/>
      <c r="F254" s="186"/>
      <c r="G254" s="186"/>
      <c r="H254" s="186"/>
      <c r="I254" s="186"/>
      <c r="J254" s="186"/>
      <c r="K254" s="186"/>
      <c r="L254" s="186"/>
      <c r="M254" s="186"/>
      <c r="N254" s="186"/>
      <c r="O254" s="186"/>
      <c r="P254" s="186"/>
      <c r="Q254" s="186"/>
    </row>
    <row r="255" spans="2:17" x14ac:dyDescent="0.35">
      <c r="B255" s="186"/>
      <c r="C255" s="186"/>
      <c r="D255" s="186"/>
      <c r="E255" s="186"/>
      <c r="F255" s="186"/>
      <c r="G255" s="186"/>
      <c r="H255" s="186"/>
      <c r="I255" s="186"/>
      <c r="J255" s="186"/>
      <c r="K255" s="186"/>
      <c r="L255" s="186"/>
      <c r="M255" s="186"/>
      <c r="N255" s="186"/>
      <c r="O255" s="186"/>
      <c r="P255" s="186"/>
      <c r="Q255" s="186"/>
    </row>
    <row r="256" spans="2:17" x14ac:dyDescent="0.35">
      <c r="B256" s="186"/>
      <c r="C256" s="186"/>
      <c r="D256" s="186"/>
      <c r="E256" s="186"/>
      <c r="F256" s="186"/>
      <c r="G256" s="186"/>
      <c r="H256" s="186"/>
      <c r="I256" s="186"/>
      <c r="J256" s="186"/>
      <c r="K256" s="186"/>
      <c r="L256" s="186"/>
      <c r="M256" s="186"/>
      <c r="N256" s="186"/>
      <c r="O256" s="186"/>
      <c r="P256" s="186"/>
      <c r="Q256" s="186"/>
    </row>
    <row r="257" spans="2:17" x14ac:dyDescent="0.35">
      <c r="B257" s="186"/>
      <c r="C257" s="186"/>
      <c r="D257" s="186"/>
      <c r="E257" s="186"/>
      <c r="F257" s="186"/>
      <c r="G257" s="186"/>
      <c r="H257" s="186"/>
      <c r="I257" s="186"/>
      <c r="J257" s="186"/>
      <c r="K257" s="186"/>
      <c r="L257" s="186"/>
      <c r="M257" s="186"/>
      <c r="N257" s="186"/>
      <c r="O257" s="186"/>
      <c r="P257" s="186"/>
      <c r="Q257" s="186"/>
    </row>
    <row r="258" spans="2:17" x14ac:dyDescent="0.35">
      <c r="B258" s="186"/>
      <c r="C258" s="186"/>
      <c r="D258" s="186"/>
      <c r="E258" s="186"/>
      <c r="F258" s="186"/>
      <c r="G258" s="186"/>
      <c r="H258" s="186"/>
      <c r="I258" s="186"/>
      <c r="J258" s="186"/>
      <c r="K258" s="186"/>
      <c r="L258" s="186"/>
      <c r="M258" s="186"/>
      <c r="N258" s="186"/>
      <c r="O258" s="186"/>
      <c r="P258" s="186"/>
      <c r="Q258" s="186"/>
    </row>
    <row r="259" spans="2:17" x14ac:dyDescent="0.35">
      <c r="B259" s="186"/>
      <c r="C259" s="186"/>
      <c r="D259" s="186"/>
      <c r="E259" s="186"/>
      <c r="F259" s="186"/>
      <c r="G259" s="186"/>
      <c r="H259" s="186"/>
      <c r="I259" s="186"/>
      <c r="J259" s="186"/>
      <c r="K259" s="186"/>
      <c r="L259" s="186"/>
      <c r="M259" s="186"/>
      <c r="N259" s="186"/>
      <c r="O259" s="186"/>
      <c r="P259" s="186"/>
      <c r="Q259" s="186"/>
    </row>
    <row r="260" spans="2:17" x14ac:dyDescent="0.35">
      <c r="B260" s="186"/>
      <c r="C260" s="186"/>
      <c r="D260" s="186"/>
      <c r="E260" s="186"/>
      <c r="F260" s="186"/>
      <c r="G260" s="186"/>
      <c r="H260" s="186"/>
      <c r="I260" s="186"/>
      <c r="J260" s="186"/>
      <c r="K260" s="186"/>
      <c r="L260" s="186"/>
      <c r="M260" s="186"/>
      <c r="N260" s="186"/>
      <c r="O260" s="186"/>
      <c r="P260" s="186"/>
      <c r="Q260" s="186"/>
    </row>
    <row r="261" spans="2:17" x14ac:dyDescent="0.35">
      <c r="B261" s="186"/>
      <c r="C261" s="186"/>
      <c r="D261" s="186"/>
      <c r="E261" s="186"/>
      <c r="F261" s="186"/>
      <c r="G261" s="186"/>
      <c r="H261" s="186"/>
      <c r="I261" s="186"/>
      <c r="J261" s="186"/>
      <c r="K261" s="186"/>
      <c r="L261" s="186"/>
      <c r="M261" s="186"/>
      <c r="N261" s="186"/>
      <c r="O261" s="186"/>
      <c r="P261" s="186"/>
      <c r="Q261" s="186"/>
    </row>
    <row r="262" spans="2:17" x14ac:dyDescent="0.35">
      <c r="B262" s="186"/>
      <c r="C262" s="186"/>
      <c r="D262" s="186"/>
      <c r="E262" s="186"/>
      <c r="F262" s="186"/>
      <c r="G262" s="186"/>
      <c r="H262" s="186"/>
      <c r="I262" s="186"/>
      <c r="J262" s="186"/>
      <c r="K262" s="186"/>
      <c r="L262" s="186"/>
      <c r="M262" s="186"/>
      <c r="N262" s="186"/>
      <c r="O262" s="186"/>
      <c r="P262" s="186"/>
      <c r="Q262" s="186"/>
    </row>
    <row r="263" spans="2:17" x14ac:dyDescent="0.35">
      <c r="B263" s="186"/>
      <c r="C263" s="186"/>
      <c r="D263" s="186"/>
      <c r="E263" s="186"/>
      <c r="F263" s="186"/>
      <c r="G263" s="186"/>
      <c r="H263" s="186"/>
      <c r="I263" s="186"/>
      <c r="J263" s="186"/>
      <c r="K263" s="186"/>
      <c r="L263" s="186"/>
      <c r="M263" s="186"/>
      <c r="N263" s="186"/>
      <c r="O263" s="186"/>
      <c r="P263" s="186"/>
      <c r="Q263" s="186"/>
    </row>
    <row r="264" spans="2:17" x14ac:dyDescent="0.35">
      <c r="B264" s="186"/>
      <c r="C264" s="186"/>
      <c r="D264" s="186"/>
      <c r="E264" s="186"/>
      <c r="F264" s="186"/>
      <c r="G264" s="186"/>
      <c r="H264" s="186"/>
      <c r="I264" s="186"/>
      <c r="J264" s="186"/>
      <c r="K264" s="186"/>
      <c r="L264" s="186"/>
      <c r="M264" s="186"/>
      <c r="N264" s="186"/>
      <c r="O264" s="186"/>
      <c r="P264" s="186"/>
      <c r="Q264" s="186"/>
    </row>
    <row r="265" spans="2:17" x14ac:dyDescent="0.35">
      <c r="B265" s="186"/>
      <c r="C265" s="186"/>
      <c r="D265" s="186"/>
      <c r="E265" s="186"/>
      <c r="F265" s="186"/>
      <c r="G265" s="186"/>
      <c r="H265" s="186"/>
      <c r="I265" s="186"/>
      <c r="J265" s="186"/>
      <c r="K265" s="186"/>
      <c r="L265" s="186"/>
      <c r="M265" s="186"/>
      <c r="N265" s="186"/>
      <c r="O265" s="186"/>
      <c r="P265" s="186"/>
      <c r="Q265" s="186"/>
    </row>
    <row r="266" spans="2:17" x14ac:dyDescent="0.35">
      <c r="B266" s="186"/>
      <c r="C266" s="186"/>
      <c r="D266" s="186"/>
      <c r="E266" s="186"/>
      <c r="F266" s="186"/>
      <c r="G266" s="186"/>
      <c r="H266" s="186"/>
      <c r="I266" s="186"/>
      <c r="J266" s="186"/>
      <c r="K266" s="186"/>
      <c r="L266" s="186"/>
      <c r="M266" s="186"/>
      <c r="N266" s="186"/>
      <c r="O266" s="186"/>
      <c r="P266" s="186"/>
      <c r="Q266" s="186"/>
    </row>
    <row r="267" spans="2:17" x14ac:dyDescent="0.35">
      <c r="B267" s="186"/>
      <c r="C267" s="186"/>
      <c r="D267" s="186"/>
      <c r="E267" s="186"/>
      <c r="F267" s="186"/>
      <c r="G267" s="186"/>
      <c r="H267" s="186"/>
      <c r="I267" s="186"/>
      <c r="J267" s="186"/>
      <c r="K267" s="186"/>
      <c r="L267" s="186"/>
      <c r="M267" s="186"/>
      <c r="N267" s="186"/>
      <c r="O267" s="186"/>
      <c r="P267" s="186"/>
      <c r="Q267" s="186"/>
    </row>
    <row r="268" spans="2:17" x14ac:dyDescent="0.35">
      <c r="B268" s="186"/>
      <c r="C268" s="186"/>
      <c r="D268" s="186"/>
      <c r="E268" s="186"/>
      <c r="F268" s="186"/>
      <c r="G268" s="186"/>
      <c r="H268" s="186"/>
      <c r="I268" s="186"/>
      <c r="J268" s="186"/>
      <c r="K268" s="186"/>
      <c r="L268" s="186"/>
      <c r="M268" s="186"/>
      <c r="N268" s="186"/>
      <c r="O268" s="186"/>
      <c r="P268" s="186"/>
      <c r="Q268" s="186"/>
    </row>
    <row r="269" spans="2:17" x14ac:dyDescent="0.35">
      <c r="B269" s="186"/>
      <c r="C269" s="186"/>
      <c r="D269" s="186"/>
      <c r="E269" s="186"/>
      <c r="F269" s="186"/>
      <c r="G269" s="186"/>
      <c r="H269" s="186"/>
      <c r="I269" s="186"/>
      <c r="J269" s="186"/>
      <c r="K269" s="186"/>
      <c r="L269" s="186"/>
      <c r="M269" s="186"/>
      <c r="N269" s="186"/>
      <c r="O269" s="186"/>
      <c r="P269" s="186"/>
      <c r="Q269" s="186"/>
    </row>
    <row r="270" spans="2:17" x14ac:dyDescent="0.35">
      <c r="B270" s="186"/>
      <c r="C270" s="186"/>
      <c r="D270" s="186"/>
      <c r="E270" s="186"/>
      <c r="F270" s="186"/>
      <c r="G270" s="186"/>
      <c r="H270" s="186"/>
      <c r="I270" s="186"/>
      <c r="J270" s="186"/>
      <c r="K270" s="186"/>
      <c r="L270" s="186"/>
      <c r="M270" s="186"/>
      <c r="N270" s="186"/>
      <c r="O270" s="186"/>
      <c r="P270" s="186"/>
      <c r="Q270" s="186"/>
    </row>
    <row r="271" spans="2:17" x14ac:dyDescent="0.35">
      <c r="B271" s="186"/>
      <c r="C271" s="186"/>
      <c r="D271" s="186"/>
      <c r="E271" s="186"/>
      <c r="F271" s="186"/>
      <c r="G271" s="186"/>
      <c r="H271" s="186"/>
      <c r="I271" s="186"/>
      <c r="J271" s="186"/>
      <c r="K271" s="186"/>
      <c r="L271" s="186"/>
      <c r="M271" s="186"/>
      <c r="N271" s="186"/>
      <c r="O271" s="186"/>
      <c r="P271" s="186"/>
      <c r="Q271" s="186"/>
    </row>
    <row r="272" spans="2:17" x14ac:dyDescent="0.35">
      <c r="B272" s="186"/>
      <c r="C272" s="186"/>
      <c r="D272" s="186"/>
      <c r="E272" s="186"/>
      <c r="F272" s="186"/>
      <c r="G272" s="186"/>
      <c r="H272" s="186"/>
      <c r="I272" s="186"/>
      <c r="J272" s="186"/>
      <c r="K272" s="186"/>
      <c r="L272" s="186"/>
      <c r="M272" s="186"/>
      <c r="N272" s="186"/>
      <c r="O272" s="186"/>
      <c r="P272" s="186"/>
      <c r="Q272" s="186"/>
    </row>
    <row r="273" spans="2:17" x14ac:dyDescent="0.35">
      <c r="B273" s="186"/>
      <c r="C273" s="186"/>
      <c r="D273" s="186"/>
      <c r="E273" s="186"/>
      <c r="F273" s="186"/>
      <c r="G273" s="186"/>
      <c r="H273" s="186"/>
      <c r="I273" s="186"/>
      <c r="J273" s="186"/>
      <c r="K273" s="186"/>
      <c r="L273" s="186"/>
      <c r="M273" s="186"/>
      <c r="N273" s="186"/>
      <c r="O273" s="186"/>
      <c r="P273" s="186"/>
      <c r="Q273" s="186"/>
    </row>
    <row r="274" spans="2:17" x14ac:dyDescent="0.35">
      <c r="B274" s="186"/>
      <c r="C274" s="186"/>
      <c r="D274" s="186"/>
      <c r="E274" s="186"/>
      <c r="F274" s="186"/>
      <c r="G274" s="186"/>
      <c r="H274" s="186"/>
      <c r="I274" s="186"/>
      <c r="J274" s="186"/>
      <c r="K274" s="186"/>
      <c r="L274" s="186"/>
      <c r="M274" s="186"/>
      <c r="N274" s="186"/>
      <c r="O274" s="186"/>
      <c r="P274" s="186"/>
      <c r="Q274" s="186"/>
    </row>
    <row r="275" spans="2:17" x14ac:dyDescent="0.35">
      <c r="B275" s="186"/>
      <c r="C275" s="186"/>
      <c r="D275" s="186"/>
      <c r="E275" s="186"/>
      <c r="F275" s="186"/>
      <c r="G275" s="186"/>
      <c r="H275" s="186"/>
      <c r="I275" s="186"/>
      <c r="J275" s="186"/>
      <c r="K275" s="186"/>
      <c r="L275" s="186"/>
      <c r="M275" s="186"/>
      <c r="N275" s="186"/>
      <c r="O275" s="186"/>
      <c r="P275" s="186"/>
      <c r="Q275" s="186"/>
    </row>
    <row r="276" spans="2:17" x14ac:dyDescent="0.35">
      <c r="B276" s="186"/>
      <c r="C276" s="186"/>
      <c r="D276" s="186"/>
      <c r="E276" s="186"/>
      <c r="F276" s="186"/>
      <c r="G276" s="186"/>
      <c r="H276" s="186"/>
      <c r="I276" s="186"/>
      <c r="J276" s="186"/>
      <c r="K276" s="186"/>
      <c r="L276" s="186"/>
      <c r="M276" s="186"/>
      <c r="N276" s="186"/>
      <c r="O276" s="186"/>
      <c r="P276" s="186"/>
      <c r="Q276" s="186"/>
    </row>
    <row r="277" spans="2:17" x14ac:dyDescent="0.35">
      <c r="B277" s="186"/>
      <c r="C277" s="186"/>
      <c r="D277" s="186"/>
      <c r="E277" s="186"/>
      <c r="F277" s="186"/>
      <c r="G277" s="186"/>
      <c r="H277" s="186"/>
      <c r="I277" s="186"/>
      <c r="J277" s="186"/>
      <c r="K277" s="186"/>
      <c r="L277" s="186"/>
      <c r="M277" s="186"/>
      <c r="N277" s="186"/>
      <c r="O277" s="186"/>
      <c r="P277" s="186"/>
      <c r="Q277" s="186"/>
    </row>
    <row r="278" spans="2:17" x14ac:dyDescent="0.35">
      <c r="B278" s="186"/>
      <c r="C278" s="186"/>
      <c r="D278" s="186"/>
      <c r="E278" s="186"/>
      <c r="F278" s="186"/>
      <c r="G278" s="186"/>
      <c r="H278" s="186"/>
      <c r="I278" s="186"/>
      <c r="J278" s="186"/>
      <c r="K278" s="186"/>
      <c r="L278" s="186"/>
      <c r="M278" s="186"/>
      <c r="N278" s="186"/>
      <c r="O278" s="186"/>
      <c r="P278" s="186"/>
      <c r="Q278" s="186"/>
    </row>
    <row r="279" spans="2:17" x14ac:dyDescent="0.35">
      <c r="B279" s="186"/>
      <c r="C279" s="186"/>
      <c r="D279" s="186"/>
      <c r="E279" s="186"/>
      <c r="F279" s="186"/>
      <c r="G279" s="186"/>
      <c r="H279" s="186"/>
      <c r="I279" s="186"/>
      <c r="J279" s="186"/>
      <c r="K279" s="186"/>
      <c r="L279" s="186"/>
      <c r="M279" s="186"/>
      <c r="N279" s="186"/>
      <c r="O279" s="186"/>
      <c r="P279" s="186"/>
      <c r="Q279" s="186"/>
    </row>
    <row r="280" spans="2:17" x14ac:dyDescent="0.35">
      <c r="B280" s="186"/>
      <c r="C280" s="186"/>
      <c r="D280" s="186"/>
      <c r="E280" s="186"/>
      <c r="F280" s="186"/>
      <c r="G280" s="186"/>
      <c r="H280" s="186"/>
      <c r="I280" s="186"/>
      <c r="J280" s="186"/>
      <c r="K280" s="186"/>
      <c r="L280" s="186"/>
      <c r="M280" s="186"/>
      <c r="N280" s="186"/>
      <c r="O280" s="186"/>
      <c r="P280" s="186"/>
      <c r="Q280" s="186"/>
    </row>
    <row r="281" spans="2:17" x14ac:dyDescent="0.35">
      <c r="B281" s="186"/>
      <c r="C281" s="186"/>
      <c r="D281" s="186"/>
      <c r="E281" s="186"/>
      <c r="F281" s="186"/>
      <c r="G281" s="186"/>
      <c r="H281" s="186"/>
      <c r="I281" s="186"/>
      <c r="J281" s="186"/>
      <c r="K281" s="186"/>
      <c r="L281" s="186"/>
      <c r="M281" s="186"/>
      <c r="N281" s="186"/>
      <c r="O281" s="186"/>
      <c r="P281" s="186"/>
      <c r="Q281" s="186"/>
    </row>
    <row r="282" spans="2:17" x14ac:dyDescent="0.35">
      <c r="B282" s="186"/>
      <c r="C282" s="186"/>
      <c r="D282" s="186"/>
      <c r="E282" s="186"/>
      <c r="F282" s="186"/>
      <c r="G282" s="186"/>
      <c r="H282" s="186"/>
      <c r="I282" s="186"/>
      <c r="J282" s="186"/>
      <c r="K282" s="186"/>
      <c r="L282" s="186"/>
      <c r="M282" s="186"/>
      <c r="N282" s="186"/>
      <c r="O282" s="186"/>
      <c r="P282" s="186"/>
      <c r="Q282" s="186"/>
    </row>
    <row r="283" spans="2:17" x14ac:dyDescent="0.35">
      <c r="B283" s="186"/>
      <c r="C283" s="186"/>
      <c r="D283" s="186"/>
      <c r="E283" s="186"/>
      <c r="F283" s="186"/>
      <c r="G283" s="186"/>
      <c r="H283" s="186"/>
      <c r="I283" s="186"/>
      <c r="J283" s="186"/>
      <c r="K283" s="186"/>
      <c r="L283" s="186"/>
      <c r="M283" s="186"/>
      <c r="N283" s="186"/>
      <c r="O283" s="186"/>
      <c r="P283" s="186"/>
      <c r="Q283" s="186"/>
    </row>
    <row r="284" spans="2:17" x14ac:dyDescent="0.35">
      <c r="B284" s="186"/>
      <c r="C284" s="186"/>
      <c r="D284" s="186"/>
      <c r="E284" s="186"/>
      <c r="F284" s="186"/>
      <c r="G284" s="186"/>
      <c r="H284" s="186"/>
      <c r="I284" s="186"/>
      <c r="J284" s="186"/>
      <c r="K284" s="186"/>
      <c r="L284" s="186"/>
      <c r="M284" s="186"/>
      <c r="N284" s="186"/>
      <c r="O284" s="186"/>
      <c r="P284" s="186"/>
      <c r="Q284" s="186"/>
    </row>
    <row r="285" spans="2:17" x14ac:dyDescent="0.35">
      <c r="B285" s="186"/>
      <c r="C285" s="186"/>
      <c r="D285" s="186"/>
      <c r="E285" s="186"/>
      <c r="F285" s="186"/>
      <c r="G285" s="186"/>
      <c r="H285" s="186"/>
      <c r="I285" s="186"/>
      <c r="J285" s="186"/>
      <c r="K285" s="186"/>
      <c r="L285" s="186"/>
      <c r="M285" s="186"/>
      <c r="N285" s="186"/>
      <c r="O285" s="186"/>
      <c r="P285" s="186"/>
      <c r="Q285" s="186"/>
    </row>
    <row r="286" spans="2:17" x14ac:dyDescent="0.35">
      <c r="B286" s="186"/>
      <c r="C286" s="186"/>
      <c r="D286" s="186"/>
      <c r="E286" s="186"/>
      <c r="F286" s="186"/>
      <c r="G286" s="186"/>
      <c r="H286" s="186"/>
      <c r="I286" s="186"/>
      <c r="J286" s="186"/>
      <c r="K286" s="186"/>
      <c r="L286" s="186"/>
      <c r="M286" s="186"/>
      <c r="N286" s="186"/>
      <c r="O286" s="186"/>
      <c r="P286" s="186"/>
      <c r="Q286" s="186"/>
    </row>
    <row r="287" spans="2:17" x14ac:dyDescent="0.35">
      <c r="B287" s="186"/>
      <c r="C287" s="186"/>
      <c r="D287" s="186"/>
      <c r="E287" s="186"/>
      <c r="F287" s="186"/>
      <c r="G287" s="186"/>
      <c r="H287" s="186"/>
      <c r="I287" s="186"/>
      <c r="J287" s="186"/>
      <c r="K287" s="186"/>
      <c r="L287" s="186"/>
      <c r="M287" s="186"/>
      <c r="N287" s="186"/>
      <c r="O287" s="186"/>
      <c r="P287" s="186"/>
      <c r="Q287" s="186"/>
    </row>
    <row r="288" spans="2:17" x14ac:dyDescent="0.35">
      <c r="B288" s="186"/>
      <c r="C288" s="186"/>
      <c r="D288" s="186"/>
      <c r="E288" s="186"/>
      <c r="F288" s="186"/>
      <c r="G288" s="186"/>
      <c r="H288" s="186"/>
      <c r="I288" s="186"/>
      <c r="J288" s="186"/>
      <c r="K288" s="186"/>
      <c r="L288" s="186"/>
      <c r="M288" s="186"/>
      <c r="N288" s="186"/>
      <c r="O288" s="186"/>
      <c r="P288" s="186"/>
      <c r="Q288" s="186"/>
    </row>
    <row r="289" spans="2:17" x14ac:dyDescent="0.35">
      <c r="B289" s="186"/>
      <c r="C289" s="186"/>
      <c r="D289" s="186"/>
      <c r="E289" s="186"/>
      <c r="F289" s="186"/>
      <c r="G289" s="186"/>
      <c r="H289" s="186"/>
      <c r="I289" s="186"/>
      <c r="J289" s="186"/>
      <c r="K289" s="186"/>
      <c r="L289" s="186"/>
      <c r="M289" s="186"/>
      <c r="N289" s="186"/>
      <c r="O289" s="186"/>
      <c r="P289" s="186"/>
      <c r="Q289" s="186"/>
    </row>
    <row r="290" spans="2:17" x14ac:dyDescent="0.35">
      <c r="B290" s="186"/>
      <c r="C290" s="186"/>
      <c r="D290" s="186"/>
      <c r="E290" s="186"/>
      <c r="F290" s="186"/>
      <c r="G290" s="186"/>
      <c r="H290" s="186"/>
      <c r="I290" s="186"/>
      <c r="J290" s="186"/>
      <c r="K290" s="186"/>
      <c r="L290" s="186"/>
      <c r="M290" s="186"/>
      <c r="N290" s="186"/>
      <c r="O290" s="186"/>
      <c r="P290" s="186"/>
      <c r="Q290" s="186"/>
    </row>
    <row r="291" spans="2:17" x14ac:dyDescent="0.35">
      <c r="B291" s="186"/>
      <c r="C291" s="186"/>
      <c r="D291" s="186"/>
      <c r="E291" s="186"/>
      <c r="F291" s="186"/>
      <c r="G291" s="186"/>
      <c r="H291" s="186"/>
      <c r="I291" s="186"/>
      <c r="J291" s="186"/>
      <c r="K291" s="186"/>
      <c r="L291" s="186"/>
      <c r="M291" s="186"/>
      <c r="N291" s="186"/>
      <c r="O291" s="186"/>
      <c r="P291" s="186"/>
      <c r="Q291" s="186"/>
    </row>
    <row r="292" spans="2:17" x14ac:dyDescent="0.35">
      <c r="B292" s="186"/>
      <c r="C292" s="186"/>
      <c r="D292" s="186"/>
      <c r="E292" s="186"/>
      <c r="F292" s="186"/>
      <c r="G292" s="186"/>
      <c r="H292" s="186"/>
      <c r="I292" s="186"/>
      <c r="J292" s="186"/>
      <c r="K292" s="186"/>
      <c r="L292" s="186"/>
      <c r="M292" s="186"/>
      <c r="N292" s="186"/>
      <c r="O292" s="186"/>
      <c r="P292" s="186"/>
      <c r="Q292" s="186"/>
    </row>
    <row r="293" spans="2:17" x14ac:dyDescent="0.35">
      <c r="B293" s="186"/>
      <c r="C293" s="186"/>
      <c r="D293" s="186"/>
      <c r="E293" s="186"/>
      <c r="F293" s="186"/>
      <c r="G293" s="186"/>
      <c r="H293" s="186"/>
      <c r="I293" s="186"/>
      <c r="J293" s="186"/>
      <c r="K293" s="186"/>
      <c r="L293" s="186"/>
      <c r="M293" s="186"/>
      <c r="N293" s="186"/>
      <c r="O293" s="186"/>
      <c r="P293" s="186"/>
      <c r="Q293" s="186"/>
    </row>
    <row r="294" spans="2:17" x14ac:dyDescent="0.35">
      <c r="B294" s="186"/>
      <c r="C294" s="186"/>
      <c r="D294" s="186"/>
      <c r="E294" s="186"/>
      <c r="F294" s="186"/>
      <c r="G294" s="186"/>
      <c r="H294" s="186"/>
      <c r="I294" s="186"/>
      <c r="J294" s="186"/>
      <c r="K294" s="186"/>
      <c r="L294" s="186"/>
      <c r="M294" s="186"/>
      <c r="N294" s="186"/>
      <c r="O294" s="186"/>
      <c r="P294" s="186"/>
      <c r="Q294" s="186"/>
    </row>
    <row r="295" spans="2:17" x14ac:dyDescent="0.35">
      <c r="B295" s="186"/>
      <c r="C295" s="186"/>
      <c r="D295" s="186"/>
      <c r="E295" s="186"/>
      <c r="F295" s="186"/>
      <c r="G295" s="186"/>
      <c r="H295" s="186"/>
      <c r="I295" s="186"/>
      <c r="J295" s="186"/>
      <c r="K295" s="186"/>
      <c r="L295" s="186"/>
      <c r="M295" s="186"/>
      <c r="N295" s="186"/>
      <c r="O295" s="186"/>
      <c r="P295" s="186"/>
      <c r="Q295" s="186"/>
    </row>
    <row r="296" spans="2:17" x14ac:dyDescent="0.35">
      <c r="B296" s="186"/>
      <c r="C296" s="186"/>
      <c r="D296" s="186"/>
      <c r="E296" s="186"/>
      <c r="F296" s="186"/>
      <c r="G296" s="186"/>
      <c r="H296" s="186"/>
      <c r="I296" s="186"/>
      <c r="J296" s="186"/>
      <c r="K296" s="186"/>
      <c r="L296" s="186"/>
      <c r="M296" s="186"/>
      <c r="N296" s="186"/>
      <c r="O296" s="186"/>
      <c r="P296" s="186"/>
      <c r="Q296" s="186"/>
    </row>
    <row r="297" spans="2:17" x14ac:dyDescent="0.35">
      <c r="B297" s="186"/>
      <c r="C297" s="186"/>
      <c r="D297" s="186"/>
      <c r="E297" s="186"/>
      <c r="F297" s="186"/>
      <c r="G297" s="186"/>
      <c r="H297" s="186"/>
      <c r="I297" s="186"/>
      <c r="J297" s="186"/>
      <c r="K297" s="186"/>
      <c r="L297" s="186"/>
      <c r="M297" s="186"/>
      <c r="N297" s="186"/>
      <c r="O297" s="186"/>
      <c r="P297" s="186"/>
      <c r="Q297" s="186"/>
    </row>
    <row r="298" spans="2:17" x14ac:dyDescent="0.35">
      <c r="B298" s="186"/>
      <c r="C298" s="186"/>
      <c r="D298" s="186"/>
      <c r="E298" s="186"/>
      <c r="F298" s="186"/>
      <c r="G298" s="186"/>
      <c r="H298" s="186"/>
      <c r="I298" s="186"/>
      <c r="J298" s="186"/>
      <c r="K298" s="186"/>
      <c r="L298" s="186"/>
      <c r="M298" s="186"/>
      <c r="N298" s="186"/>
      <c r="O298" s="186"/>
      <c r="P298" s="186"/>
      <c r="Q298" s="186"/>
    </row>
    <row r="299" spans="2:17" x14ac:dyDescent="0.35">
      <c r="B299" s="186"/>
      <c r="C299" s="186"/>
      <c r="D299" s="186"/>
      <c r="E299" s="186"/>
      <c r="F299" s="186"/>
      <c r="G299" s="186"/>
      <c r="H299" s="186"/>
      <c r="I299" s="186"/>
      <c r="J299" s="186"/>
      <c r="K299" s="186"/>
      <c r="L299" s="186"/>
      <c r="M299" s="186"/>
      <c r="N299" s="186"/>
      <c r="O299" s="186"/>
      <c r="P299" s="186"/>
      <c r="Q299" s="186"/>
    </row>
    <row r="300" spans="2:17" x14ac:dyDescent="0.35">
      <c r="B300" s="186"/>
      <c r="C300" s="186"/>
      <c r="D300" s="186"/>
      <c r="E300" s="186"/>
      <c r="F300" s="186"/>
      <c r="G300" s="186"/>
      <c r="H300" s="186"/>
      <c r="I300" s="186"/>
      <c r="J300" s="186"/>
      <c r="K300" s="186"/>
      <c r="L300" s="186"/>
      <c r="M300" s="186"/>
      <c r="N300" s="186"/>
      <c r="O300" s="186"/>
      <c r="P300" s="186"/>
      <c r="Q300" s="186"/>
    </row>
    <row r="301" spans="2:17" x14ac:dyDescent="0.35">
      <c r="B301" s="186"/>
      <c r="C301" s="186"/>
      <c r="D301" s="186"/>
      <c r="E301" s="186"/>
      <c r="F301" s="186"/>
      <c r="G301" s="186"/>
      <c r="H301" s="186"/>
      <c r="I301" s="186"/>
      <c r="J301" s="186"/>
      <c r="K301" s="186"/>
      <c r="L301" s="186"/>
      <c r="M301" s="186"/>
      <c r="N301" s="186"/>
      <c r="O301" s="186"/>
      <c r="P301" s="186"/>
      <c r="Q301" s="186"/>
    </row>
    <row r="302" spans="2:17" x14ac:dyDescent="0.35">
      <c r="B302" s="186"/>
      <c r="C302" s="186"/>
      <c r="D302" s="186"/>
      <c r="E302" s="186"/>
      <c r="F302" s="186"/>
      <c r="G302" s="186"/>
      <c r="H302" s="186"/>
      <c r="I302" s="186"/>
      <c r="J302" s="186"/>
      <c r="K302" s="186"/>
      <c r="L302" s="186"/>
      <c r="M302" s="186"/>
      <c r="N302" s="186"/>
      <c r="O302" s="186"/>
      <c r="P302" s="186"/>
      <c r="Q302" s="186"/>
    </row>
    <row r="303" spans="2:17" x14ac:dyDescent="0.35">
      <c r="B303" s="186"/>
      <c r="C303" s="186"/>
      <c r="D303" s="186"/>
      <c r="E303" s="186"/>
      <c r="F303" s="186"/>
      <c r="G303" s="186"/>
      <c r="H303" s="186"/>
      <c r="I303" s="186"/>
      <c r="J303" s="186"/>
      <c r="K303" s="186"/>
      <c r="L303" s="186"/>
      <c r="M303" s="186"/>
      <c r="N303" s="186"/>
      <c r="O303" s="186"/>
      <c r="P303" s="186"/>
      <c r="Q303" s="186"/>
    </row>
    <row r="304" spans="2:17" x14ac:dyDescent="0.35">
      <c r="B304" s="186"/>
      <c r="C304" s="186"/>
      <c r="D304" s="186"/>
      <c r="E304" s="186"/>
      <c r="F304" s="186"/>
      <c r="G304" s="186"/>
      <c r="H304" s="186"/>
      <c r="I304" s="186"/>
      <c r="J304" s="186"/>
      <c r="K304" s="186"/>
      <c r="L304" s="186"/>
      <c r="M304" s="186"/>
      <c r="N304" s="186"/>
      <c r="O304" s="186"/>
      <c r="P304" s="186"/>
      <c r="Q304" s="186"/>
    </row>
    <row r="305" spans="2:17" x14ac:dyDescent="0.35">
      <c r="B305" s="186"/>
      <c r="C305" s="186"/>
      <c r="D305" s="186"/>
      <c r="E305" s="186"/>
      <c r="F305" s="186"/>
      <c r="G305" s="186"/>
      <c r="H305" s="186"/>
      <c r="I305" s="186"/>
      <c r="J305" s="186"/>
      <c r="K305" s="186"/>
      <c r="L305" s="186"/>
      <c r="M305" s="186"/>
      <c r="N305" s="186"/>
      <c r="O305" s="186"/>
      <c r="P305" s="186"/>
      <c r="Q305" s="186"/>
    </row>
    <row r="306" spans="2:17" x14ac:dyDescent="0.35">
      <c r="B306" s="186"/>
      <c r="C306" s="186"/>
      <c r="D306" s="186"/>
      <c r="E306" s="186"/>
      <c r="F306" s="186"/>
      <c r="G306" s="186"/>
      <c r="H306" s="186"/>
      <c r="I306" s="186"/>
      <c r="J306" s="186"/>
      <c r="K306" s="186"/>
      <c r="L306" s="186"/>
      <c r="M306" s="186"/>
      <c r="N306" s="186"/>
      <c r="O306" s="186"/>
      <c r="P306" s="186"/>
      <c r="Q306" s="186"/>
    </row>
    <row r="307" spans="2:17" x14ac:dyDescent="0.35">
      <c r="B307" s="186"/>
      <c r="C307" s="186"/>
      <c r="D307" s="186"/>
      <c r="E307" s="186"/>
      <c r="F307" s="186"/>
      <c r="G307" s="186"/>
      <c r="H307" s="186"/>
      <c r="I307" s="186"/>
      <c r="J307" s="186"/>
      <c r="K307" s="186"/>
      <c r="L307" s="186"/>
      <c r="M307" s="186"/>
      <c r="N307" s="186"/>
      <c r="O307" s="186"/>
      <c r="P307" s="186"/>
      <c r="Q307" s="186"/>
    </row>
    <row r="308" spans="2:17" x14ac:dyDescent="0.35">
      <c r="B308" s="186"/>
      <c r="C308" s="186"/>
      <c r="D308" s="186"/>
      <c r="E308" s="186"/>
      <c r="F308" s="186"/>
      <c r="G308" s="186"/>
      <c r="H308" s="186"/>
      <c r="I308" s="186"/>
      <c r="J308" s="186"/>
      <c r="K308" s="186"/>
      <c r="L308" s="186"/>
      <c r="M308" s="186"/>
      <c r="N308" s="186"/>
      <c r="O308" s="186"/>
      <c r="P308" s="186"/>
      <c r="Q308" s="186"/>
    </row>
    <row r="309" spans="2:17" x14ac:dyDescent="0.35">
      <c r="B309" s="186"/>
      <c r="C309" s="186"/>
      <c r="D309" s="186"/>
      <c r="E309" s="186"/>
      <c r="F309" s="186"/>
      <c r="G309" s="186"/>
      <c r="H309" s="186"/>
      <c r="I309" s="186"/>
      <c r="J309" s="186"/>
      <c r="K309" s="186"/>
      <c r="L309" s="186"/>
      <c r="M309" s="186"/>
      <c r="N309" s="186"/>
      <c r="O309" s="186"/>
      <c r="P309" s="186"/>
      <c r="Q309" s="186"/>
    </row>
    <row r="310" spans="2:17" x14ac:dyDescent="0.35">
      <c r="B310" s="186"/>
      <c r="C310" s="186"/>
      <c r="D310" s="186"/>
      <c r="E310" s="186"/>
      <c r="F310" s="186"/>
      <c r="G310" s="186"/>
      <c r="H310" s="186"/>
      <c r="I310" s="186"/>
      <c r="J310" s="186"/>
      <c r="K310" s="186"/>
      <c r="L310" s="186"/>
      <c r="M310" s="186"/>
      <c r="N310" s="186"/>
      <c r="O310" s="186"/>
      <c r="P310" s="186"/>
      <c r="Q310" s="186"/>
    </row>
    <row r="311" spans="2:17" x14ac:dyDescent="0.35">
      <c r="B311" s="186"/>
      <c r="C311" s="186"/>
      <c r="D311" s="186"/>
      <c r="E311" s="186"/>
      <c r="F311" s="186"/>
      <c r="G311" s="186"/>
      <c r="H311" s="186"/>
      <c r="I311" s="186"/>
      <c r="J311" s="186"/>
      <c r="K311" s="186"/>
      <c r="L311" s="186"/>
      <c r="M311" s="186"/>
      <c r="N311" s="186"/>
      <c r="O311" s="186"/>
      <c r="P311" s="186"/>
      <c r="Q311" s="186"/>
    </row>
    <row r="312" spans="2:17" x14ac:dyDescent="0.35">
      <c r="B312" s="186"/>
      <c r="C312" s="186"/>
      <c r="D312" s="186"/>
      <c r="E312" s="186"/>
      <c r="F312" s="186"/>
      <c r="G312" s="186"/>
      <c r="H312" s="186"/>
      <c r="I312" s="186"/>
      <c r="J312" s="186"/>
      <c r="K312" s="186"/>
      <c r="L312" s="186"/>
      <c r="M312" s="186"/>
      <c r="N312" s="186"/>
      <c r="O312" s="186"/>
      <c r="P312" s="186"/>
      <c r="Q312" s="186"/>
    </row>
    <row r="313" spans="2:17" x14ac:dyDescent="0.35">
      <c r="B313" s="186"/>
      <c r="C313" s="186"/>
      <c r="D313" s="186"/>
      <c r="E313" s="186"/>
      <c r="F313" s="186"/>
      <c r="G313" s="186"/>
      <c r="H313" s="186"/>
      <c r="I313" s="186"/>
      <c r="J313" s="186"/>
      <c r="K313" s="186"/>
      <c r="L313" s="186"/>
      <c r="M313" s="186"/>
      <c r="N313" s="186"/>
      <c r="O313" s="186"/>
      <c r="P313" s="186"/>
      <c r="Q313" s="186"/>
    </row>
    <row r="314" spans="2:17" x14ac:dyDescent="0.35">
      <c r="B314" s="186"/>
      <c r="C314" s="186"/>
      <c r="D314" s="186"/>
      <c r="E314" s="186"/>
      <c r="F314" s="186"/>
      <c r="G314" s="186"/>
      <c r="H314" s="186"/>
      <c r="I314" s="186"/>
      <c r="J314" s="186"/>
      <c r="K314" s="186"/>
      <c r="L314" s="186"/>
      <c r="M314" s="186"/>
      <c r="N314" s="186"/>
      <c r="O314" s="186"/>
      <c r="P314" s="186"/>
      <c r="Q314" s="186"/>
    </row>
    <row r="315" spans="2:17" x14ac:dyDescent="0.35">
      <c r="B315" s="186"/>
      <c r="C315" s="186"/>
      <c r="D315" s="186"/>
      <c r="E315" s="186"/>
      <c r="F315" s="186"/>
      <c r="G315" s="186"/>
      <c r="H315" s="186"/>
      <c r="I315" s="186"/>
      <c r="J315" s="186"/>
      <c r="K315" s="186"/>
      <c r="L315" s="186"/>
      <c r="M315" s="186"/>
      <c r="N315" s="186"/>
      <c r="O315" s="186"/>
      <c r="P315" s="186"/>
      <c r="Q315" s="186"/>
    </row>
    <row r="316" spans="2:17" x14ac:dyDescent="0.35">
      <c r="B316" s="186"/>
      <c r="C316" s="186"/>
      <c r="D316" s="186"/>
      <c r="E316" s="186"/>
      <c r="F316" s="186"/>
      <c r="G316" s="186"/>
      <c r="H316" s="186"/>
      <c r="I316" s="186"/>
      <c r="J316" s="186"/>
      <c r="K316" s="186"/>
      <c r="L316" s="186"/>
      <c r="M316" s="186"/>
      <c r="N316" s="186"/>
      <c r="O316" s="186"/>
      <c r="P316" s="186"/>
      <c r="Q316" s="186"/>
    </row>
    <row r="317" spans="2:17" x14ac:dyDescent="0.35">
      <c r="B317" s="186"/>
      <c r="C317" s="186"/>
      <c r="D317" s="186"/>
      <c r="E317" s="186"/>
      <c r="F317" s="186"/>
      <c r="G317" s="186"/>
      <c r="H317" s="186"/>
      <c r="I317" s="186"/>
      <c r="J317" s="186"/>
      <c r="K317" s="186"/>
      <c r="L317" s="186"/>
      <c r="M317" s="186"/>
      <c r="N317" s="186"/>
      <c r="O317" s="186"/>
      <c r="P317" s="186"/>
      <c r="Q317" s="186"/>
    </row>
    <row r="318" spans="2:17" x14ac:dyDescent="0.35">
      <c r="B318" s="186"/>
      <c r="C318" s="186"/>
      <c r="D318" s="186"/>
      <c r="E318" s="186"/>
      <c r="F318" s="186"/>
      <c r="G318" s="186"/>
      <c r="H318" s="186"/>
      <c r="I318" s="186"/>
      <c r="J318" s="186"/>
      <c r="K318" s="186"/>
      <c r="L318" s="186"/>
      <c r="M318" s="186"/>
      <c r="N318" s="186"/>
      <c r="O318" s="186"/>
      <c r="P318" s="186"/>
      <c r="Q318" s="186"/>
    </row>
    <row r="319" spans="2:17" x14ac:dyDescent="0.35">
      <c r="B319" s="186"/>
      <c r="C319" s="186"/>
      <c r="D319" s="186"/>
      <c r="E319" s="186"/>
      <c r="F319" s="186"/>
      <c r="G319" s="186"/>
      <c r="H319" s="186"/>
      <c r="I319" s="186"/>
      <c r="J319" s="186"/>
      <c r="K319" s="186"/>
      <c r="L319" s="186"/>
      <c r="M319" s="186"/>
      <c r="N319" s="186"/>
      <c r="O319" s="186"/>
      <c r="P319" s="186"/>
      <c r="Q319" s="186"/>
    </row>
    <row r="320" spans="2:17" x14ac:dyDescent="0.35">
      <c r="B320" s="186"/>
      <c r="C320" s="186"/>
      <c r="D320" s="186"/>
      <c r="E320" s="186"/>
      <c r="F320" s="186"/>
      <c r="G320" s="186"/>
      <c r="H320" s="186"/>
      <c r="I320" s="186"/>
      <c r="J320" s="186"/>
      <c r="K320" s="186"/>
      <c r="L320" s="186"/>
      <c r="M320" s="186"/>
      <c r="N320" s="186"/>
      <c r="O320" s="186"/>
      <c r="P320" s="186"/>
      <c r="Q320" s="186"/>
    </row>
    <row r="321" spans="2:17" x14ac:dyDescent="0.35">
      <c r="B321" s="186"/>
      <c r="C321" s="186"/>
      <c r="D321" s="186"/>
      <c r="E321" s="186"/>
      <c r="F321" s="186"/>
      <c r="G321" s="186"/>
      <c r="H321" s="186"/>
      <c r="I321" s="186"/>
      <c r="J321" s="186"/>
      <c r="K321" s="186"/>
      <c r="L321" s="186"/>
      <c r="M321" s="186"/>
      <c r="N321" s="186"/>
      <c r="O321" s="186"/>
      <c r="P321" s="186"/>
      <c r="Q321" s="186"/>
    </row>
    <row r="322" spans="2:17" x14ac:dyDescent="0.35">
      <c r="B322" s="186"/>
      <c r="C322" s="186"/>
      <c r="D322" s="186"/>
      <c r="E322" s="186"/>
      <c r="F322" s="186"/>
      <c r="G322" s="186"/>
      <c r="H322" s="186"/>
      <c r="I322" s="186"/>
      <c r="J322" s="186"/>
      <c r="K322" s="186"/>
      <c r="L322" s="186"/>
      <c r="M322" s="186"/>
      <c r="N322" s="186"/>
      <c r="O322" s="186"/>
      <c r="P322" s="186"/>
      <c r="Q322" s="186"/>
    </row>
    <row r="323" spans="2:17" x14ac:dyDescent="0.35">
      <c r="B323" s="186"/>
      <c r="C323" s="186"/>
      <c r="D323" s="186"/>
      <c r="E323" s="186"/>
      <c r="F323" s="186"/>
      <c r="G323" s="186"/>
      <c r="H323" s="186"/>
      <c r="I323" s="186"/>
      <c r="J323" s="186"/>
      <c r="K323" s="186"/>
      <c r="L323" s="186"/>
      <c r="M323" s="186"/>
      <c r="N323" s="186"/>
      <c r="O323" s="186"/>
      <c r="P323" s="186"/>
      <c r="Q323" s="186"/>
    </row>
    <row r="324" spans="2:17" x14ac:dyDescent="0.35">
      <c r="B324" s="186"/>
      <c r="C324" s="186"/>
      <c r="D324" s="186"/>
      <c r="E324" s="186"/>
      <c r="F324" s="186"/>
      <c r="G324" s="186"/>
      <c r="H324" s="186"/>
      <c r="I324" s="186"/>
      <c r="J324" s="186"/>
      <c r="K324" s="186"/>
      <c r="L324" s="186"/>
      <c r="M324" s="186"/>
      <c r="N324" s="186"/>
      <c r="O324" s="186"/>
      <c r="P324" s="186"/>
      <c r="Q324" s="186"/>
    </row>
    <row r="325" spans="2:17" x14ac:dyDescent="0.35">
      <c r="B325" s="186"/>
      <c r="C325" s="186"/>
      <c r="D325" s="186"/>
      <c r="E325" s="186"/>
      <c r="F325" s="186"/>
      <c r="G325" s="186"/>
      <c r="H325" s="186"/>
      <c r="I325" s="186"/>
      <c r="J325" s="186"/>
      <c r="K325" s="186"/>
      <c r="L325" s="186"/>
      <c r="M325" s="186"/>
      <c r="N325" s="186"/>
      <c r="O325" s="186"/>
      <c r="P325" s="186"/>
      <c r="Q325" s="186"/>
    </row>
    <row r="326" spans="2:17" x14ac:dyDescent="0.35">
      <c r="B326" s="186"/>
      <c r="C326" s="186"/>
      <c r="D326" s="186"/>
      <c r="E326" s="186"/>
      <c r="F326" s="186"/>
      <c r="G326" s="186"/>
      <c r="H326" s="186"/>
      <c r="I326" s="186"/>
      <c r="J326" s="186"/>
      <c r="K326" s="186"/>
      <c r="L326" s="186"/>
      <c r="M326" s="186"/>
      <c r="N326" s="186"/>
      <c r="O326" s="186"/>
      <c r="P326" s="186"/>
      <c r="Q326" s="186"/>
    </row>
    <row r="327" spans="2:17" x14ac:dyDescent="0.35">
      <c r="B327" s="186"/>
      <c r="C327" s="186"/>
      <c r="D327" s="186"/>
      <c r="E327" s="186"/>
      <c r="F327" s="186"/>
      <c r="G327" s="186"/>
      <c r="H327" s="186"/>
      <c r="I327" s="186"/>
      <c r="J327" s="186"/>
      <c r="K327" s="186"/>
      <c r="L327" s="186"/>
      <c r="M327" s="186"/>
      <c r="N327" s="186"/>
      <c r="O327" s="186"/>
      <c r="P327" s="186"/>
      <c r="Q327" s="186"/>
    </row>
    <row r="328" spans="2:17" x14ac:dyDescent="0.35">
      <c r="B328" s="186"/>
      <c r="C328" s="186"/>
      <c r="D328" s="186"/>
      <c r="E328" s="186"/>
      <c r="F328" s="186"/>
      <c r="G328" s="186"/>
      <c r="H328" s="186"/>
      <c r="I328" s="186"/>
      <c r="J328" s="186"/>
      <c r="K328" s="186"/>
      <c r="L328" s="186"/>
      <c r="M328" s="186"/>
      <c r="N328" s="186"/>
      <c r="O328" s="186"/>
      <c r="P328" s="186"/>
      <c r="Q328" s="186"/>
    </row>
    <row r="329" spans="2:17" x14ac:dyDescent="0.35">
      <c r="B329" s="186"/>
      <c r="C329" s="186"/>
      <c r="D329" s="186"/>
      <c r="E329" s="186"/>
      <c r="F329" s="186"/>
      <c r="G329" s="186"/>
      <c r="H329" s="186"/>
      <c r="I329" s="186"/>
      <c r="J329" s="186"/>
      <c r="K329" s="186"/>
      <c r="L329" s="186"/>
      <c r="M329" s="186"/>
      <c r="N329" s="186"/>
      <c r="O329" s="186"/>
      <c r="P329" s="186"/>
      <c r="Q329" s="186"/>
    </row>
    <row r="330" spans="2:17" x14ac:dyDescent="0.35">
      <c r="B330" s="186"/>
      <c r="C330" s="186"/>
      <c r="D330" s="186"/>
      <c r="E330" s="186"/>
      <c r="F330" s="186"/>
      <c r="G330" s="186"/>
      <c r="H330" s="186"/>
      <c r="I330" s="186"/>
      <c r="J330" s="186"/>
      <c r="K330" s="186"/>
      <c r="L330" s="186"/>
      <c r="M330" s="186"/>
      <c r="N330" s="186"/>
      <c r="O330" s="186"/>
      <c r="P330" s="186"/>
      <c r="Q330" s="186"/>
    </row>
    <row r="331" spans="2:17" x14ac:dyDescent="0.35">
      <c r="B331" s="186"/>
      <c r="C331" s="186"/>
      <c r="D331" s="186"/>
      <c r="E331" s="186"/>
      <c r="F331" s="186"/>
      <c r="G331" s="186"/>
      <c r="H331" s="186"/>
      <c r="I331" s="186"/>
      <c r="J331" s="186"/>
      <c r="K331" s="186"/>
      <c r="L331" s="186"/>
      <c r="M331" s="186"/>
      <c r="N331" s="186"/>
      <c r="O331" s="186"/>
      <c r="P331" s="186"/>
      <c r="Q331" s="186"/>
    </row>
    <row r="332" spans="2:17" x14ac:dyDescent="0.35">
      <c r="B332" s="186"/>
      <c r="C332" s="186"/>
      <c r="D332" s="186"/>
      <c r="E332" s="186"/>
      <c r="F332" s="186"/>
      <c r="G332" s="186"/>
      <c r="H332" s="186"/>
      <c r="I332" s="186"/>
      <c r="J332" s="186"/>
      <c r="K332" s="186"/>
      <c r="L332" s="186"/>
      <c r="M332" s="186"/>
      <c r="N332" s="186"/>
      <c r="O332" s="186"/>
      <c r="P332" s="186"/>
      <c r="Q332" s="186"/>
    </row>
    <row r="333" spans="2:17" x14ac:dyDescent="0.35">
      <c r="B333" s="186"/>
      <c r="C333" s="186"/>
      <c r="D333" s="186"/>
      <c r="E333" s="186"/>
      <c r="F333" s="186"/>
      <c r="G333" s="186"/>
      <c r="H333" s="186"/>
      <c r="I333" s="186"/>
      <c r="J333" s="186"/>
      <c r="K333" s="186"/>
      <c r="L333" s="186"/>
      <c r="M333" s="186"/>
      <c r="N333" s="186"/>
      <c r="O333" s="186"/>
      <c r="P333" s="186"/>
      <c r="Q333" s="186"/>
    </row>
    <row r="334" spans="2:17" x14ac:dyDescent="0.35">
      <c r="B334" s="186"/>
      <c r="C334" s="186"/>
      <c r="D334" s="186"/>
      <c r="E334" s="186"/>
      <c r="F334" s="186"/>
      <c r="G334" s="186"/>
      <c r="H334" s="186"/>
      <c r="I334" s="186"/>
      <c r="J334" s="186"/>
      <c r="K334" s="186"/>
      <c r="L334" s="186"/>
      <c r="M334" s="186"/>
      <c r="N334" s="186"/>
      <c r="O334" s="186"/>
      <c r="P334" s="186"/>
      <c r="Q334" s="186"/>
    </row>
    <row r="335" spans="2:17" x14ac:dyDescent="0.35">
      <c r="B335" s="186"/>
      <c r="C335" s="186"/>
      <c r="D335" s="186"/>
      <c r="E335" s="186"/>
      <c r="F335" s="186"/>
      <c r="G335" s="186"/>
      <c r="H335" s="186"/>
      <c r="I335" s="186"/>
      <c r="J335" s="186"/>
      <c r="K335" s="186"/>
      <c r="L335" s="186"/>
      <c r="M335" s="186"/>
      <c r="N335" s="186"/>
      <c r="O335" s="186"/>
      <c r="P335" s="186"/>
      <c r="Q335" s="186"/>
    </row>
    <row r="336" spans="2:17" x14ac:dyDescent="0.35">
      <c r="B336" s="186"/>
      <c r="C336" s="186"/>
      <c r="D336" s="186"/>
      <c r="E336" s="186"/>
      <c r="F336" s="186"/>
      <c r="G336" s="186"/>
      <c r="H336" s="186"/>
      <c r="I336" s="186"/>
      <c r="J336" s="186"/>
      <c r="K336" s="186"/>
      <c r="L336" s="186"/>
      <c r="M336" s="186"/>
      <c r="N336" s="186"/>
      <c r="O336" s="186"/>
      <c r="P336" s="186"/>
      <c r="Q336" s="186"/>
    </row>
    <row r="337" spans="2:17" x14ac:dyDescent="0.35">
      <c r="B337" s="186"/>
      <c r="C337" s="186"/>
      <c r="D337" s="186"/>
      <c r="E337" s="186"/>
      <c r="F337" s="186"/>
      <c r="G337" s="186"/>
      <c r="H337" s="186"/>
      <c r="I337" s="186"/>
      <c r="J337" s="186"/>
      <c r="K337" s="186"/>
      <c r="L337" s="186"/>
      <c r="M337" s="186"/>
      <c r="N337" s="186"/>
      <c r="O337" s="186"/>
      <c r="P337" s="186"/>
      <c r="Q337" s="186"/>
    </row>
    <row r="338" spans="2:17" x14ac:dyDescent="0.35">
      <c r="B338" s="186"/>
      <c r="C338" s="186"/>
      <c r="D338" s="186"/>
      <c r="E338" s="186"/>
      <c r="F338" s="186"/>
      <c r="G338" s="186"/>
      <c r="H338" s="186"/>
      <c r="I338" s="186"/>
      <c r="J338" s="186"/>
      <c r="K338" s="186"/>
      <c r="L338" s="186"/>
      <c r="M338" s="186"/>
      <c r="N338" s="186"/>
      <c r="O338" s="186"/>
      <c r="P338" s="186"/>
      <c r="Q338" s="186"/>
    </row>
    <row r="339" spans="2:17" x14ac:dyDescent="0.35">
      <c r="B339" s="186"/>
      <c r="C339" s="186"/>
      <c r="D339" s="186"/>
      <c r="E339" s="186"/>
      <c r="F339" s="186"/>
      <c r="G339" s="186"/>
      <c r="H339" s="186"/>
      <c r="I339" s="186"/>
      <c r="J339" s="186"/>
      <c r="K339" s="186"/>
      <c r="L339" s="186"/>
      <c r="M339" s="186"/>
      <c r="N339" s="186"/>
      <c r="O339" s="186"/>
      <c r="P339" s="186"/>
      <c r="Q339" s="186"/>
    </row>
    <row r="340" spans="2:17" x14ac:dyDescent="0.35">
      <c r="B340" s="186"/>
      <c r="C340" s="186"/>
      <c r="D340" s="186"/>
      <c r="E340" s="186"/>
      <c r="F340" s="186"/>
      <c r="G340" s="186"/>
      <c r="H340" s="186"/>
      <c r="I340" s="186"/>
      <c r="J340" s="186"/>
      <c r="K340" s="186"/>
      <c r="L340" s="186"/>
      <c r="M340" s="186"/>
      <c r="N340" s="186"/>
      <c r="O340" s="186"/>
      <c r="P340" s="186"/>
      <c r="Q340" s="186"/>
    </row>
    <row r="341" spans="2:17" x14ac:dyDescent="0.35">
      <c r="B341" s="186"/>
      <c r="C341" s="186"/>
      <c r="D341" s="186"/>
      <c r="E341" s="186"/>
      <c r="F341" s="186"/>
      <c r="G341" s="186"/>
      <c r="H341" s="186"/>
      <c r="I341" s="186"/>
      <c r="J341" s="186"/>
      <c r="K341" s="186"/>
      <c r="L341" s="186"/>
      <c r="M341" s="186"/>
      <c r="N341" s="186"/>
      <c r="O341" s="186"/>
      <c r="P341" s="186"/>
      <c r="Q341" s="186"/>
    </row>
    <row r="342" spans="2:17" x14ac:dyDescent="0.35">
      <c r="B342" s="186"/>
      <c r="C342" s="186"/>
      <c r="D342" s="186"/>
      <c r="E342" s="186"/>
      <c r="F342" s="186"/>
      <c r="G342" s="186"/>
      <c r="H342" s="186"/>
      <c r="I342" s="186"/>
      <c r="J342" s="186"/>
      <c r="K342" s="186"/>
      <c r="L342" s="186"/>
      <c r="M342" s="186"/>
      <c r="N342" s="186"/>
      <c r="O342" s="186"/>
      <c r="P342" s="186"/>
      <c r="Q342" s="186"/>
    </row>
    <row r="343" spans="2:17" x14ac:dyDescent="0.35">
      <c r="B343" s="186"/>
      <c r="C343" s="186"/>
      <c r="D343" s="186"/>
      <c r="E343" s="186"/>
      <c r="F343" s="186"/>
      <c r="G343" s="186"/>
      <c r="H343" s="186"/>
      <c r="I343" s="186"/>
      <c r="J343" s="186"/>
      <c r="K343" s="186"/>
      <c r="L343" s="186"/>
      <c r="M343" s="186"/>
      <c r="N343" s="186"/>
      <c r="O343" s="186"/>
      <c r="P343" s="186"/>
      <c r="Q343" s="186"/>
    </row>
    <row r="344" spans="2:17" x14ac:dyDescent="0.35">
      <c r="B344" s="186"/>
      <c r="C344" s="186"/>
      <c r="D344" s="186"/>
      <c r="E344" s="186"/>
      <c r="F344" s="186"/>
      <c r="G344" s="186"/>
      <c r="H344" s="186"/>
      <c r="I344" s="186"/>
      <c r="J344" s="186"/>
      <c r="K344" s="186"/>
      <c r="L344" s="186"/>
      <c r="M344" s="186"/>
      <c r="N344" s="186"/>
      <c r="O344" s="186"/>
      <c r="P344" s="186"/>
      <c r="Q344" s="186"/>
    </row>
    <row r="345" spans="2:17" x14ac:dyDescent="0.35">
      <c r="B345" s="186"/>
      <c r="C345" s="186"/>
      <c r="D345" s="186"/>
      <c r="E345" s="186"/>
      <c r="F345" s="186"/>
      <c r="G345" s="186"/>
      <c r="H345" s="186"/>
      <c r="I345" s="186"/>
      <c r="J345" s="186"/>
      <c r="K345" s="186"/>
      <c r="L345" s="186"/>
    </row>
    <row r="346" spans="2:17" x14ac:dyDescent="0.35">
      <c r="B346" s="186"/>
      <c r="C346" s="186"/>
      <c r="D346" s="186"/>
      <c r="E346" s="186"/>
      <c r="F346" s="186"/>
      <c r="G346" s="186"/>
      <c r="H346" s="186"/>
      <c r="I346" s="186"/>
      <c r="J346" s="186"/>
      <c r="K346" s="186"/>
      <c r="L346" s="186"/>
    </row>
    <row r="347" spans="2:17" x14ac:dyDescent="0.35">
      <c r="B347" s="186"/>
      <c r="C347" s="186"/>
      <c r="D347" s="186"/>
      <c r="E347" s="186"/>
      <c r="F347" s="186"/>
      <c r="G347" s="186"/>
      <c r="H347" s="186"/>
      <c r="I347" s="186"/>
      <c r="J347" s="186"/>
      <c r="K347" s="186"/>
      <c r="L347" s="186"/>
    </row>
    <row r="348" spans="2:17" x14ac:dyDescent="0.35">
      <c r="B348" s="186"/>
      <c r="C348" s="186"/>
      <c r="D348" s="186"/>
      <c r="E348" s="186"/>
      <c r="F348" s="186"/>
      <c r="G348" s="186"/>
      <c r="H348" s="186"/>
      <c r="I348" s="186"/>
      <c r="J348" s="186"/>
      <c r="K348" s="186"/>
      <c r="L348" s="186"/>
    </row>
    <row r="349" spans="2:17" x14ac:dyDescent="0.35">
      <c r="B349" s="186"/>
      <c r="C349" s="186"/>
      <c r="D349" s="186"/>
      <c r="E349" s="186"/>
      <c r="F349" s="186"/>
      <c r="G349" s="186"/>
      <c r="H349" s="186"/>
      <c r="I349" s="186"/>
      <c r="J349" s="186"/>
      <c r="K349" s="186"/>
      <c r="L349" s="186"/>
    </row>
  </sheetData>
  <conditionalFormatting sqref="A41:G43 J41:XFD43 A44:XFD1048576">
    <cfRule type="cellIs" dxfId="6" priority="16" operator="lessThan">
      <formula>0</formula>
    </cfRule>
  </conditionalFormatting>
  <conditionalFormatting sqref="A1:XFD40">
    <cfRule type="cellIs" dxfId="5" priority="1" operator="lessThan">
      <formula>0</formula>
    </cfRule>
  </conditionalFormatting>
  <pageMargins left="0.7" right="0.7" top="0.75" bottom="0.75" header="0.3" footer="0.3"/>
  <pageSetup scale="3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A629B-19AD-4B22-B9E2-47705BC63DDE}">
  <sheetPr>
    <tabColor rgb="FFFF0000"/>
  </sheetPr>
  <dimension ref="A1:R327"/>
  <sheetViews>
    <sheetView workbookViewId="0"/>
  </sheetViews>
  <sheetFormatPr defaultRowHeight="14.5" outlineLevelRow="2" x14ac:dyDescent="0.35"/>
  <cols>
    <col min="1" max="1" width="3.1796875" customWidth="1"/>
    <col min="2" max="2" width="54.1796875" customWidth="1"/>
    <col min="3" max="3" width="17.54296875" customWidth="1"/>
    <col min="4" max="4" width="16.81640625" customWidth="1"/>
    <col min="5" max="12" width="17" customWidth="1"/>
    <col min="13" max="13" width="13.7265625" bestFit="1" customWidth="1"/>
    <col min="14" max="14" width="17.81640625" bestFit="1" customWidth="1"/>
    <col min="15" max="15" width="11.453125" bestFit="1" customWidth="1"/>
    <col min="17" max="18" width="10.81640625" bestFit="1" customWidth="1"/>
    <col min="19" max="19" width="11.81640625" bestFit="1" customWidth="1"/>
  </cols>
  <sheetData>
    <row r="1" spans="1:17" x14ac:dyDescent="0.35">
      <c r="A1" s="198" t="s">
        <v>97</v>
      </c>
      <c r="B1" s="199"/>
      <c r="C1" s="199"/>
      <c r="D1" s="199"/>
      <c r="E1" s="199"/>
      <c r="F1" s="199"/>
      <c r="G1" s="199"/>
      <c r="H1" s="199"/>
      <c r="I1" s="199"/>
      <c r="J1" s="199"/>
      <c r="K1" s="199"/>
      <c r="L1" s="199"/>
    </row>
    <row r="2" spans="1:17" ht="15" thickBot="1" x14ac:dyDescent="0.4">
      <c r="A2" s="184" t="s">
        <v>1</v>
      </c>
      <c r="B2" s="184"/>
      <c r="C2" s="184"/>
      <c r="D2" s="184"/>
      <c r="E2" s="184"/>
      <c r="F2" s="184"/>
      <c r="G2" s="184"/>
      <c r="H2" s="184"/>
      <c r="I2" s="184"/>
      <c r="J2" s="184"/>
      <c r="K2" s="184"/>
      <c r="L2" s="184"/>
      <c r="M2" s="185"/>
      <c r="N2" s="185"/>
      <c r="O2" s="186"/>
      <c r="P2" s="186"/>
      <c r="Q2" s="186"/>
    </row>
    <row r="3" spans="1:17" outlineLevel="1" x14ac:dyDescent="0.35">
      <c r="B3" s="187" t="s">
        <v>2</v>
      </c>
      <c r="C3" s="188" t="s">
        <v>3</v>
      </c>
      <c r="D3" s="187" t="s">
        <v>4</v>
      </c>
      <c r="E3" s="187" t="s">
        <v>5</v>
      </c>
      <c r="F3" s="187" t="s">
        <v>6</v>
      </c>
      <c r="G3" s="187" t="s">
        <v>7</v>
      </c>
      <c r="H3" s="189" t="s">
        <v>8</v>
      </c>
      <c r="I3" s="189" t="s">
        <v>9</v>
      </c>
      <c r="J3" s="189" t="s">
        <v>10</v>
      </c>
      <c r="K3" s="189" t="s">
        <v>11</v>
      </c>
      <c r="L3" s="189" t="s">
        <v>12</v>
      </c>
      <c r="M3" s="190"/>
      <c r="N3" s="186"/>
      <c r="O3" s="186"/>
      <c r="P3" s="186"/>
    </row>
    <row r="4" spans="1:17" outlineLevel="1" x14ac:dyDescent="0.35">
      <c r="B4" s="191">
        <f>F14</f>
        <v>13</v>
      </c>
      <c r="C4" s="192">
        <v>2500</v>
      </c>
      <c r="D4" s="193">
        <f>$F$16</f>
        <v>178867</v>
      </c>
      <c r="E4" s="194">
        <f>$F$70</f>
        <v>54720</v>
      </c>
      <c r="F4" s="194">
        <f>$F$84</f>
        <v>124147</v>
      </c>
      <c r="G4" s="194">
        <f>$F$75</f>
        <v>71546.8</v>
      </c>
      <c r="H4" s="170">
        <f>$F$85</f>
        <v>52600.2</v>
      </c>
      <c r="I4" s="170">
        <f>$F$78</f>
        <v>43056.978800000004</v>
      </c>
      <c r="J4" s="170">
        <f>$F$79</f>
        <v>7687.2995575200002</v>
      </c>
      <c r="K4" s="170">
        <f>F4-G4-I4-J4</f>
        <v>1855.9216424799924</v>
      </c>
      <c r="L4" s="195">
        <f>K4/D4</f>
        <v>1.0375986864429953E-2</v>
      </c>
      <c r="M4" s="196"/>
      <c r="N4" s="186"/>
      <c r="O4" s="186"/>
      <c r="P4" s="197"/>
    </row>
    <row r="5" spans="1:17" x14ac:dyDescent="0.35">
      <c r="B5" s="211"/>
      <c r="C5" s="192"/>
      <c r="D5" s="201"/>
      <c r="E5" s="202"/>
      <c r="F5" s="203"/>
      <c r="G5" s="204"/>
      <c r="H5" s="204"/>
      <c r="I5" s="204"/>
      <c r="J5" s="205"/>
      <c r="K5" s="206"/>
      <c r="L5" s="206"/>
      <c r="M5" s="207"/>
      <c r="N5" s="196"/>
      <c r="O5" s="186"/>
      <c r="P5" s="208"/>
      <c r="Q5" s="186"/>
    </row>
    <row r="6" spans="1:17" ht="15" thickBot="1" x14ac:dyDescent="0.4">
      <c r="A6" s="184" t="s">
        <v>110</v>
      </c>
      <c r="B6" s="184"/>
      <c r="C6" s="184"/>
      <c r="D6" s="184"/>
      <c r="E6" s="184"/>
      <c r="F6" s="184"/>
      <c r="G6" s="184"/>
      <c r="H6" s="184"/>
      <c r="I6" s="184"/>
      <c r="J6" s="184"/>
      <c r="K6" s="184"/>
      <c r="L6" s="184"/>
      <c r="M6" s="185"/>
      <c r="N6" s="185"/>
      <c r="O6" s="186"/>
      <c r="P6" s="186"/>
      <c r="Q6" s="186"/>
    </row>
    <row r="7" spans="1:17" outlineLevel="1" x14ac:dyDescent="0.35">
      <c r="A7" s="212"/>
      <c r="B7" s="187" t="s">
        <v>14</v>
      </c>
      <c r="C7" s="188" t="s">
        <v>3</v>
      </c>
      <c r="D7" s="187"/>
      <c r="E7" s="187"/>
      <c r="F7" s="187"/>
      <c r="G7" s="187"/>
      <c r="H7" s="189"/>
      <c r="I7" s="189"/>
      <c r="J7" s="189"/>
      <c r="K7" s="189"/>
      <c r="L7" s="189"/>
      <c r="M7" s="185"/>
      <c r="N7" s="185"/>
      <c r="O7" s="186"/>
      <c r="P7" s="186"/>
      <c r="Q7" s="186"/>
    </row>
    <row r="8" spans="1:17" outlineLevel="1" x14ac:dyDescent="0.35">
      <c r="B8" s="357" t="s">
        <v>20</v>
      </c>
      <c r="C8" s="358">
        <v>14414</v>
      </c>
      <c r="D8" s="193"/>
      <c r="E8" s="194"/>
      <c r="F8" s="194"/>
      <c r="G8" s="194"/>
      <c r="H8" s="170"/>
      <c r="I8" s="170"/>
      <c r="J8" s="170"/>
      <c r="K8" s="170"/>
      <c r="L8" s="195"/>
      <c r="M8" s="207"/>
      <c r="N8" s="196"/>
      <c r="O8" s="186"/>
      <c r="P8" s="208"/>
      <c r="Q8" s="186"/>
    </row>
    <row r="9" spans="1:17" outlineLevel="1" x14ac:dyDescent="0.35">
      <c r="B9" s="322" t="s">
        <v>111</v>
      </c>
      <c r="C9" s="192">
        <v>13759</v>
      </c>
      <c r="D9" s="193"/>
      <c r="E9" s="194"/>
      <c r="F9" s="194"/>
      <c r="G9" s="194"/>
      <c r="H9" s="170"/>
      <c r="I9" s="170"/>
      <c r="J9" s="170"/>
      <c r="K9" s="170"/>
      <c r="L9" s="195"/>
      <c r="M9" s="207"/>
      <c r="N9" s="196"/>
      <c r="O9" s="186"/>
      <c r="P9" s="208"/>
      <c r="Q9" s="186"/>
    </row>
    <row r="10" spans="1:17" outlineLevel="1" x14ac:dyDescent="0.35">
      <c r="B10" s="322" t="s">
        <v>112</v>
      </c>
      <c r="C10" s="192">
        <f>MEDIAN(C9,C11)</f>
        <v>13259</v>
      </c>
      <c r="D10" s="193"/>
      <c r="E10" s="194"/>
      <c r="F10" s="194"/>
      <c r="G10" s="194"/>
      <c r="H10" s="170"/>
      <c r="I10" s="170"/>
      <c r="J10" s="170"/>
      <c r="K10" s="170"/>
      <c r="L10" s="195"/>
      <c r="M10" s="207"/>
      <c r="N10" s="196"/>
      <c r="O10" s="186"/>
      <c r="P10" s="208"/>
      <c r="Q10" s="186"/>
    </row>
    <row r="11" spans="1:17" outlineLevel="1" x14ac:dyDescent="0.35">
      <c r="B11" s="322" t="s">
        <v>22</v>
      </c>
      <c r="C11" s="192">
        <v>12759</v>
      </c>
      <c r="D11" s="193"/>
      <c r="E11" s="194"/>
      <c r="F11" s="194"/>
      <c r="G11" s="194"/>
      <c r="H11" s="170"/>
      <c r="I11" s="170"/>
      <c r="J11" s="170"/>
      <c r="K11" s="170"/>
      <c r="L11" s="195"/>
      <c r="M11" s="207"/>
      <c r="N11" s="196"/>
      <c r="O11" s="186"/>
      <c r="P11" s="208"/>
      <c r="Q11" s="186"/>
    </row>
    <row r="12" spans="1:17" s="212" customFormat="1" x14ac:dyDescent="0.35">
      <c r="B12" s="221"/>
      <c r="C12" s="222"/>
      <c r="D12" s="223"/>
      <c r="E12" s="224"/>
      <c r="F12" s="225"/>
      <c r="G12" s="225"/>
      <c r="H12" s="225"/>
      <c r="I12" s="204"/>
      <c r="J12" s="226"/>
      <c r="K12" s="196"/>
      <c r="L12" s="196"/>
      <c r="M12" s="227"/>
      <c r="N12" s="196"/>
      <c r="O12" s="228"/>
      <c r="P12" s="229"/>
      <c r="Q12" s="228"/>
    </row>
    <row r="13" spans="1:17" ht="15" thickBot="1" x14ac:dyDescent="0.4">
      <c r="A13" s="184" t="s">
        <v>23</v>
      </c>
      <c r="B13" s="184"/>
      <c r="C13" s="184"/>
      <c r="D13" s="184"/>
      <c r="E13" s="184"/>
      <c r="F13" s="184"/>
      <c r="G13" s="184"/>
      <c r="H13" s="184"/>
      <c r="I13" s="184"/>
      <c r="J13" s="184"/>
      <c r="K13" s="184"/>
      <c r="L13" s="184"/>
      <c r="M13" s="185"/>
      <c r="N13" s="185"/>
      <c r="O13" s="186"/>
      <c r="P13" s="186"/>
      <c r="Q13" s="186"/>
    </row>
    <row r="14" spans="1:17" outlineLevel="1" x14ac:dyDescent="0.35">
      <c r="A14" s="212"/>
      <c r="B14" t="s">
        <v>113</v>
      </c>
      <c r="C14" s="212"/>
      <c r="D14" s="212"/>
      <c r="E14" s="202">
        <v>10</v>
      </c>
      <c r="F14">
        <v>13</v>
      </c>
      <c r="G14">
        <v>18</v>
      </c>
      <c r="H14">
        <v>20</v>
      </c>
      <c r="I14" s="212"/>
      <c r="J14" s="212"/>
      <c r="K14" s="212"/>
      <c r="L14" s="212"/>
      <c r="M14" s="185"/>
      <c r="N14" s="185"/>
      <c r="O14" s="186"/>
      <c r="P14" s="186"/>
      <c r="Q14" s="186"/>
    </row>
    <row r="15" spans="1:17" ht="15" outlineLevel="1" thickBot="1" x14ac:dyDescent="0.4">
      <c r="A15" s="213"/>
      <c r="B15" s="214" t="s">
        <v>28</v>
      </c>
      <c r="C15" s="215"/>
      <c r="D15" s="215"/>
      <c r="E15" s="217">
        <f>C8</f>
        <v>14414</v>
      </c>
      <c r="F15" s="217">
        <f>C9</f>
        <v>13759</v>
      </c>
      <c r="G15" s="217">
        <f>C10</f>
        <v>13259</v>
      </c>
      <c r="H15" s="217">
        <f>C11</f>
        <v>12759</v>
      </c>
      <c r="I15" s="218"/>
      <c r="J15" s="219"/>
      <c r="K15" s="220"/>
      <c r="L15" s="220"/>
      <c r="M15" s="207"/>
      <c r="N15" s="196"/>
      <c r="O15" s="186"/>
      <c r="P15" s="208"/>
      <c r="Q15" s="186"/>
    </row>
    <row r="16" spans="1:17" s="212" customFormat="1" ht="15" thickTop="1" x14ac:dyDescent="0.35">
      <c r="A16" s="212" t="s">
        <v>29</v>
      </c>
      <c r="B16" s="221"/>
      <c r="C16" s="222"/>
      <c r="D16" s="222"/>
      <c r="E16" s="224">
        <f>E14*E15</f>
        <v>144140</v>
      </c>
      <c r="F16" s="225">
        <f>F14*F15</f>
        <v>178867</v>
      </c>
      <c r="G16" s="225">
        <f>G14*G15</f>
        <v>238662</v>
      </c>
      <c r="H16" s="225">
        <f>H14*H15</f>
        <v>255180</v>
      </c>
      <c r="I16" s="204"/>
      <c r="J16" s="226"/>
      <c r="K16" s="196"/>
      <c r="L16" s="196"/>
      <c r="M16" s="227"/>
      <c r="N16" s="196"/>
      <c r="O16" s="228"/>
      <c r="P16" s="229"/>
      <c r="Q16" s="228"/>
    </row>
    <row r="17" spans="1:17" ht="15" thickBot="1" x14ac:dyDescent="0.4">
      <c r="B17" s="211"/>
      <c r="C17" s="192"/>
      <c r="D17" s="201"/>
      <c r="E17" s="230"/>
      <c r="F17" s="203"/>
      <c r="G17" s="204"/>
      <c r="H17" s="204"/>
      <c r="I17" s="204"/>
      <c r="J17" s="205"/>
      <c r="K17" s="206"/>
      <c r="L17" s="206"/>
      <c r="M17" s="207"/>
      <c r="N17" s="196"/>
      <c r="O17" s="186"/>
      <c r="P17" s="208"/>
      <c r="Q17" s="186"/>
    </row>
    <row r="18" spans="1:17" ht="15.5" thickTop="1" thickBot="1" x14ac:dyDescent="0.4">
      <c r="A18" s="184" t="s">
        <v>46</v>
      </c>
      <c r="B18" s="231"/>
      <c r="C18" s="231"/>
      <c r="D18" s="231"/>
      <c r="E18" s="231"/>
      <c r="F18" s="231"/>
      <c r="G18" s="231"/>
      <c r="H18" s="231"/>
      <c r="I18" s="231"/>
      <c r="J18" s="231"/>
      <c r="K18" s="232" t="s">
        <v>24</v>
      </c>
      <c r="L18" s="233"/>
      <c r="M18" s="228"/>
      <c r="N18" s="228"/>
      <c r="O18" s="186"/>
      <c r="P18" s="186"/>
      <c r="Q18" s="234"/>
    </row>
    <row r="19" spans="1:17" outlineLevel="1" x14ac:dyDescent="0.35">
      <c r="B19" s="235" t="s">
        <v>32</v>
      </c>
      <c r="C19" s="257" t="s">
        <v>33</v>
      </c>
      <c r="D19" s="257" t="s">
        <v>34</v>
      </c>
      <c r="E19" s="257" t="str">
        <f>_xlfn.CONCAT("Total Cost for ",E$14)</f>
        <v>Total Cost for 10</v>
      </c>
      <c r="F19" s="257" t="str">
        <f>_xlfn.CONCAT("Total Cost for ",F$14)</f>
        <v>Total Cost for 13</v>
      </c>
      <c r="G19" s="257" t="str">
        <f>_xlfn.CONCAT("Total Cost for ",G$14)</f>
        <v>Total Cost for 18</v>
      </c>
      <c r="H19" s="257" t="str">
        <f>_xlfn.CONCAT("Total Cost for ",H$14)</f>
        <v>Total Cost for 20</v>
      </c>
      <c r="I19" s="257"/>
      <c r="J19" s="237"/>
      <c r="K19" s="238" t="s">
        <v>25</v>
      </c>
      <c r="L19" s="239" t="s">
        <v>26</v>
      </c>
      <c r="M19" s="13"/>
      <c r="N19" s="186"/>
      <c r="O19" s="186"/>
    </row>
    <row r="20" spans="1:17" outlineLevel="2" x14ac:dyDescent="0.35">
      <c r="B20" s="201" t="s">
        <v>35</v>
      </c>
      <c r="C20" s="203">
        <v>3375</v>
      </c>
      <c r="D20" s="203">
        <v>0</v>
      </c>
      <c r="E20" s="203">
        <f t="shared" ref="E20:H23" si="0">$C20+$D20*E$14</f>
        <v>3375</v>
      </c>
      <c r="F20" s="203">
        <f t="shared" si="0"/>
        <v>3375</v>
      </c>
      <c r="G20" s="203">
        <f t="shared" si="0"/>
        <v>3375</v>
      </c>
      <c r="H20" s="203">
        <f t="shared" si="0"/>
        <v>3375</v>
      </c>
      <c r="I20" s="203"/>
      <c r="J20" s="240"/>
      <c r="K20" s="243"/>
      <c r="L20" s="244"/>
      <c r="M20" s="13"/>
      <c r="N20" s="186"/>
      <c r="O20" s="186"/>
    </row>
    <row r="21" spans="1:17" outlineLevel="2" x14ac:dyDescent="0.35">
      <c r="B21" s="323" t="s">
        <v>36</v>
      </c>
      <c r="C21" s="203">
        <v>0</v>
      </c>
      <c r="D21" s="203">
        <v>300</v>
      </c>
      <c r="E21" s="203">
        <f t="shared" si="0"/>
        <v>3000</v>
      </c>
      <c r="F21" s="203">
        <f t="shared" si="0"/>
        <v>3900</v>
      </c>
      <c r="G21" s="203">
        <f t="shared" si="0"/>
        <v>5400</v>
      </c>
      <c r="H21" s="203">
        <f t="shared" si="0"/>
        <v>6000</v>
      </c>
      <c r="I21" s="203"/>
      <c r="J21" s="203"/>
      <c r="K21" s="258"/>
      <c r="L21" s="259"/>
      <c r="M21" s="13"/>
      <c r="N21" s="186"/>
      <c r="O21" s="186"/>
    </row>
    <row r="22" spans="1:17" outlineLevel="2" x14ac:dyDescent="0.35">
      <c r="B22" s="201" t="s">
        <v>37</v>
      </c>
      <c r="C22" s="203">
        <v>0</v>
      </c>
      <c r="D22" s="203">
        <v>325</v>
      </c>
      <c r="E22" s="203">
        <f t="shared" si="0"/>
        <v>3250</v>
      </c>
      <c r="F22" s="203">
        <f t="shared" si="0"/>
        <v>4225</v>
      </c>
      <c r="G22" s="203">
        <f t="shared" si="0"/>
        <v>5850</v>
      </c>
      <c r="H22" s="203">
        <f t="shared" si="0"/>
        <v>6500</v>
      </c>
      <c r="I22" s="203"/>
      <c r="J22" s="240"/>
      <c r="K22" s="243"/>
      <c r="L22" s="244"/>
      <c r="M22" s="13"/>
      <c r="N22" s="186"/>
      <c r="O22" s="186"/>
    </row>
    <row r="23" spans="1:17" ht="15" outlineLevel="2" thickBot="1" x14ac:dyDescent="0.4">
      <c r="B23" s="216" t="s">
        <v>38</v>
      </c>
      <c r="C23" s="260">
        <v>0</v>
      </c>
      <c r="D23" s="260">
        <v>585</v>
      </c>
      <c r="E23" s="260">
        <f t="shared" si="0"/>
        <v>5850</v>
      </c>
      <c r="F23" s="260">
        <f t="shared" si="0"/>
        <v>7605</v>
      </c>
      <c r="G23" s="260">
        <f t="shared" si="0"/>
        <v>10530</v>
      </c>
      <c r="H23" s="260">
        <f t="shared" si="0"/>
        <v>11700</v>
      </c>
      <c r="I23" s="260"/>
      <c r="J23" s="260"/>
      <c r="K23" s="267"/>
      <c r="L23" s="268"/>
      <c r="M23" s="13"/>
      <c r="N23" s="186"/>
      <c r="O23" s="186"/>
    </row>
    <row r="24" spans="1:17" s="212" customFormat="1" ht="15" outlineLevel="1" thickTop="1" x14ac:dyDescent="0.35">
      <c r="B24" s="223" t="s">
        <v>39</v>
      </c>
      <c r="C24" s="261">
        <f t="shared" ref="C24:H24" si="1">SUM(C20:C23)</f>
        <v>3375</v>
      </c>
      <c r="D24" s="261">
        <f t="shared" si="1"/>
        <v>1210</v>
      </c>
      <c r="E24" s="261">
        <f t="shared" si="1"/>
        <v>15475</v>
      </c>
      <c r="F24" s="261">
        <f t="shared" si="1"/>
        <v>19105</v>
      </c>
      <c r="G24" s="261">
        <f t="shared" si="1"/>
        <v>25155</v>
      </c>
      <c r="H24" s="261">
        <f t="shared" si="1"/>
        <v>27575</v>
      </c>
      <c r="I24" s="261"/>
      <c r="J24" s="261"/>
      <c r="K24" s="262"/>
      <c r="L24" s="263"/>
      <c r="M24" s="185"/>
      <c r="N24" s="228"/>
      <c r="O24" s="228"/>
    </row>
    <row r="25" spans="1:17" s="254" customFormat="1" outlineLevel="1" x14ac:dyDescent="0.35">
      <c r="B25" s="212"/>
      <c r="C25" s="212"/>
      <c r="D25" s="212"/>
      <c r="E25" s="212"/>
      <c r="F25" s="212"/>
      <c r="G25" s="212"/>
      <c r="H25" s="212"/>
      <c r="I25" s="212"/>
      <c r="K25" s="255"/>
      <c r="L25" s="256"/>
    </row>
    <row r="26" spans="1:17" outlineLevel="1" x14ac:dyDescent="0.35">
      <c r="B26" s="235" t="s">
        <v>47</v>
      </c>
      <c r="C26" s="236" t="s">
        <v>48</v>
      </c>
      <c r="D26" s="237" t="s">
        <v>49</v>
      </c>
      <c r="E26" s="237" t="s">
        <v>50</v>
      </c>
      <c r="F26" s="237" t="s">
        <v>51</v>
      </c>
      <c r="G26" s="237" t="s">
        <v>52</v>
      </c>
      <c r="H26" s="324"/>
      <c r="I26" s="324"/>
      <c r="J26" s="325"/>
      <c r="K26" s="326"/>
      <c r="L26" s="327"/>
    </row>
    <row r="27" spans="1:17" ht="15" customHeight="1" outlineLevel="2" x14ac:dyDescent="0.35">
      <c r="B27" s="201" t="s">
        <v>53</v>
      </c>
      <c r="C27" s="186" t="s">
        <v>54</v>
      </c>
      <c r="D27" s="240">
        <f>10000</f>
        <v>10000</v>
      </c>
      <c r="E27" s="241">
        <v>0.33</v>
      </c>
      <c r="F27" s="242">
        <f>D27*E27</f>
        <v>3300</v>
      </c>
      <c r="G27" s="240">
        <f>D27+F27</f>
        <v>13300</v>
      </c>
      <c r="J27" s="129"/>
      <c r="K27" s="243"/>
      <c r="L27" s="244"/>
      <c r="P27" s="125"/>
    </row>
    <row r="28" spans="1:17" ht="15" customHeight="1" outlineLevel="2" thickBot="1" x14ac:dyDescent="0.4">
      <c r="B28" s="216" t="s">
        <v>55</v>
      </c>
      <c r="C28" s="245" t="s">
        <v>56</v>
      </c>
      <c r="D28" s="246">
        <f>10000</f>
        <v>10000</v>
      </c>
      <c r="E28" s="247">
        <v>0.33</v>
      </c>
      <c r="F28" s="248">
        <f>D28*E28</f>
        <v>3300</v>
      </c>
      <c r="G28" s="246">
        <f>D28+F28</f>
        <v>13300</v>
      </c>
      <c r="H28" s="213"/>
      <c r="I28" s="213"/>
      <c r="J28" s="333"/>
      <c r="K28" s="249"/>
      <c r="L28" s="250"/>
    </row>
    <row r="29" spans="1:17" s="212" customFormat="1" ht="15" outlineLevel="1" thickTop="1" x14ac:dyDescent="0.35">
      <c r="B29" s="223" t="s">
        <v>57</v>
      </c>
      <c r="C29" s="223"/>
      <c r="D29" s="329">
        <f>SUM(D27:D28)</f>
        <v>20000</v>
      </c>
      <c r="E29" s="328"/>
      <c r="F29" s="329">
        <f>SUM(F27:F28)</f>
        <v>6600</v>
      </c>
      <c r="G29" s="329">
        <f>SUM(G27:G28)</f>
        <v>26600</v>
      </c>
      <c r="H29" s="185"/>
      <c r="I29" s="251"/>
      <c r="J29" s="251"/>
      <c r="K29" s="252"/>
      <c r="L29" s="253"/>
      <c r="M29" s="185"/>
      <c r="N29" s="228"/>
      <c r="O29" s="228"/>
    </row>
    <row r="30" spans="1:17" s="212" customFormat="1" outlineLevel="1" x14ac:dyDescent="0.35">
      <c r="B30" s="223"/>
      <c r="C30" s="223"/>
      <c r="D30" s="228"/>
      <c r="E30" s="228"/>
      <c r="F30" s="251"/>
      <c r="G30" s="251"/>
      <c r="H30" s="185"/>
      <c r="I30" s="251"/>
      <c r="J30" s="251"/>
      <c r="K30" s="252"/>
      <c r="L30" s="253"/>
      <c r="M30" s="185"/>
      <c r="N30" s="228"/>
      <c r="O30" s="228"/>
    </row>
    <row r="31" spans="1:17" outlineLevel="1" x14ac:dyDescent="0.35">
      <c r="B31" s="235" t="s">
        <v>40</v>
      </c>
      <c r="C31" s="257" t="s">
        <v>33</v>
      </c>
      <c r="D31" s="257" t="s">
        <v>34</v>
      </c>
      <c r="E31" s="257" t="str">
        <f>_xlfn.CONCAT("Total Cost for ",E$14)</f>
        <v>Total Cost for 10</v>
      </c>
      <c r="F31" s="257" t="str">
        <f>_xlfn.CONCAT("Total Cost for ",F$14)</f>
        <v>Total Cost for 13</v>
      </c>
      <c r="G31" s="257" t="str">
        <f>_xlfn.CONCAT("Total Cost for ",G$14)</f>
        <v>Total Cost for 18</v>
      </c>
      <c r="H31" s="257" t="str">
        <f>_xlfn.CONCAT("Total Cost for ",H$14)</f>
        <v>Total Cost for 20</v>
      </c>
      <c r="I31" s="257"/>
      <c r="J31" s="237"/>
      <c r="K31" s="238"/>
      <c r="L31" s="239"/>
      <c r="M31" s="13"/>
      <c r="N31" s="186"/>
      <c r="O31" s="186"/>
    </row>
    <row r="32" spans="1:17" outlineLevel="2" x14ac:dyDescent="0.35">
      <c r="B32" s="201" t="s">
        <v>41</v>
      </c>
      <c r="C32" s="203">
        <v>0</v>
      </c>
      <c r="D32" s="203">
        <v>0</v>
      </c>
      <c r="E32" s="203">
        <f t="shared" ref="E32:H33" si="2">$C32+$D32*E$14</f>
        <v>0</v>
      </c>
      <c r="F32" s="203">
        <f t="shared" si="2"/>
        <v>0</v>
      </c>
      <c r="G32" s="203">
        <f t="shared" si="2"/>
        <v>0</v>
      </c>
      <c r="H32" s="203">
        <f t="shared" si="2"/>
        <v>0</v>
      </c>
      <c r="I32" s="203"/>
      <c r="J32" s="203"/>
      <c r="K32" s="258"/>
      <c r="L32" s="259"/>
      <c r="M32" s="13"/>
      <c r="N32" s="186"/>
      <c r="O32" s="186"/>
    </row>
    <row r="33" spans="2:15" outlineLevel="2" x14ac:dyDescent="0.35">
      <c r="B33" s="201" t="s">
        <v>114</v>
      </c>
      <c r="C33" s="203">
        <v>0</v>
      </c>
      <c r="D33" s="203">
        <f>135*2</f>
        <v>270</v>
      </c>
      <c r="E33" s="203">
        <f t="shared" si="2"/>
        <v>2700</v>
      </c>
      <c r="F33" s="203">
        <f t="shared" si="2"/>
        <v>3510</v>
      </c>
      <c r="G33" s="203">
        <f t="shared" si="2"/>
        <v>4860</v>
      </c>
      <c r="H33" s="203">
        <f t="shared" si="2"/>
        <v>5400</v>
      </c>
      <c r="I33" s="203"/>
      <c r="J33" s="203"/>
      <c r="K33" s="258"/>
      <c r="L33" s="259"/>
      <c r="M33" s="13"/>
      <c r="N33" s="186"/>
      <c r="O33" s="186"/>
    </row>
    <row r="34" spans="2:15" outlineLevel="2" x14ac:dyDescent="0.35">
      <c r="B34" s="264" t="s">
        <v>43</v>
      </c>
      <c r="C34" s="92">
        <v>7000</v>
      </c>
      <c r="D34" s="92">
        <v>0</v>
      </c>
      <c r="E34" s="92">
        <v>0</v>
      </c>
      <c r="F34" s="92">
        <v>0</v>
      </c>
      <c r="G34" s="92">
        <v>0</v>
      </c>
      <c r="H34" s="92">
        <v>0</v>
      </c>
      <c r="I34" s="92"/>
      <c r="J34" s="92"/>
      <c r="K34" s="334"/>
      <c r="L34" s="335"/>
    </row>
    <row r="35" spans="2:15" outlineLevel="2" x14ac:dyDescent="0.35">
      <c r="B35" s="201" t="s">
        <v>37</v>
      </c>
      <c r="C35" s="203">
        <v>0</v>
      </c>
      <c r="D35" s="203">
        <v>325</v>
      </c>
      <c r="E35" s="203">
        <f t="shared" ref="E35:H36" si="3">$C35+$D35*E$14</f>
        <v>3250</v>
      </c>
      <c r="F35" s="203">
        <f t="shared" si="3"/>
        <v>4225</v>
      </c>
      <c r="G35" s="203">
        <f t="shared" si="3"/>
        <v>5850</v>
      </c>
      <c r="H35" s="203">
        <f t="shared" si="3"/>
        <v>6500</v>
      </c>
      <c r="I35" s="203"/>
      <c r="J35" s="240"/>
      <c r="K35" s="243"/>
      <c r="L35" s="244"/>
      <c r="M35" s="13"/>
      <c r="N35" s="186"/>
      <c r="O35" s="186"/>
    </row>
    <row r="36" spans="2:15" ht="15" outlineLevel="2" thickBot="1" x14ac:dyDescent="0.4">
      <c r="B36" s="216" t="s">
        <v>38</v>
      </c>
      <c r="C36" s="260">
        <v>0</v>
      </c>
      <c r="D36" s="260">
        <v>0</v>
      </c>
      <c r="E36" s="260">
        <f t="shared" si="3"/>
        <v>0</v>
      </c>
      <c r="F36" s="260">
        <f t="shared" si="3"/>
        <v>0</v>
      </c>
      <c r="G36" s="260">
        <f t="shared" si="3"/>
        <v>0</v>
      </c>
      <c r="H36" s="260">
        <f t="shared" si="3"/>
        <v>0</v>
      </c>
      <c r="I36" s="260"/>
      <c r="J36" s="260"/>
      <c r="K36" s="267"/>
      <c r="L36" s="268"/>
      <c r="M36" s="13"/>
      <c r="N36" s="186"/>
      <c r="O36" s="186"/>
    </row>
    <row r="37" spans="2:15" s="212" customFormat="1" ht="15" outlineLevel="1" thickTop="1" x14ac:dyDescent="0.35">
      <c r="B37" s="223" t="s">
        <v>44</v>
      </c>
      <c r="C37" s="261">
        <f t="shared" ref="C37:H37" si="4">SUM(C32:C36)</f>
        <v>7000</v>
      </c>
      <c r="D37" s="261">
        <f t="shared" si="4"/>
        <v>595</v>
      </c>
      <c r="E37" s="261">
        <f t="shared" si="4"/>
        <v>5950</v>
      </c>
      <c r="F37" s="261">
        <f t="shared" si="4"/>
        <v>7735</v>
      </c>
      <c r="G37" s="261">
        <f t="shared" si="4"/>
        <v>10710</v>
      </c>
      <c r="H37" s="261">
        <f t="shared" si="4"/>
        <v>11900</v>
      </c>
      <c r="I37" s="261"/>
      <c r="J37" s="261"/>
      <c r="K37" s="262"/>
      <c r="L37" s="263"/>
      <c r="M37" s="185"/>
      <c r="N37" s="228"/>
      <c r="O37" s="228"/>
    </row>
    <row r="38" spans="2:15" s="254" customFormat="1" outlineLevel="1" x14ac:dyDescent="0.35">
      <c r="B38" s="212"/>
      <c r="C38" s="212"/>
      <c r="D38" s="212"/>
      <c r="E38" s="212"/>
      <c r="F38" s="212"/>
      <c r="G38" s="212"/>
      <c r="H38" s="212"/>
      <c r="I38" s="212"/>
      <c r="K38" s="255"/>
      <c r="L38" s="256"/>
    </row>
    <row r="39" spans="2:15" outlineLevel="1" x14ac:dyDescent="0.35">
      <c r="B39" s="235" t="s">
        <v>58</v>
      </c>
      <c r="C39" s="257" t="s">
        <v>33</v>
      </c>
      <c r="D39" s="257" t="s">
        <v>34</v>
      </c>
      <c r="E39" s="257" t="str">
        <f>_xlfn.CONCAT("Total Cost for ",E$14)</f>
        <v>Total Cost for 10</v>
      </c>
      <c r="F39" s="257" t="str">
        <f>_xlfn.CONCAT("Total Cost for ",F$14)</f>
        <v>Total Cost for 13</v>
      </c>
      <c r="G39" s="257" t="str">
        <f>_xlfn.CONCAT("Total Cost for ",G$14)</f>
        <v>Total Cost for 18</v>
      </c>
      <c r="H39" s="257" t="str">
        <f>_xlfn.CONCAT("Total Cost for ",H$14)</f>
        <v>Total Cost for 20</v>
      </c>
      <c r="I39" s="257"/>
      <c r="J39" s="237"/>
      <c r="K39" s="238"/>
      <c r="L39" s="239"/>
      <c r="M39" s="13"/>
      <c r="N39" s="186"/>
      <c r="O39" s="186"/>
    </row>
    <row r="40" spans="2:15" outlineLevel="2" x14ac:dyDescent="0.35">
      <c r="B40" s="201" t="s">
        <v>59</v>
      </c>
      <c r="C40" s="203">
        <v>0</v>
      </c>
      <c r="D40" s="203">
        <v>0</v>
      </c>
      <c r="E40" s="203">
        <f t="shared" ref="E40:H44" si="5">$C40+$D40*E$14</f>
        <v>0</v>
      </c>
      <c r="F40" s="203">
        <f t="shared" si="5"/>
        <v>0</v>
      </c>
      <c r="G40" s="203">
        <f t="shared" si="5"/>
        <v>0</v>
      </c>
      <c r="H40" s="203">
        <f t="shared" si="5"/>
        <v>0</v>
      </c>
      <c r="I40" s="203"/>
      <c r="J40" s="240"/>
      <c r="K40" s="243"/>
      <c r="L40" s="244"/>
      <c r="M40" s="13"/>
      <c r="N40" s="186"/>
      <c r="O40" s="186"/>
    </row>
    <row r="41" spans="2:15" outlineLevel="2" x14ac:dyDescent="0.35">
      <c r="B41" s="201" t="s">
        <v>60</v>
      </c>
      <c r="C41" s="203">
        <v>0</v>
      </c>
      <c r="D41" s="203">
        <v>0</v>
      </c>
      <c r="E41" s="203">
        <f t="shared" si="5"/>
        <v>0</v>
      </c>
      <c r="F41" s="203">
        <f t="shared" si="5"/>
        <v>0</v>
      </c>
      <c r="G41" s="203">
        <f t="shared" si="5"/>
        <v>0</v>
      </c>
      <c r="H41" s="203">
        <f t="shared" si="5"/>
        <v>0</v>
      </c>
      <c r="I41" s="203"/>
      <c r="J41" s="203"/>
      <c r="K41" s="258"/>
      <c r="L41" s="259"/>
      <c r="M41" s="13"/>
      <c r="N41" s="186"/>
      <c r="O41" s="186"/>
    </row>
    <row r="42" spans="2:15" outlineLevel="2" x14ac:dyDescent="0.35">
      <c r="B42" s="201" t="s">
        <v>61</v>
      </c>
      <c r="C42" s="203">
        <v>0</v>
      </c>
      <c r="D42" s="203">
        <v>0</v>
      </c>
      <c r="E42" s="203">
        <f t="shared" si="5"/>
        <v>0</v>
      </c>
      <c r="F42" s="203">
        <f t="shared" si="5"/>
        <v>0</v>
      </c>
      <c r="G42" s="203">
        <f t="shared" si="5"/>
        <v>0</v>
      </c>
      <c r="H42" s="203">
        <f t="shared" si="5"/>
        <v>0</v>
      </c>
      <c r="I42" s="203"/>
      <c r="J42" s="240"/>
      <c r="K42" s="243"/>
      <c r="L42" s="244"/>
      <c r="M42" s="13"/>
      <c r="N42" s="186"/>
      <c r="O42" s="186"/>
    </row>
    <row r="43" spans="2:15" outlineLevel="2" x14ac:dyDescent="0.35">
      <c r="B43" s="201" t="s">
        <v>62</v>
      </c>
      <c r="C43" s="203">
        <v>0</v>
      </c>
      <c r="D43" s="203">
        <v>0</v>
      </c>
      <c r="E43" s="203">
        <f t="shared" si="5"/>
        <v>0</v>
      </c>
      <c r="F43" s="203">
        <f t="shared" si="5"/>
        <v>0</v>
      </c>
      <c r="G43" s="203">
        <f t="shared" si="5"/>
        <v>0</v>
      </c>
      <c r="H43" s="203">
        <f t="shared" si="5"/>
        <v>0</v>
      </c>
      <c r="I43" s="203"/>
      <c r="J43" s="203"/>
      <c r="K43" s="258"/>
      <c r="L43" s="259"/>
      <c r="M43" s="13"/>
      <c r="N43" s="186"/>
      <c r="O43" s="186"/>
    </row>
    <row r="44" spans="2:15" ht="15" outlineLevel="2" thickBot="1" x14ac:dyDescent="0.4">
      <c r="B44" s="216" t="s">
        <v>63</v>
      </c>
      <c r="C44" s="260">
        <v>0</v>
      </c>
      <c r="D44" s="260">
        <v>0</v>
      </c>
      <c r="E44" s="260">
        <f t="shared" si="5"/>
        <v>0</v>
      </c>
      <c r="F44" s="260">
        <f t="shared" si="5"/>
        <v>0</v>
      </c>
      <c r="G44" s="260">
        <f t="shared" si="5"/>
        <v>0</v>
      </c>
      <c r="H44" s="260">
        <f t="shared" si="5"/>
        <v>0</v>
      </c>
      <c r="I44" s="260"/>
      <c r="J44" s="246"/>
      <c r="K44" s="249"/>
      <c r="L44" s="250"/>
      <c r="M44" s="240"/>
      <c r="N44" s="186"/>
      <c r="O44" s="186"/>
    </row>
    <row r="45" spans="2:15" s="212" customFormat="1" ht="15" outlineLevel="1" thickTop="1" x14ac:dyDescent="0.35">
      <c r="B45" s="223" t="s">
        <v>64</v>
      </c>
      <c r="C45" s="261">
        <f t="shared" ref="C45:H45" si="6">SUM(C40:C44)</f>
        <v>0</v>
      </c>
      <c r="D45" s="261">
        <f t="shared" si="6"/>
        <v>0</v>
      </c>
      <c r="E45" s="261">
        <f t="shared" si="6"/>
        <v>0</v>
      </c>
      <c r="F45" s="261">
        <f t="shared" si="6"/>
        <v>0</v>
      </c>
      <c r="G45" s="261">
        <f t="shared" si="6"/>
        <v>0</v>
      </c>
      <c r="H45" s="261">
        <f t="shared" si="6"/>
        <v>0</v>
      </c>
      <c r="I45" s="261"/>
      <c r="J45" s="261"/>
      <c r="K45" s="262"/>
      <c r="L45" s="263"/>
      <c r="M45" s="185"/>
      <c r="N45" s="228"/>
      <c r="O45" s="228"/>
    </row>
    <row r="46" spans="2:15" s="212" customFormat="1" outlineLevel="1" x14ac:dyDescent="0.35">
      <c r="B46" s="223"/>
      <c r="C46" s="261"/>
      <c r="D46" s="261"/>
      <c r="E46" s="261"/>
      <c r="F46" s="261"/>
      <c r="G46" s="261"/>
      <c r="H46" s="261"/>
      <c r="I46" s="261"/>
      <c r="J46" s="261"/>
      <c r="K46" s="262"/>
      <c r="L46" s="263"/>
      <c r="M46" s="185"/>
      <c r="N46" s="228"/>
      <c r="O46" s="228"/>
    </row>
    <row r="47" spans="2:15" outlineLevel="1" x14ac:dyDescent="0.35">
      <c r="B47" s="336" t="s">
        <v>65</v>
      </c>
      <c r="C47" s="337" t="s">
        <v>33</v>
      </c>
      <c r="D47" s="337" t="s">
        <v>34</v>
      </c>
      <c r="E47" s="337" t="str">
        <f>_xlfn.CONCAT("Total Cost for ",E$14)</f>
        <v>Total Cost for 10</v>
      </c>
      <c r="F47" s="337" t="str">
        <f>_xlfn.CONCAT("Total Cost for ",F$14)</f>
        <v>Total Cost for 13</v>
      </c>
      <c r="G47" s="337" t="str">
        <f>_xlfn.CONCAT("Total Cost for ",G$14)</f>
        <v>Total Cost for 18</v>
      </c>
      <c r="H47" s="337" t="str">
        <f>_xlfn.CONCAT("Total Cost for ",H$14)</f>
        <v>Total Cost for 20</v>
      </c>
      <c r="I47" s="337"/>
      <c r="J47" s="338"/>
      <c r="K47" s="339"/>
      <c r="L47" s="340"/>
    </row>
    <row r="48" spans="2:15" outlineLevel="2" x14ac:dyDescent="0.35">
      <c r="B48" s="264" t="s">
        <v>66</v>
      </c>
      <c r="C48" s="92">
        <v>0</v>
      </c>
      <c r="D48" s="92">
        <v>0</v>
      </c>
      <c r="E48" s="92">
        <f t="shared" ref="E48:H49" si="7">$C48+$D48*E$14</f>
        <v>0</v>
      </c>
      <c r="F48" s="92">
        <f t="shared" si="7"/>
        <v>0</v>
      </c>
      <c r="G48" s="92">
        <f t="shared" si="7"/>
        <v>0</v>
      </c>
      <c r="H48" s="92">
        <f t="shared" si="7"/>
        <v>0</v>
      </c>
      <c r="I48" s="92"/>
      <c r="J48" s="92"/>
      <c r="K48" s="334"/>
      <c r="L48" s="335"/>
    </row>
    <row r="49" spans="2:12" ht="15" outlineLevel="2" thickBot="1" x14ac:dyDescent="0.4">
      <c r="B49" s="341" t="s">
        <v>67</v>
      </c>
      <c r="C49" s="342">
        <v>0</v>
      </c>
      <c r="D49" s="342">
        <v>0</v>
      </c>
      <c r="E49" s="342">
        <f t="shared" si="7"/>
        <v>0</v>
      </c>
      <c r="F49" s="342">
        <f t="shared" si="7"/>
        <v>0</v>
      </c>
      <c r="G49" s="342">
        <f t="shared" si="7"/>
        <v>0</v>
      </c>
      <c r="H49" s="342">
        <f t="shared" si="7"/>
        <v>0</v>
      </c>
      <c r="I49" s="342"/>
      <c r="J49" s="342"/>
      <c r="K49" s="343"/>
      <c r="L49" s="344"/>
    </row>
    <row r="50" spans="2:12" ht="15" outlineLevel="1" thickTop="1" x14ac:dyDescent="0.35">
      <c r="B50" s="345" t="s">
        <v>68</v>
      </c>
      <c r="C50" s="346">
        <f t="shared" ref="C50:H50" si="8">SUM(C48:C49)</f>
        <v>0</v>
      </c>
      <c r="D50" s="346">
        <f t="shared" si="8"/>
        <v>0</v>
      </c>
      <c r="E50" s="346">
        <f t="shared" si="8"/>
        <v>0</v>
      </c>
      <c r="F50" s="346">
        <f t="shared" si="8"/>
        <v>0</v>
      </c>
      <c r="G50" s="346">
        <f t="shared" si="8"/>
        <v>0</v>
      </c>
      <c r="H50" s="346">
        <f t="shared" si="8"/>
        <v>0</v>
      </c>
      <c r="I50" s="346"/>
      <c r="J50" s="346"/>
      <c r="K50" s="347"/>
      <c r="L50" s="348"/>
    </row>
    <row r="51" spans="2:12" outlineLevel="1" x14ac:dyDescent="0.35">
      <c r="B51" s="264"/>
      <c r="J51" s="212"/>
      <c r="K51" s="349"/>
      <c r="L51" s="350"/>
    </row>
    <row r="52" spans="2:12" outlineLevel="1" x14ac:dyDescent="0.35">
      <c r="B52" s="336" t="s">
        <v>69</v>
      </c>
      <c r="C52" s="337" t="s">
        <v>33</v>
      </c>
      <c r="D52" s="337" t="s">
        <v>34</v>
      </c>
      <c r="E52" s="337" t="str">
        <f>_xlfn.CONCAT("Total Cost for ",E$14)</f>
        <v>Total Cost for 10</v>
      </c>
      <c r="F52" s="337" t="str">
        <f>_xlfn.CONCAT("Total Cost for ",F$14)</f>
        <v>Total Cost for 13</v>
      </c>
      <c r="G52" s="337" t="str">
        <f>_xlfn.CONCAT("Total Cost for ",G$14)</f>
        <v>Total Cost for 18</v>
      </c>
      <c r="H52" s="337" t="str">
        <f>_xlfn.CONCAT("Total Cost for ",H$14)</f>
        <v>Total Cost for 20</v>
      </c>
      <c r="I52" s="337"/>
      <c r="J52" s="338"/>
      <c r="K52" s="339"/>
      <c r="L52" s="340"/>
    </row>
    <row r="53" spans="2:12" outlineLevel="2" x14ac:dyDescent="0.35">
      <c r="B53" s="264" t="s">
        <v>115</v>
      </c>
      <c r="C53" s="92">
        <v>0</v>
      </c>
      <c r="D53" s="92">
        <v>25</v>
      </c>
      <c r="E53" s="92">
        <f>$C53+$D53*E$14</f>
        <v>250</v>
      </c>
      <c r="F53" s="92">
        <f>$C53+$D53*F$14</f>
        <v>325</v>
      </c>
      <c r="G53" s="92">
        <f>$C53+$D53*G$14</f>
        <v>450</v>
      </c>
      <c r="H53" s="92">
        <f>$C53+$D53*H$14</f>
        <v>500</v>
      </c>
      <c r="I53" s="92"/>
      <c r="J53" s="92"/>
      <c r="K53" s="334"/>
      <c r="L53" s="335"/>
    </row>
    <row r="54" spans="2:12" outlineLevel="1" x14ac:dyDescent="0.35">
      <c r="B54" s="345" t="s">
        <v>116</v>
      </c>
      <c r="C54" s="346">
        <f t="shared" ref="C54:H54" si="9">SUM(C53:C53)</f>
        <v>0</v>
      </c>
      <c r="D54" s="346">
        <f t="shared" si="9"/>
        <v>25</v>
      </c>
      <c r="E54" s="346">
        <f t="shared" si="9"/>
        <v>250</v>
      </c>
      <c r="F54" s="346">
        <f t="shared" si="9"/>
        <v>325</v>
      </c>
      <c r="G54" s="346">
        <f t="shared" si="9"/>
        <v>450</v>
      </c>
      <c r="H54" s="346">
        <f t="shared" si="9"/>
        <v>500</v>
      </c>
      <c r="I54" s="346"/>
      <c r="J54" s="346"/>
      <c r="K54" s="347"/>
      <c r="L54" s="348"/>
    </row>
    <row r="55" spans="2:12" outlineLevel="1" x14ac:dyDescent="0.35">
      <c r="B55" s="264"/>
      <c r="J55" s="212"/>
      <c r="K55" s="349"/>
      <c r="L55" s="350"/>
    </row>
    <row r="56" spans="2:12" outlineLevel="1" x14ac:dyDescent="0.35">
      <c r="B56" s="336" t="s">
        <v>72</v>
      </c>
      <c r="C56" s="337" t="s">
        <v>33</v>
      </c>
      <c r="D56" s="337" t="s">
        <v>34</v>
      </c>
      <c r="E56" s="337" t="str">
        <f>_xlfn.CONCAT("Total Cost for ",E$14)</f>
        <v>Total Cost for 10</v>
      </c>
      <c r="F56" s="337" t="str">
        <f>_xlfn.CONCAT("Total Cost for ",F$14)</f>
        <v>Total Cost for 13</v>
      </c>
      <c r="G56" s="337" t="str">
        <f>_xlfn.CONCAT("Total Cost for ",G$14)</f>
        <v>Total Cost for 18</v>
      </c>
      <c r="H56" s="337" t="str">
        <f>_xlfn.CONCAT("Total Cost for ",H$14)</f>
        <v>Total Cost for 20</v>
      </c>
      <c r="I56" s="337"/>
      <c r="J56" s="338"/>
      <c r="K56" s="339"/>
      <c r="L56" s="340"/>
    </row>
    <row r="57" spans="2:12" outlineLevel="2" x14ac:dyDescent="0.35">
      <c r="B57" s="264" t="s">
        <v>73</v>
      </c>
      <c r="C57" s="92">
        <v>0</v>
      </c>
      <c r="D57" s="92">
        <v>0</v>
      </c>
      <c r="E57" s="92">
        <f t="shared" ref="E57:H59" si="10">$C57+$D57*E$14</f>
        <v>0</v>
      </c>
      <c r="F57" s="92">
        <f t="shared" si="10"/>
        <v>0</v>
      </c>
      <c r="G57" s="92">
        <f t="shared" si="10"/>
        <v>0</v>
      </c>
      <c r="H57" s="92">
        <f t="shared" si="10"/>
        <v>0</v>
      </c>
      <c r="I57" s="92"/>
      <c r="J57" s="92"/>
      <c r="K57" s="334"/>
      <c r="L57" s="335"/>
    </row>
    <row r="58" spans="2:12" outlineLevel="2" x14ac:dyDescent="0.35">
      <c r="B58" s="264" t="s">
        <v>74</v>
      </c>
      <c r="C58" s="92">
        <v>0</v>
      </c>
      <c r="D58" s="92">
        <v>0</v>
      </c>
      <c r="E58" s="92">
        <f t="shared" si="10"/>
        <v>0</v>
      </c>
      <c r="F58" s="92">
        <f t="shared" si="10"/>
        <v>0</v>
      </c>
      <c r="G58" s="92">
        <f t="shared" si="10"/>
        <v>0</v>
      </c>
      <c r="H58" s="92">
        <f t="shared" si="10"/>
        <v>0</v>
      </c>
      <c r="I58" s="92"/>
      <c r="J58" s="92"/>
      <c r="K58" s="334"/>
      <c r="L58" s="335"/>
    </row>
    <row r="59" spans="2:12" ht="15" outlineLevel="2" thickBot="1" x14ac:dyDescent="0.4">
      <c r="B59" s="341" t="s">
        <v>75</v>
      </c>
      <c r="C59" s="342">
        <v>0</v>
      </c>
      <c r="D59" s="342">
        <v>0</v>
      </c>
      <c r="E59" s="342">
        <f t="shared" si="10"/>
        <v>0</v>
      </c>
      <c r="F59" s="342">
        <f t="shared" si="10"/>
        <v>0</v>
      </c>
      <c r="G59" s="342">
        <f t="shared" si="10"/>
        <v>0</v>
      </c>
      <c r="H59" s="342">
        <f t="shared" si="10"/>
        <v>0</v>
      </c>
      <c r="I59" s="342"/>
      <c r="J59" s="342"/>
      <c r="K59" s="351"/>
      <c r="L59" s="352"/>
    </row>
    <row r="60" spans="2:12" ht="15" outlineLevel="1" thickTop="1" x14ac:dyDescent="0.35">
      <c r="B60" s="345" t="s">
        <v>76</v>
      </c>
      <c r="C60" s="346">
        <f t="shared" ref="C60:H60" si="11">SUM(C57:C59)</f>
        <v>0</v>
      </c>
      <c r="D60" s="346">
        <f t="shared" si="11"/>
        <v>0</v>
      </c>
      <c r="E60" s="346">
        <f t="shared" si="11"/>
        <v>0</v>
      </c>
      <c r="F60" s="346">
        <f t="shared" si="11"/>
        <v>0</v>
      </c>
      <c r="G60" s="346">
        <f t="shared" si="11"/>
        <v>0</v>
      </c>
      <c r="H60" s="346">
        <f t="shared" si="11"/>
        <v>0</v>
      </c>
      <c r="I60" s="346"/>
      <c r="J60" s="346"/>
      <c r="K60" s="347"/>
      <c r="L60" s="348"/>
    </row>
    <row r="61" spans="2:12" outlineLevel="1" x14ac:dyDescent="0.35">
      <c r="B61" s="345"/>
      <c r="C61" s="346"/>
      <c r="D61" s="346"/>
      <c r="E61" s="346"/>
      <c r="F61" s="346"/>
      <c r="G61" s="346"/>
      <c r="H61" s="346"/>
      <c r="I61" s="346"/>
      <c r="J61" s="346"/>
      <c r="K61" s="347"/>
      <c r="L61" s="348"/>
    </row>
    <row r="62" spans="2:12" outlineLevel="1" x14ac:dyDescent="0.35">
      <c r="B62" s="336" t="s">
        <v>77</v>
      </c>
      <c r="C62" s="337" t="s">
        <v>33</v>
      </c>
      <c r="D62" s="337" t="s">
        <v>34</v>
      </c>
      <c r="E62" s="337" t="str">
        <f>_xlfn.CONCAT("Total Cost for ",E$14)</f>
        <v>Total Cost for 10</v>
      </c>
      <c r="F62" s="337" t="str">
        <f>_xlfn.CONCAT("Total Cost for ",F$14)</f>
        <v>Total Cost for 13</v>
      </c>
      <c r="G62" s="337" t="str">
        <f>_xlfn.CONCAT("Total Cost for ",G$14)</f>
        <v>Total Cost for 18</v>
      </c>
      <c r="H62" s="337" t="str">
        <f>_xlfn.CONCAT("Total Cost for ",H$14)</f>
        <v>Total Cost for 20</v>
      </c>
      <c r="I62" s="337"/>
      <c r="J62" s="338"/>
      <c r="K62" s="339"/>
      <c r="L62" s="340"/>
    </row>
    <row r="63" spans="2:12" outlineLevel="2" x14ac:dyDescent="0.35">
      <c r="B63" s="264" t="s">
        <v>78</v>
      </c>
      <c r="C63" s="92">
        <v>0</v>
      </c>
      <c r="D63" s="92">
        <v>15</v>
      </c>
      <c r="E63" s="92">
        <f t="shared" ref="E63:H68" si="12">$C63+$D63*E$14</f>
        <v>150</v>
      </c>
      <c r="F63" s="92">
        <f t="shared" si="12"/>
        <v>195</v>
      </c>
      <c r="G63" s="92">
        <f t="shared" si="12"/>
        <v>270</v>
      </c>
      <c r="H63" s="92">
        <f t="shared" si="12"/>
        <v>300</v>
      </c>
      <c r="I63" s="92"/>
      <c r="J63" s="92"/>
      <c r="K63" s="334"/>
      <c r="L63" s="335"/>
    </row>
    <row r="64" spans="2:12" outlineLevel="2" x14ac:dyDescent="0.35">
      <c r="B64" s="264" t="s">
        <v>79</v>
      </c>
      <c r="C64" s="92">
        <v>0</v>
      </c>
      <c r="D64" s="92">
        <v>20</v>
      </c>
      <c r="E64" s="92">
        <f t="shared" si="12"/>
        <v>200</v>
      </c>
      <c r="F64" s="92">
        <f t="shared" si="12"/>
        <v>260</v>
      </c>
      <c r="G64" s="92">
        <f t="shared" si="12"/>
        <v>360</v>
      </c>
      <c r="H64" s="92">
        <f t="shared" si="12"/>
        <v>400</v>
      </c>
      <c r="I64" s="92"/>
      <c r="J64" s="92"/>
      <c r="K64" s="334"/>
      <c r="L64" s="335"/>
    </row>
    <row r="65" spans="1:17" outlineLevel="2" x14ac:dyDescent="0.35">
      <c r="B65" s="264" t="s">
        <v>117</v>
      </c>
      <c r="C65" s="92">
        <v>0</v>
      </c>
      <c r="D65" s="92">
        <v>0</v>
      </c>
      <c r="E65" s="92">
        <f t="shared" si="12"/>
        <v>0</v>
      </c>
      <c r="F65" s="92">
        <f t="shared" si="12"/>
        <v>0</v>
      </c>
      <c r="G65" s="92">
        <f t="shared" si="12"/>
        <v>0</v>
      </c>
      <c r="H65" s="92">
        <f t="shared" si="12"/>
        <v>0</v>
      </c>
      <c r="I65" s="92"/>
      <c r="J65" s="92"/>
      <c r="K65" s="334"/>
      <c r="L65" s="335"/>
    </row>
    <row r="66" spans="1:17" outlineLevel="2" x14ac:dyDescent="0.35">
      <c r="B66" s="264" t="s">
        <v>80</v>
      </c>
      <c r="C66" s="92">
        <v>0</v>
      </c>
      <c r="D66" s="92">
        <v>0</v>
      </c>
      <c r="E66" s="92">
        <f t="shared" si="12"/>
        <v>0</v>
      </c>
      <c r="F66" s="92">
        <f t="shared" si="12"/>
        <v>0</v>
      </c>
      <c r="G66" s="92">
        <f t="shared" si="12"/>
        <v>0</v>
      </c>
      <c r="H66" s="92">
        <f t="shared" si="12"/>
        <v>0</v>
      </c>
      <c r="I66" s="92"/>
      <c r="J66" s="92"/>
      <c r="K66" s="334"/>
      <c r="L66" s="335"/>
    </row>
    <row r="67" spans="1:17" outlineLevel="2" x14ac:dyDescent="0.35">
      <c r="B67" s="264" t="s">
        <v>81</v>
      </c>
      <c r="C67" s="92">
        <v>500</v>
      </c>
      <c r="D67" s="92">
        <v>0</v>
      </c>
      <c r="E67" s="92">
        <f t="shared" si="12"/>
        <v>500</v>
      </c>
      <c r="F67" s="92">
        <f t="shared" si="12"/>
        <v>500</v>
      </c>
      <c r="G67" s="92">
        <f t="shared" si="12"/>
        <v>500</v>
      </c>
      <c r="H67" s="92">
        <f t="shared" si="12"/>
        <v>500</v>
      </c>
      <c r="I67" s="92"/>
      <c r="J67" s="92"/>
      <c r="K67" s="334"/>
      <c r="L67" s="335"/>
    </row>
    <row r="68" spans="1:17" ht="15" outlineLevel="2" thickBot="1" x14ac:dyDescent="0.4">
      <c r="B68" s="341" t="s">
        <v>82</v>
      </c>
      <c r="C68" s="342">
        <v>0</v>
      </c>
      <c r="D68" s="342">
        <v>0</v>
      </c>
      <c r="E68" s="342">
        <f t="shared" si="12"/>
        <v>0</v>
      </c>
      <c r="F68" s="342">
        <f t="shared" si="12"/>
        <v>0</v>
      </c>
      <c r="G68" s="342">
        <f t="shared" si="12"/>
        <v>0</v>
      </c>
      <c r="H68" s="342">
        <f t="shared" si="12"/>
        <v>0</v>
      </c>
      <c r="I68" s="342"/>
      <c r="J68" s="342"/>
      <c r="K68" s="343"/>
      <c r="L68" s="344"/>
    </row>
    <row r="69" spans="1:17" ht="15.5" outlineLevel="1" thickTop="1" thickBot="1" x14ac:dyDescent="0.4">
      <c r="A69" s="213"/>
      <c r="B69" s="353" t="s">
        <v>83</v>
      </c>
      <c r="C69" s="354">
        <f t="shared" ref="C69:H69" si="13">SUM(C63:C68)</f>
        <v>500</v>
      </c>
      <c r="D69" s="354">
        <f t="shared" si="13"/>
        <v>35</v>
      </c>
      <c r="E69" s="354">
        <f t="shared" si="13"/>
        <v>850</v>
      </c>
      <c r="F69" s="354">
        <f t="shared" si="13"/>
        <v>955</v>
      </c>
      <c r="G69" s="354">
        <f t="shared" si="13"/>
        <v>1130</v>
      </c>
      <c r="H69" s="354">
        <f t="shared" si="13"/>
        <v>1200</v>
      </c>
      <c r="I69" s="354"/>
      <c r="J69" s="354"/>
      <c r="K69" s="355"/>
      <c r="L69" s="356"/>
    </row>
    <row r="70" spans="1:17" ht="15" thickTop="1" x14ac:dyDescent="0.35">
      <c r="A70" s="212" t="s">
        <v>84</v>
      </c>
      <c r="B70" s="223"/>
      <c r="C70" s="261"/>
      <c r="D70" s="261"/>
      <c r="E70" s="261">
        <f>$G$29++E24+E37+E45+E50+E54+E60+E69</f>
        <v>49125</v>
      </c>
      <c r="F70" s="261">
        <f>$G$29++F24+F37+F45+F50+F54+F60+F69</f>
        <v>54720</v>
      </c>
      <c r="G70" s="261">
        <f>$G$29++G24+G37+G45+G50+G54+G60+G69</f>
        <v>64045</v>
      </c>
      <c r="H70" s="261">
        <f>$G$29++H24+H37+H45+H50+H54+H60+H69</f>
        <v>67775</v>
      </c>
      <c r="I70" s="261"/>
      <c r="J70" s="261"/>
      <c r="K70" s="265"/>
      <c r="L70" s="266"/>
      <c r="M70" s="13"/>
      <c r="N70" s="186"/>
      <c r="O70" s="186"/>
      <c r="P70" s="186"/>
      <c r="Q70" s="186"/>
    </row>
    <row r="71" spans="1:17" x14ac:dyDescent="0.35">
      <c r="A71" s="212"/>
      <c r="B71" s="223"/>
      <c r="C71" s="261"/>
      <c r="D71" s="261"/>
      <c r="E71" s="261"/>
      <c r="F71" s="261"/>
      <c r="G71" s="261"/>
      <c r="H71" s="261"/>
      <c r="I71" s="261"/>
      <c r="J71" s="261"/>
      <c r="K71" s="265"/>
      <c r="L71" s="266"/>
      <c r="M71" s="13"/>
      <c r="N71" s="186"/>
      <c r="O71" s="186"/>
      <c r="P71" s="186"/>
      <c r="Q71" s="186"/>
    </row>
    <row r="72" spans="1:17" ht="15" thickBot="1" x14ac:dyDescent="0.4">
      <c r="A72" s="184" t="s">
        <v>85</v>
      </c>
      <c r="B72" s="231"/>
      <c r="C72" s="231"/>
      <c r="D72" s="231"/>
      <c r="E72" s="231"/>
      <c r="F72" s="231"/>
      <c r="G72" s="231"/>
      <c r="H72" s="231"/>
      <c r="I72" s="231"/>
      <c r="J72" s="231"/>
      <c r="K72" s="270"/>
      <c r="L72" s="271"/>
      <c r="M72" s="13"/>
      <c r="N72" s="186"/>
      <c r="O72" s="186"/>
    </row>
    <row r="73" spans="1:17" outlineLevel="1" x14ac:dyDescent="0.35">
      <c r="A73" s="212"/>
      <c r="B73" s="235" t="s">
        <v>86</v>
      </c>
      <c r="C73" s="257" t="s">
        <v>33</v>
      </c>
      <c r="D73" s="257" t="s">
        <v>34</v>
      </c>
      <c r="E73" s="257" t="str">
        <f>_xlfn.CONCAT("Total Cost for ",E$14)</f>
        <v>Total Cost for 10</v>
      </c>
      <c r="F73" s="257" t="str">
        <f>_xlfn.CONCAT("Total Cost for ",F$14)</f>
        <v>Total Cost for 13</v>
      </c>
      <c r="G73" s="257" t="str">
        <f>_xlfn.CONCAT("Total Cost for ",G$14)</f>
        <v>Total Cost for 18</v>
      </c>
      <c r="H73" s="257" t="str">
        <f>_xlfn.CONCAT("Total Cost for ",H$14)</f>
        <v>Total Cost for 20</v>
      </c>
      <c r="I73" s="257"/>
      <c r="J73" s="257"/>
      <c r="K73" s="272"/>
      <c r="L73" s="273"/>
      <c r="M73" s="13"/>
      <c r="N73" s="186"/>
      <c r="O73" s="186"/>
    </row>
    <row r="74" spans="1:17" ht="15" outlineLevel="2" thickBot="1" x14ac:dyDescent="0.4">
      <c r="A74" s="212"/>
      <c r="B74" s="216" t="s">
        <v>7</v>
      </c>
      <c r="C74" s="274">
        <v>0</v>
      </c>
      <c r="D74" s="275">
        <v>0.4</v>
      </c>
      <c r="E74" s="260">
        <f>$D74*E$16</f>
        <v>57656</v>
      </c>
      <c r="F74" s="260">
        <f>$D74*F$16</f>
        <v>71546.8</v>
      </c>
      <c r="G74" s="260">
        <f>$D74*G$16</f>
        <v>95464.8</v>
      </c>
      <c r="H74" s="260">
        <f>$D74*H$16</f>
        <v>102072</v>
      </c>
      <c r="I74" s="276"/>
      <c r="J74" s="276"/>
      <c r="K74" s="277"/>
      <c r="L74" s="278"/>
      <c r="M74" s="13"/>
      <c r="N74" s="186"/>
      <c r="O74" s="186"/>
    </row>
    <row r="75" spans="1:17" ht="15" outlineLevel="1" thickTop="1" x14ac:dyDescent="0.35">
      <c r="A75" s="212"/>
      <c r="B75" s="223" t="s">
        <v>87</v>
      </c>
      <c r="C75" s="261">
        <f>SUM(C74)</f>
        <v>0</v>
      </c>
      <c r="D75" s="279">
        <f>SUM(D74)</f>
        <v>0.4</v>
      </c>
      <c r="E75" s="261">
        <f>SUM(E74)</f>
        <v>57656</v>
      </c>
      <c r="F75" s="261">
        <f t="shared" ref="F75:H75" si="14">SUM(F74)</f>
        <v>71546.8</v>
      </c>
      <c r="G75" s="261">
        <f t="shared" si="14"/>
        <v>95464.8</v>
      </c>
      <c r="H75" s="261">
        <f t="shared" si="14"/>
        <v>102072</v>
      </c>
      <c r="I75" s="228"/>
      <c r="J75" s="228"/>
      <c r="K75" s="280"/>
      <c r="L75" s="281"/>
      <c r="M75" s="13"/>
      <c r="N75" s="186"/>
      <c r="O75" s="186"/>
    </row>
    <row r="76" spans="1:17" outlineLevel="1" x14ac:dyDescent="0.35">
      <c r="A76" s="212"/>
      <c r="B76" s="228"/>
      <c r="C76" s="228"/>
      <c r="D76" s="228"/>
      <c r="E76" s="228"/>
      <c r="F76" s="228"/>
      <c r="G76" s="228"/>
      <c r="H76" s="228"/>
      <c r="I76" s="228"/>
      <c r="J76" s="228"/>
      <c r="K76" s="280"/>
      <c r="L76" s="281"/>
      <c r="M76" s="13"/>
      <c r="N76" s="186"/>
      <c r="O76" s="186"/>
    </row>
    <row r="77" spans="1:17" outlineLevel="1" x14ac:dyDescent="0.35">
      <c r="A77" s="212"/>
      <c r="B77" s="257" t="s">
        <v>88</v>
      </c>
      <c r="C77" s="257" t="s">
        <v>33</v>
      </c>
      <c r="D77" s="257" t="s">
        <v>34</v>
      </c>
      <c r="E77" s="257" t="str">
        <f>_xlfn.CONCAT("Total Cost for ",E$14)</f>
        <v>Total Cost for 10</v>
      </c>
      <c r="F77" s="257" t="str">
        <f>_xlfn.CONCAT("Total Cost for ",F$14)</f>
        <v>Total Cost for 13</v>
      </c>
      <c r="G77" s="257" t="str">
        <f>_xlfn.CONCAT("Total Cost for ",G$14)</f>
        <v>Total Cost for 18</v>
      </c>
      <c r="H77" s="257" t="str">
        <f>_xlfn.CONCAT("Total Cost for ",H$14)</f>
        <v>Total Cost for 20</v>
      </c>
      <c r="I77" s="257"/>
      <c r="J77" s="257"/>
      <c r="K77" s="272"/>
      <c r="L77" s="273"/>
      <c r="M77" s="13"/>
      <c r="N77" s="186"/>
      <c r="O77" s="186"/>
    </row>
    <row r="78" spans="1:17" outlineLevel="2" x14ac:dyDescent="0.35">
      <c r="A78" s="212"/>
      <c r="B78" s="264" t="s">
        <v>89</v>
      </c>
      <c r="C78" s="282">
        <v>0</v>
      </c>
      <c r="D78" s="283">
        <v>0.34100000000000003</v>
      </c>
      <c r="E78" s="203">
        <f>$D78*(E$70+E$74)</f>
        <v>36412.321000000004</v>
      </c>
      <c r="F78" s="203">
        <f>$D78*(F$70+F$74)</f>
        <v>43056.978800000004</v>
      </c>
      <c r="G78" s="203">
        <f>$D78*(G$70+G$74)</f>
        <v>54392.841800000002</v>
      </c>
      <c r="H78" s="203">
        <f t="shared" ref="H78" si="15">$D78*(H$70+H$74)</f>
        <v>57917.827000000005</v>
      </c>
      <c r="I78" s="203"/>
      <c r="J78" s="203"/>
      <c r="K78" s="258"/>
      <c r="L78" s="259"/>
      <c r="M78" s="228"/>
      <c r="N78" s="228"/>
      <c r="O78" s="186"/>
      <c r="P78" s="186"/>
      <c r="Q78" s="234"/>
    </row>
    <row r="79" spans="1:17" ht="15" outlineLevel="2" thickBot="1" x14ac:dyDescent="0.4">
      <c r="B79" s="216" t="s">
        <v>90</v>
      </c>
      <c r="C79" s="274">
        <v>0</v>
      </c>
      <c r="D79" s="275">
        <v>4.5400000000000003E-2</v>
      </c>
      <c r="E79" s="260">
        <f>$D79*(E$70+E$75+E78)</f>
        <v>6500.9767734000006</v>
      </c>
      <c r="F79" s="260">
        <f>$D79*(F$70+F$75+F78)</f>
        <v>7687.2995575200002</v>
      </c>
      <c r="G79" s="260">
        <f>$D79*(G$70+G$75+G78)</f>
        <v>9711.1799377200005</v>
      </c>
      <c r="H79" s="260">
        <f>$D79*(H$70+H$75+H78)</f>
        <v>10340.5231458</v>
      </c>
      <c r="I79" s="260"/>
      <c r="J79" s="246"/>
      <c r="K79" s="249"/>
      <c r="L79" s="250"/>
      <c r="M79" s="13"/>
      <c r="N79" s="186"/>
      <c r="O79" s="186"/>
      <c r="P79" s="186"/>
      <c r="Q79" s="186"/>
    </row>
    <row r="80" spans="1:17" s="212" customFormat="1" ht="15.5" outlineLevel="1" thickTop="1" thickBot="1" x14ac:dyDescent="0.4">
      <c r="A80" s="284"/>
      <c r="B80" s="276" t="s">
        <v>91</v>
      </c>
      <c r="C80" s="269">
        <f>SUM(C78:C79)</f>
        <v>0</v>
      </c>
      <c r="D80" s="285">
        <f>SUM(D78:D79)</f>
        <v>0.38640000000000002</v>
      </c>
      <c r="E80" s="286">
        <f t="shared" ref="E80:H80" si="16">SUM(E78:E79)</f>
        <v>42913.297773400001</v>
      </c>
      <c r="F80" s="286">
        <f t="shared" si="16"/>
        <v>50744.278357520001</v>
      </c>
      <c r="G80" s="286">
        <f t="shared" si="16"/>
        <v>64104.021737720002</v>
      </c>
      <c r="H80" s="286">
        <f t="shared" si="16"/>
        <v>68258.35014580001</v>
      </c>
      <c r="I80" s="287"/>
      <c r="J80" s="287"/>
      <c r="K80" s="288"/>
      <c r="L80" s="289"/>
      <c r="M80" s="290"/>
      <c r="N80" s="228"/>
      <c r="O80" s="228"/>
      <c r="P80" s="228"/>
      <c r="Q80" s="228"/>
    </row>
    <row r="81" spans="1:18" ht="15" thickTop="1" x14ac:dyDescent="0.35">
      <c r="A81" s="291" t="s">
        <v>92</v>
      </c>
      <c r="B81" s="292"/>
      <c r="C81" s="292"/>
      <c r="D81" s="292"/>
      <c r="E81" s="293">
        <f>E$80+E$75</f>
        <v>100569.2977734</v>
      </c>
      <c r="F81" s="293">
        <f>F$80+F$75</f>
        <v>122291.07835752</v>
      </c>
      <c r="G81" s="293">
        <f>G$80+G$75</f>
        <v>159568.82173771999</v>
      </c>
      <c r="H81" s="293">
        <f>H$80+H$75</f>
        <v>170330.35014580001</v>
      </c>
      <c r="I81" s="292"/>
      <c r="J81" s="292"/>
      <c r="K81" s="294"/>
      <c r="L81" s="295"/>
      <c r="M81" s="13"/>
      <c r="N81" s="186"/>
      <c r="O81" s="186"/>
    </row>
    <row r="82" spans="1:18" x14ac:dyDescent="0.35">
      <c r="B82" s="186"/>
      <c r="C82" s="296"/>
      <c r="D82" s="296"/>
      <c r="E82" s="296"/>
      <c r="F82" s="13"/>
      <c r="G82" s="13"/>
      <c r="H82" s="13"/>
      <c r="I82" s="13"/>
      <c r="J82" s="94"/>
      <c r="K82" s="297"/>
      <c r="L82" s="298"/>
      <c r="M82" s="299"/>
      <c r="N82" s="186"/>
      <c r="O82" s="186"/>
      <c r="P82" s="186"/>
      <c r="Q82" s="186"/>
    </row>
    <row r="83" spans="1:18" ht="15" thickBot="1" x14ac:dyDescent="0.4">
      <c r="A83" s="184" t="s">
        <v>93</v>
      </c>
      <c r="B83" s="231"/>
      <c r="C83" s="231"/>
      <c r="D83" s="231"/>
      <c r="E83" s="231" t="str">
        <f>_xlfn.CONCAT("Total Profit for ",E$14)</f>
        <v>Total Profit for 10</v>
      </c>
      <c r="F83" s="231" t="str">
        <f>_xlfn.CONCAT("Total Profit for ",F$14)</f>
        <v>Total Profit for 13</v>
      </c>
      <c r="G83" s="231" t="str">
        <f>_xlfn.CONCAT("Total Profit for ",G$14)</f>
        <v>Total Profit for 18</v>
      </c>
      <c r="H83" s="231" t="str">
        <f>_xlfn.CONCAT("Total Profit for ",H$14)</f>
        <v>Total Profit for 20</v>
      </c>
      <c r="I83" s="231"/>
      <c r="J83" s="231"/>
      <c r="K83" s="270"/>
      <c r="L83" s="271"/>
      <c r="M83" s="13"/>
      <c r="N83" s="186"/>
      <c r="O83" s="186"/>
    </row>
    <row r="84" spans="1:18" outlineLevel="1" x14ac:dyDescent="0.35">
      <c r="A84" s="300"/>
      <c r="B84" s="301" t="s">
        <v>94</v>
      </c>
      <c r="C84" s="302"/>
      <c r="D84" s="303"/>
      <c r="E84" s="332">
        <f>E$16-E$70</f>
        <v>95015</v>
      </c>
      <c r="F84" s="332">
        <f>F$16-F$70</f>
        <v>124147</v>
      </c>
      <c r="G84" s="332">
        <f>G$16-G$70</f>
        <v>174617</v>
      </c>
      <c r="H84" s="332">
        <f>H$16-H$70</f>
        <v>187405</v>
      </c>
      <c r="I84" s="304"/>
      <c r="J84" s="304"/>
      <c r="K84" s="305"/>
      <c r="L84" s="306"/>
      <c r="M84" s="299"/>
      <c r="N84" s="186"/>
      <c r="O84" s="186"/>
      <c r="P84" s="186"/>
      <c r="Q84" s="186"/>
    </row>
    <row r="85" spans="1:18" ht="15" outlineLevel="1" thickBot="1" x14ac:dyDescent="0.4">
      <c r="A85" s="213"/>
      <c r="B85" s="245" t="s">
        <v>95</v>
      </c>
      <c r="C85" s="307"/>
      <c r="D85" s="307"/>
      <c r="E85" s="331">
        <f>E$16-E$70-E$75</f>
        <v>37359</v>
      </c>
      <c r="F85" s="260">
        <f>F$16-F$70-F$75</f>
        <v>52600.2</v>
      </c>
      <c r="G85" s="260">
        <f>G$16-G$70-G$75</f>
        <v>79152.2</v>
      </c>
      <c r="H85" s="260">
        <f>H$16-H$70-H$75</f>
        <v>85333</v>
      </c>
      <c r="I85" s="308"/>
      <c r="J85" s="308"/>
      <c r="K85" s="309"/>
      <c r="L85" s="310"/>
      <c r="M85" s="13"/>
      <c r="N85" s="186"/>
      <c r="O85" s="186"/>
      <c r="P85" s="186"/>
      <c r="Q85" s="186"/>
    </row>
    <row r="86" spans="1:18" s="212" customFormat="1" ht="15" thickTop="1" x14ac:dyDescent="0.35">
      <c r="A86" s="212" t="s">
        <v>11</v>
      </c>
      <c r="B86" s="228"/>
      <c r="C86" s="311"/>
      <c r="D86" s="311"/>
      <c r="E86" s="330">
        <f>E85-E80</f>
        <v>-5554.2977734000015</v>
      </c>
      <c r="F86" s="312">
        <f>F84-F81</f>
        <v>1855.9216424799961</v>
      </c>
      <c r="G86" s="312">
        <f>G84-G81</f>
        <v>15048.178262280009</v>
      </c>
      <c r="H86" s="312">
        <f t="shared" ref="H86" si="17">H84-H81</f>
        <v>17074.64985419999</v>
      </c>
      <c r="I86" s="313"/>
      <c r="J86" s="313"/>
      <c r="K86" s="314"/>
      <c r="L86" s="315"/>
      <c r="M86" s="190"/>
      <c r="N86" s="190"/>
      <c r="O86" s="228"/>
      <c r="P86" s="228"/>
      <c r="Q86" s="228"/>
    </row>
    <row r="87" spans="1:18" s="212" customFormat="1" ht="15" thickBot="1" x14ac:dyDescent="0.4">
      <c r="A87" s="316"/>
      <c r="B87" s="228" t="s">
        <v>96</v>
      </c>
      <c r="C87" s="311"/>
      <c r="D87" s="311"/>
      <c r="E87" s="317">
        <f>E$86/E$16</f>
        <v>-3.8534048656861393E-2</v>
      </c>
      <c r="F87" s="317">
        <f>F$86/F$16</f>
        <v>1.0375986864429974E-2</v>
      </c>
      <c r="G87" s="317">
        <f>G$86/G$16</f>
        <v>6.305225910400486E-2</v>
      </c>
      <c r="H87" s="317">
        <f>H$86/H$16</f>
        <v>6.6912179066541219E-2</v>
      </c>
      <c r="I87" s="318"/>
      <c r="J87" s="185"/>
      <c r="K87" s="319"/>
      <c r="L87" s="320"/>
      <c r="M87" s="290"/>
      <c r="N87" s="228"/>
      <c r="O87" s="229"/>
      <c r="P87" s="228"/>
      <c r="Q87" s="228"/>
    </row>
    <row r="88" spans="1:18" ht="15" thickTop="1" x14ac:dyDescent="0.35">
      <c r="J88" s="13"/>
      <c r="K88" s="299"/>
      <c r="L88" s="299"/>
      <c r="M88" s="13"/>
      <c r="N88" s="186"/>
      <c r="O88" s="186"/>
      <c r="P88" s="186"/>
      <c r="Q88" s="186"/>
      <c r="R88" s="125"/>
    </row>
    <row r="89" spans="1:18" x14ac:dyDescent="0.35">
      <c r="B89" s="296"/>
      <c r="C89" s="296"/>
      <c r="D89" s="296"/>
      <c r="E89" s="296"/>
      <c r="F89" s="13"/>
      <c r="G89" s="13"/>
      <c r="H89" s="13"/>
      <c r="I89" s="13"/>
      <c r="J89" s="13"/>
      <c r="K89" s="13"/>
      <c r="L89" s="13"/>
      <c r="M89" s="299"/>
      <c r="N89" s="186"/>
      <c r="O89" s="186"/>
      <c r="P89" s="186"/>
      <c r="Q89" s="186"/>
      <c r="R89" s="125"/>
    </row>
    <row r="90" spans="1:18" x14ac:dyDescent="0.35">
      <c r="B90" s="186"/>
      <c r="C90" s="186"/>
      <c r="D90" s="186"/>
      <c r="E90" s="186"/>
      <c r="F90" s="186"/>
      <c r="G90" s="186"/>
      <c r="H90" s="186"/>
      <c r="I90" s="186"/>
      <c r="J90" s="186"/>
      <c r="K90" s="186"/>
      <c r="L90" s="186"/>
      <c r="M90" s="234"/>
      <c r="N90" s="186"/>
      <c r="O90" s="186"/>
      <c r="P90" s="186"/>
      <c r="Q90" s="186"/>
    </row>
    <row r="91" spans="1:18" x14ac:dyDescent="0.35">
      <c r="B91" s="186"/>
      <c r="C91" s="186"/>
      <c r="D91" s="321"/>
      <c r="E91" s="186"/>
      <c r="F91" s="186"/>
      <c r="G91" s="186"/>
      <c r="H91" s="186"/>
      <c r="I91" s="186"/>
      <c r="J91" s="186"/>
      <c r="K91" s="186"/>
      <c r="L91" s="186"/>
      <c r="M91" s="234"/>
      <c r="N91" s="186"/>
      <c r="O91" s="186"/>
      <c r="P91" s="186"/>
      <c r="Q91" s="186"/>
    </row>
    <row r="92" spans="1:18" x14ac:dyDescent="0.35">
      <c r="B92" s="186"/>
      <c r="C92" s="186"/>
      <c r="D92" s="186"/>
      <c r="E92" s="186"/>
      <c r="F92" s="186"/>
      <c r="G92" s="186"/>
      <c r="H92" s="186"/>
      <c r="I92" s="186"/>
      <c r="J92" s="186"/>
      <c r="K92" s="186"/>
      <c r="L92" s="186"/>
      <c r="M92" s="234"/>
      <c r="N92" s="186"/>
      <c r="O92" s="186"/>
      <c r="P92" s="186"/>
      <c r="Q92" s="186"/>
    </row>
    <row r="93" spans="1:18" x14ac:dyDescent="0.35">
      <c r="B93" s="186"/>
      <c r="C93" s="186"/>
      <c r="D93" s="234"/>
      <c r="E93" s="186"/>
      <c r="F93" s="186"/>
      <c r="G93" s="186"/>
      <c r="H93" s="186"/>
      <c r="I93" s="186"/>
      <c r="J93" s="186"/>
      <c r="K93" s="234"/>
      <c r="L93" s="234"/>
      <c r="M93" s="234"/>
      <c r="N93" s="186"/>
      <c r="O93" s="186"/>
      <c r="P93" s="186"/>
      <c r="Q93" s="186"/>
    </row>
    <row r="94" spans="1:18" x14ac:dyDescent="0.35">
      <c r="B94" s="186"/>
      <c r="C94" s="186"/>
      <c r="D94" s="234"/>
      <c r="E94" s="186"/>
      <c r="F94" s="186"/>
      <c r="G94" s="186"/>
      <c r="H94" s="186"/>
      <c r="I94" s="186"/>
      <c r="J94" s="186"/>
      <c r="K94" s="234"/>
      <c r="L94" s="234"/>
      <c r="M94" s="234"/>
      <c r="N94" s="186"/>
      <c r="O94" s="186"/>
      <c r="P94" s="186"/>
      <c r="Q94" s="186"/>
    </row>
    <row r="95" spans="1:18" x14ac:dyDescent="0.35">
      <c r="B95" s="186"/>
      <c r="C95" s="186"/>
      <c r="D95" s="234"/>
      <c r="E95" s="186"/>
      <c r="F95" s="186"/>
      <c r="G95" s="186"/>
      <c r="H95" s="186"/>
      <c r="I95" s="186"/>
      <c r="J95" s="186"/>
      <c r="K95" s="234"/>
      <c r="L95" s="234"/>
      <c r="M95" s="186"/>
      <c r="N95" s="186"/>
      <c r="O95" s="186"/>
      <c r="P95" s="186"/>
      <c r="Q95" s="186"/>
    </row>
    <row r="96" spans="1:18" x14ac:dyDescent="0.35">
      <c r="B96" s="186"/>
      <c r="C96" s="186"/>
      <c r="D96" s="186"/>
      <c r="E96" s="186"/>
      <c r="F96" s="186"/>
      <c r="G96" s="186"/>
      <c r="H96" s="186"/>
      <c r="I96" s="186"/>
      <c r="J96" s="186"/>
      <c r="K96" s="234"/>
      <c r="L96" s="234"/>
      <c r="M96" s="186"/>
      <c r="N96" s="186"/>
      <c r="O96" s="186"/>
      <c r="P96" s="186"/>
      <c r="Q96" s="186"/>
    </row>
    <row r="97" spans="2:17" x14ac:dyDescent="0.35">
      <c r="B97" s="186"/>
      <c r="C97" s="186"/>
      <c r="D97" s="186"/>
      <c r="E97" s="186"/>
      <c r="F97" s="186"/>
      <c r="G97" s="186"/>
      <c r="H97" s="186"/>
      <c r="I97" s="186"/>
      <c r="J97" s="186"/>
      <c r="K97" s="234"/>
      <c r="L97" s="234"/>
      <c r="M97" s="186"/>
      <c r="N97" s="186"/>
      <c r="O97" s="186"/>
      <c r="P97" s="186"/>
      <c r="Q97" s="186"/>
    </row>
    <row r="98" spans="2:17" x14ac:dyDescent="0.35">
      <c r="B98" s="186"/>
      <c r="C98" s="186"/>
      <c r="D98" s="186"/>
      <c r="E98" s="186"/>
      <c r="F98" s="186"/>
      <c r="G98" s="186"/>
      <c r="H98" s="186"/>
      <c r="I98" s="186"/>
      <c r="J98" s="186"/>
      <c r="K98" s="234"/>
      <c r="L98" s="234"/>
      <c r="M98" s="186"/>
      <c r="N98" s="186"/>
      <c r="O98" s="186"/>
      <c r="P98" s="186"/>
      <c r="Q98" s="186"/>
    </row>
    <row r="99" spans="2:17" x14ac:dyDescent="0.35">
      <c r="B99" s="186"/>
      <c r="C99" s="186"/>
      <c r="D99" s="186"/>
      <c r="E99" s="186"/>
      <c r="F99" s="186"/>
      <c r="G99" s="186"/>
      <c r="H99" s="186"/>
      <c r="I99" s="186"/>
      <c r="J99" s="186"/>
      <c r="K99" s="234"/>
      <c r="L99" s="234"/>
      <c r="M99" s="186"/>
      <c r="N99" s="186"/>
      <c r="O99" s="186"/>
      <c r="P99" s="186"/>
      <c r="Q99" s="186"/>
    </row>
    <row r="100" spans="2:17" x14ac:dyDescent="0.35">
      <c r="B100" s="186"/>
      <c r="C100" s="186"/>
      <c r="D100" s="186"/>
      <c r="E100" s="186"/>
      <c r="F100" s="186"/>
      <c r="G100" s="186"/>
      <c r="H100" s="186"/>
      <c r="I100" s="186"/>
      <c r="J100" s="186"/>
      <c r="K100" s="186"/>
      <c r="L100" s="186"/>
      <c r="M100" s="186"/>
      <c r="N100" s="186"/>
      <c r="O100" s="186"/>
      <c r="P100" s="186"/>
      <c r="Q100" s="186"/>
    </row>
    <row r="101" spans="2:17" x14ac:dyDescent="0.35">
      <c r="B101" s="186"/>
      <c r="C101" s="186"/>
      <c r="D101" s="186"/>
      <c r="E101" s="186"/>
      <c r="F101" s="186"/>
      <c r="G101" s="186"/>
      <c r="H101" s="186"/>
      <c r="I101" s="186"/>
      <c r="J101" s="186"/>
      <c r="K101" s="186"/>
      <c r="L101" s="186"/>
      <c r="M101" s="186"/>
      <c r="N101" s="186"/>
      <c r="O101" s="186"/>
      <c r="P101" s="186"/>
      <c r="Q101" s="186"/>
    </row>
    <row r="102" spans="2:17" x14ac:dyDescent="0.35">
      <c r="B102" s="186"/>
      <c r="C102" s="186"/>
      <c r="D102" s="186"/>
      <c r="E102" s="186"/>
      <c r="F102" s="186"/>
      <c r="G102" s="186"/>
      <c r="H102" s="186"/>
      <c r="I102" s="186"/>
      <c r="J102" s="186"/>
      <c r="K102" s="186"/>
      <c r="L102" s="186"/>
      <c r="M102" s="186"/>
      <c r="N102" s="186"/>
      <c r="O102" s="186"/>
      <c r="P102" s="186"/>
      <c r="Q102" s="186"/>
    </row>
    <row r="103" spans="2:17" x14ac:dyDescent="0.35">
      <c r="B103" s="186"/>
      <c r="C103" s="186"/>
      <c r="D103" s="186"/>
      <c r="E103" s="186"/>
      <c r="F103" s="186"/>
      <c r="G103" s="186"/>
      <c r="H103" s="186"/>
      <c r="I103" s="186"/>
      <c r="J103" s="186"/>
      <c r="K103" s="186"/>
      <c r="L103" s="186"/>
      <c r="M103" s="186"/>
      <c r="N103" s="186"/>
      <c r="O103" s="186"/>
      <c r="P103" s="186"/>
      <c r="Q103" s="186"/>
    </row>
    <row r="104" spans="2:17" x14ac:dyDescent="0.35">
      <c r="B104" s="186"/>
      <c r="C104" s="186"/>
      <c r="D104" s="186"/>
      <c r="E104" s="186"/>
      <c r="F104" s="186"/>
      <c r="G104" s="186"/>
      <c r="H104" s="186"/>
      <c r="I104" s="186"/>
      <c r="J104" s="186"/>
      <c r="K104" s="186"/>
      <c r="L104" s="186"/>
      <c r="M104" s="186"/>
      <c r="N104" s="186"/>
      <c r="O104" s="186"/>
      <c r="P104" s="186"/>
      <c r="Q104" s="186"/>
    </row>
    <row r="105" spans="2:17" x14ac:dyDescent="0.35">
      <c r="B105" s="186"/>
      <c r="C105" s="186"/>
      <c r="D105" s="186"/>
      <c r="E105" s="186"/>
      <c r="F105" s="186"/>
      <c r="G105" s="186"/>
      <c r="H105" s="186"/>
      <c r="I105" s="186"/>
      <c r="J105" s="186"/>
      <c r="K105" s="186"/>
      <c r="L105" s="186"/>
      <c r="M105" s="186"/>
      <c r="N105" s="186"/>
      <c r="O105" s="186"/>
      <c r="P105" s="186"/>
      <c r="Q105" s="186"/>
    </row>
    <row r="106" spans="2:17" x14ac:dyDescent="0.35">
      <c r="B106" s="186"/>
      <c r="C106" s="186"/>
      <c r="D106" s="186"/>
      <c r="E106" s="186"/>
      <c r="F106" s="186"/>
      <c r="G106" s="186"/>
      <c r="H106" s="186"/>
      <c r="I106" s="186"/>
      <c r="J106" s="186"/>
      <c r="K106" s="186"/>
      <c r="L106" s="186"/>
      <c r="M106" s="186"/>
      <c r="N106" s="186"/>
      <c r="O106" s="186"/>
      <c r="P106" s="186"/>
      <c r="Q106" s="186"/>
    </row>
    <row r="107" spans="2:17" x14ac:dyDescent="0.35">
      <c r="B107" s="186"/>
      <c r="C107" s="186"/>
      <c r="D107" s="186"/>
      <c r="E107" s="186"/>
      <c r="F107" s="186"/>
      <c r="G107" s="186"/>
      <c r="H107" s="186"/>
      <c r="I107" s="186"/>
      <c r="J107" s="186"/>
      <c r="K107" s="186"/>
      <c r="L107" s="186"/>
      <c r="M107" s="186"/>
      <c r="N107" s="186"/>
      <c r="O107" s="186"/>
      <c r="P107" s="186"/>
      <c r="Q107" s="186"/>
    </row>
    <row r="108" spans="2:17" x14ac:dyDescent="0.35">
      <c r="B108" s="186"/>
      <c r="C108" s="186"/>
      <c r="D108" s="186"/>
      <c r="E108" s="186"/>
      <c r="F108" s="186"/>
      <c r="G108" s="186"/>
      <c r="H108" s="186"/>
      <c r="I108" s="186"/>
      <c r="J108" s="186"/>
      <c r="K108" s="186"/>
      <c r="L108" s="186"/>
      <c r="M108" s="186"/>
      <c r="N108" s="186"/>
      <c r="O108" s="186"/>
      <c r="P108" s="186"/>
      <c r="Q108" s="186"/>
    </row>
    <row r="109" spans="2:17" x14ac:dyDescent="0.35">
      <c r="B109" s="186"/>
      <c r="C109" s="186"/>
      <c r="D109" s="186"/>
      <c r="E109" s="186"/>
      <c r="F109" s="186"/>
      <c r="G109" s="186"/>
      <c r="H109" s="186"/>
      <c r="I109" s="186"/>
      <c r="J109" s="186"/>
      <c r="K109" s="186"/>
      <c r="L109" s="186"/>
      <c r="M109" s="186"/>
      <c r="N109" s="186"/>
      <c r="O109" s="186"/>
      <c r="P109" s="186"/>
      <c r="Q109" s="186"/>
    </row>
    <row r="110" spans="2:17" x14ac:dyDescent="0.35">
      <c r="B110" s="186"/>
      <c r="C110" s="186"/>
      <c r="D110" s="186"/>
      <c r="E110" s="186"/>
      <c r="F110" s="186"/>
      <c r="G110" s="186"/>
      <c r="H110" s="186"/>
      <c r="I110" s="186"/>
      <c r="J110" s="186"/>
      <c r="K110" s="186"/>
      <c r="L110" s="186"/>
      <c r="M110" s="186"/>
      <c r="N110" s="186"/>
      <c r="O110" s="186"/>
      <c r="P110" s="186"/>
      <c r="Q110" s="186"/>
    </row>
    <row r="111" spans="2:17" x14ac:dyDescent="0.35">
      <c r="B111" s="186"/>
      <c r="C111" s="186"/>
      <c r="D111" s="186"/>
      <c r="E111" s="186"/>
      <c r="F111" s="186"/>
      <c r="G111" s="186"/>
      <c r="H111" s="186"/>
      <c r="I111" s="186"/>
      <c r="J111" s="186"/>
      <c r="K111" s="186"/>
      <c r="L111" s="186"/>
      <c r="M111" s="186"/>
      <c r="N111" s="186"/>
      <c r="O111" s="186"/>
      <c r="P111" s="186"/>
      <c r="Q111" s="186"/>
    </row>
    <row r="112" spans="2:17" x14ac:dyDescent="0.35">
      <c r="B112" s="186"/>
      <c r="C112" s="186"/>
      <c r="D112" s="186"/>
      <c r="E112" s="186"/>
      <c r="F112" s="186"/>
      <c r="G112" s="186"/>
      <c r="H112" s="186"/>
      <c r="I112" s="186"/>
      <c r="J112" s="186"/>
      <c r="K112" s="186"/>
      <c r="L112" s="186"/>
      <c r="M112" s="186"/>
      <c r="N112" s="186"/>
      <c r="O112" s="186"/>
      <c r="P112" s="186"/>
      <c r="Q112" s="186"/>
    </row>
    <row r="113" spans="2:17" x14ac:dyDescent="0.35">
      <c r="B113" s="186"/>
      <c r="C113" s="186"/>
      <c r="D113" s="186"/>
      <c r="E113" s="186"/>
      <c r="F113" s="186"/>
      <c r="G113" s="186"/>
      <c r="H113" s="186"/>
      <c r="I113" s="186"/>
      <c r="J113" s="186"/>
      <c r="K113" s="186"/>
      <c r="L113" s="186"/>
      <c r="M113" s="186"/>
      <c r="N113" s="186"/>
      <c r="O113" s="186"/>
      <c r="P113" s="186"/>
      <c r="Q113" s="186"/>
    </row>
    <row r="114" spans="2:17" x14ac:dyDescent="0.35">
      <c r="B114" s="186"/>
      <c r="C114" s="186"/>
      <c r="D114" s="186"/>
      <c r="E114" s="186"/>
      <c r="F114" s="186"/>
      <c r="G114" s="186"/>
      <c r="H114" s="186"/>
      <c r="I114" s="186"/>
      <c r="J114" s="186"/>
      <c r="K114" s="186"/>
      <c r="L114" s="186"/>
      <c r="M114" s="186"/>
      <c r="N114" s="186"/>
      <c r="O114" s="186"/>
      <c r="P114" s="186"/>
      <c r="Q114" s="186"/>
    </row>
    <row r="115" spans="2:17" x14ac:dyDescent="0.35">
      <c r="B115" s="186"/>
      <c r="C115" s="186"/>
      <c r="D115" s="186"/>
      <c r="E115" s="186"/>
      <c r="F115" s="186"/>
      <c r="G115" s="186"/>
      <c r="H115" s="186"/>
      <c r="I115" s="186"/>
      <c r="J115" s="186"/>
      <c r="K115" s="186"/>
      <c r="L115" s="186"/>
      <c r="M115" s="186"/>
      <c r="N115" s="186"/>
      <c r="O115" s="186"/>
      <c r="P115" s="186"/>
      <c r="Q115" s="186"/>
    </row>
    <row r="116" spans="2:17" x14ac:dyDescent="0.35">
      <c r="B116" s="186"/>
      <c r="C116" s="186"/>
      <c r="D116" s="186"/>
      <c r="E116" s="186"/>
      <c r="F116" s="186"/>
      <c r="G116" s="186"/>
      <c r="H116" s="186"/>
      <c r="I116" s="186"/>
      <c r="J116" s="186"/>
      <c r="K116" s="186"/>
      <c r="L116" s="186"/>
      <c r="M116" s="186"/>
      <c r="N116" s="186"/>
      <c r="O116" s="186"/>
      <c r="P116" s="186"/>
      <c r="Q116" s="186"/>
    </row>
    <row r="117" spans="2:17" x14ac:dyDescent="0.35">
      <c r="B117" s="186"/>
      <c r="C117" s="186"/>
      <c r="D117" s="186"/>
      <c r="E117" s="186"/>
      <c r="F117" s="186"/>
      <c r="G117" s="186"/>
      <c r="H117" s="186"/>
      <c r="I117" s="186"/>
      <c r="J117" s="186"/>
      <c r="K117" s="186"/>
      <c r="L117" s="186"/>
      <c r="M117" s="186"/>
      <c r="N117" s="186"/>
      <c r="O117" s="186"/>
      <c r="P117" s="186"/>
      <c r="Q117" s="186"/>
    </row>
    <row r="118" spans="2:17" x14ac:dyDescent="0.35">
      <c r="B118" s="186"/>
      <c r="C118" s="186"/>
      <c r="D118" s="186"/>
      <c r="E118" s="186"/>
      <c r="F118" s="186"/>
      <c r="G118" s="186"/>
      <c r="H118" s="186"/>
      <c r="I118" s="186"/>
      <c r="J118" s="186"/>
      <c r="K118" s="186"/>
      <c r="L118" s="186"/>
      <c r="M118" s="186"/>
      <c r="N118" s="186"/>
      <c r="O118" s="186"/>
      <c r="P118" s="186"/>
      <c r="Q118" s="186"/>
    </row>
    <row r="119" spans="2:17" x14ac:dyDescent="0.35">
      <c r="B119" s="186"/>
      <c r="C119" s="186"/>
      <c r="D119" s="186"/>
      <c r="E119" s="186"/>
      <c r="F119" s="186"/>
      <c r="G119" s="186"/>
      <c r="H119" s="186"/>
      <c r="I119" s="186"/>
      <c r="J119" s="186"/>
      <c r="K119" s="186"/>
      <c r="L119" s="186"/>
      <c r="M119" s="186"/>
      <c r="N119" s="186"/>
      <c r="O119" s="186"/>
      <c r="P119" s="186"/>
      <c r="Q119" s="186"/>
    </row>
    <row r="120" spans="2:17" x14ac:dyDescent="0.35">
      <c r="B120" s="186"/>
      <c r="C120" s="186"/>
      <c r="D120" s="186"/>
      <c r="E120" s="186"/>
      <c r="F120" s="186"/>
      <c r="G120" s="186"/>
      <c r="H120" s="186"/>
      <c r="I120" s="186"/>
      <c r="J120" s="186"/>
      <c r="K120" s="186"/>
      <c r="L120" s="186"/>
      <c r="M120" s="186"/>
      <c r="N120" s="186"/>
      <c r="O120" s="186"/>
      <c r="P120" s="186"/>
      <c r="Q120" s="186"/>
    </row>
    <row r="121" spans="2:17" x14ac:dyDescent="0.35">
      <c r="B121" s="186"/>
      <c r="C121" s="186"/>
      <c r="D121" s="186"/>
      <c r="E121" s="186"/>
      <c r="F121" s="186"/>
      <c r="G121" s="186"/>
      <c r="H121" s="186"/>
      <c r="I121" s="186"/>
      <c r="J121" s="186"/>
      <c r="K121" s="186"/>
      <c r="L121" s="186"/>
      <c r="M121" s="186"/>
      <c r="N121" s="186"/>
      <c r="O121" s="186"/>
      <c r="P121" s="186"/>
      <c r="Q121" s="186"/>
    </row>
    <row r="122" spans="2:17" x14ac:dyDescent="0.35">
      <c r="B122" s="186"/>
      <c r="C122" s="186"/>
      <c r="D122" s="186"/>
      <c r="E122" s="186"/>
      <c r="F122" s="186"/>
      <c r="G122" s="186"/>
      <c r="H122" s="186"/>
      <c r="I122" s="186"/>
      <c r="J122" s="186"/>
      <c r="K122" s="186"/>
      <c r="L122" s="186"/>
      <c r="M122" s="186"/>
      <c r="N122" s="186"/>
      <c r="O122" s="186"/>
      <c r="P122" s="186"/>
      <c r="Q122" s="186"/>
    </row>
    <row r="123" spans="2:17" x14ac:dyDescent="0.35">
      <c r="B123" s="186"/>
      <c r="C123" s="186"/>
      <c r="D123" s="186"/>
      <c r="E123" s="186"/>
      <c r="F123" s="186"/>
      <c r="G123" s="186"/>
      <c r="H123" s="186"/>
      <c r="I123" s="186"/>
      <c r="J123" s="186"/>
      <c r="K123" s="186"/>
      <c r="L123" s="186"/>
      <c r="M123" s="186"/>
      <c r="N123" s="186"/>
      <c r="O123" s="186"/>
      <c r="P123" s="186"/>
      <c r="Q123" s="186"/>
    </row>
    <row r="124" spans="2:17" x14ac:dyDescent="0.35">
      <c r="B124" s="186"/>
      <c r="C124" s="186"/>
      <c r="D124" s="186"/>
      <c r="E124" s="186"/>
      <c r="F124" s="186"/>
      <c r="G124" s="186"/>
      <c r="H124" s="186"/>
      <c r="I124" s="186"/>
      <c r="J124" s="186"/>
      <c r="K124" s="186"/>
      <c r="L124" s="186"/>
      <c r="M124" s="186"/>
      <c r="N124" s="186"/>
      <c r="O124" s="186"/>
      <c r="P124" s="186"/>
      <c r="Q124" s="186"/>
    </row>
    <row r="125" spans="2:17" x14ac:dyDescent="0.35">
      <c r="B125" s="186"/>
      <c r="C125" s="186"/>
      <c r="D125" s="186"/>
      <c r="E125" s="186"/>
      <c r="F125" s="186"/>
      <c r="G125" s="186"/>
      <c r="H125" s="186"/>
      <c r="I125" s="186"/>
      <c r="J125" s="186"/>
      <c r="K125" s="186"/>
      <c r="L125" s="186"/>
      <c r="M125" s="186"/>
      <c r="N125" s="186"/>
      <c r="O125" s="186"/>
      <c r="P125" s="186"/>
      <c r="Q125" s="186"/>
    </row>
    <row r="126" spans="2:17" x14ac:dyDescent="0.35">
      <c r="B126" s="186"/>
      <c r="C126" s="186"/>
      <c r="D126" s="186"/>
      <c r="E126" s="186"/>
      <c r="F126" s="186"/>
      <c r="G126" s="186"/>
      <c r="H126" s="186"/>
      <c r="I126" s="186"/>
      <c r="J126" s="186"/>
      <c r="K126" s="186"/>
      <c r="L126" s="186"/>
      <c r="M126" s="186"/>
      <c r="N126" s="186"/>
      <c r="O126" s="186"/>
      <c r="P126" s="186"/>
      <c r="Q126" s="186"/>
    </row>
    <row r="127" spans="2:17" x14ac:dyDescent="0.35">
      <c r="B127" s="186"/>
      <c r="C127" s="186"/>
      <c r="D127" s="186"/>
      <c r="E127" s="186"/>
      <c r="F127" s="186"/>
      <c r="G127" s="186"/>
      <c r="H127" s="186"/>
      <c r="I127" s="186"/>
      <c r="J127" s="186"/>
      <c r="K127" s="186"/>
      <c r="L127" s="186"/>
      <c r="M127" s="186"/>
      <c r="N127" s="186"/>
      <c r="O127" s="186"/>
      <c r="P127" s="186"/>
      <c r="Q127" s="186"/>
    </row>
    <row r="128" spans="2:17" x14ac:dyDescent="0.35">
      <c r="B128" s="186"/>
      <c r="C128" s="186"/>
      <c r="D128" s="186"/>
      <c r="E128" s="186"/>
      <c r="F128" s="186"/>
      <c r="G128" s="186"/>
      <c r="H128" s="186"/>
      <c r="I128" s="186"/>
      <c r="J128" s="186"/>
      <c r="K128" s="186"/>
      <c r="L128" s="186"/>
      <c r="M128" s="186"/>
      <c r="N128" s="186"/>
      <c r="O128" s="186"/>
      <c r="P128" s="186"/>
      <c r="Q128" s="186"/>
    </row>
    <row r="129" spans="2:17" x14ac:dyDescent="0.35">
      <c r="B129" s="186"/>
      <c r="C129" s="186"/>
      <c r="D129" s="186"/>
      <c r="E129" s="186"/>
      <c r="F129" s="186"/>
      <c r="G129" s="186"/>
      <c r="H129" s="186"/>
      <c r="I129" s="186"/>
      <c r="J129" s="186"/>
      <c r="K129" s="186"/>
      <c r="L129" s="186"/>
      <c r="M129" s="186"/>
      <c r="N129" s="186"/>
      <c r="O129" s="186"/>
      <c r="P129" s="186"/>
      <c r="Q129" s="186"/>
    </row>
    <row r="130" spans="2:17" x14ac:dyDescent="0.35">
      <c r="B130" s="186"/>
      <c r="C130" s="186"/>
      <c r="D130" s="186"/>
      <c r="E130" s="186"/>
      <c r="F130" s="186"/>
      <c r="G130" s="186"/>
      <c r="H130" s="186"/>
      <c r="I130" s="186"/>
      <c r="J130" s="186"/>
      <c r="K130" s="186"/>
      <c r="L130" s="186"/>
      <c r="M130" s="186"/>
      <c r="N130" s="186"/>
      <c r="O130" s="186"/>
      <c r="P130" s="186"/>
      <c r="Q130" s="186"/>
    </row>
    <row r="131" spans="2:17" x14ac:dyDescent="0.35">
      <c r="B131" s="186"/>
      <c r="C131" s="186"/>
      <c r="D131" s="186"/>
      <c r="E131" s="186"/>
      <c r="F131" s="186"/>
      <c r="G131" s="186"/>
      <c r="H131" s="186"/>
      <c r="I131" s="186"/>
      <c r="J131" s="186"/>
      <c r="K131" s="186"/>
      <c r="L131" s="186"/>
      <c r="M131" s="186"/>
      <c r="N131" s="186"/>
      <c r="O131" s="186"/>
      <c r="P131" s="186"/>
      <c r="Q131" s="186"/>
    </row>
    <row r="132" spans="2:17" x14ac:dyDescent="0.35">
      <c r="B132" s="186"/>
      <c r="C132" s="186"/>
      <c r="D132" s="186"/>
      <c r="E132" s="186"/>
      <c r="F132" s="186"/>
      <c r="G132" s="186"/>
      <c r="H132" s="186"/>
      <c r="I132" s="186"/>
      <c r="J132" s="186"/>
      <c r="K132" s="186"/>
      <c r="L132" s="186"/>
      <c r="M132" s="186"/>
      <c r="N132" s="186"/>
      <c r="O132" s="186"/>
      <c r="P132" s="186"/>
      <c r="Q132" s="186"/>
    </row>
    <row r="133" spans="2:17" x14ac:dyDescent="0.35">
      <c r="B133" s="186"/>
      <c r="C133" s="186"/>
      <c r="D133" s="186"/>
      <c r="E133" s="186"/>
      <c r="F133" s="186"/>
      <c r="G133" s="186"/>
      <c r="H133" s="186"/>
      <c r="I133" s="186"/>
      <c r="J133" s="186"/>
      <c r="K133" s="186"/>
      <c r="L133" s="186"/>
      <c r="M133" s="186"/>
      <c r="N133" s="186"/>
      <c r="O133" s="186"/>
      <c r="P133" s="186"/>
      <c r="Q133" s="186"/>
    </row>
    <row r="134" spans="2:17" x14ac:dyDescent="0.35">
      <c r="B134" s="186"/>
      <c r="C134" s="186"/>
      <c r="D134" s="186"/>
      <c r="E134" s="186"/>
      <c r="F134" s="186"/>
      <c r="G134" s="186"/>
      <c r="H134" s="186"/>
      <c r="I134" s="186"/>
      <c r="J134" s="186"/>
      <c r="K134" s="186"/>
      <c r="L134" s="186"/>
      <c r="M134" s="186"/>
      <c r="N134" s="186"/>
      <c r="O134" s="186"/>
      <c r="P134" s="186"/>
      <c r="Q134" s="186"/>
    </row>
    <row r="135" spans="2:17" x14ac:dyDescent="0.35">
      <c r="B135" s="186"/>
      <c r="C135" s="186"/>
      <c r="D135" s="186"/>
      <c r="E135" s="186"/>
      <c r="F135" s="186"/>
      <c r="G135" s="186"/>
      <c r="H135" s="186"/>
      <c r="I135" s="186"/>
      <c r="J135" s="186"/>
      <c r="K135" s="186"/>
      <c r="L135" s="186"/>
      <c r="M135" s="186"/>
      <c r="N135" s="186"/>
      <c r="O135" s="186"/>
      <c r="P135" s="186"/>
      <c r="Q135" s="186"/>
    </row>
    <row r="136" spans="2:17" x14ac:dyDescent="0.35">
      <c r="B136" s="186"/>
      <c r="C136" s="186"/>
      <c r="D136" s="186"/>
      <c r="E136" s="186"/>
      <c r="F136" s="186"/>
      <c r="G136" s="186"/>
      <c r="H136" s="186"/>
      <c r="I136" s="186"/>
      <c r="J136" s="186"/>
      <c r="K136" s="186"/>
      <c r="L136" s="186"/>
      <c r="M136" s="186"/>
      <c r="N136" s="186"/>
      <c r="O136" s="186"/>
      <c r="P136" s="186"/>
      <c r="Q136" s="186"/>
    </row>
    <row r="137" spans="2:17" x14ac:dyDescent="0.35">
      <c r="B137" s="186"/>
      <c r="C137" s="186"/>
      <c r="D137" s="186"/>
      <c r="E137" s="186"/>
      <c r="F137" s="186"/>
      <c r="G137" s="186"/>
      <c r="H137" s="186"/>
      <c r="I137" s="186"/>
      <c r="J137" s="186"/>
      <c r="K137" s="186"/>
      <c r="L137" s="186"/>
      <c r="M137" s="186"/>
      <c r="N137" s="186"/>
      <c r="O137" s="186"/>
      <c r="P137" s="186"/>
      <c r="Q137" s="186"/>
    </row>
    <row r="138" spans="2:17" x14ac:dyDescent="0.35">
      <c r="B138" s="186"/>
      <c r="C138" s="186"/>
      <c r="D138" s="186"/>
      <c r="E138" s="186"/>
      <c r="F138" s="186"/>
      <c r="G138" s="186"/>
      <c r="H138" s="186"/>
      <c r="I138" s="186"/>
      <c r="J138" s="186"/>
      <c r="K138" s="186"/>
      <c r="L138" s="186"/>
      <c r="M138" s="186"/>
      <c r="N138" s="186"/>
      <c r="O138" s="186"/>
      <c r="P138" s="186"/>
      <c r="Q138" s="186"/>
    </row>
    <row r="139" spans="2:17" x14ac:dyDescent="0.35">
      <c r="B139" s="186"/>
      <c r="C139" s="186"/>
      <c r="D139" s="186"/>
      <c r="E139" s="186"/>
      <c r="F139" s="186"/>
      <c r="G139" s="186"/>
      <c r="H139" s="186"/>
      <c r="I139" s="186"/>
      <c r="J139" s="186"/>
      <c r="K139" s="186"/>
      <c r="L139" s="186"/>
      <c r="M139" s="186"/>
      <c r="N139" s="186"/>
      <c r="O139" s="186"/>
      <c r="P139" s="186"/>
      <c r="Q139" s="186"/>
    </row>
    <row r="140" spans="2:17" x14ac:dyDescent="0.35">
      <c r="B140" s="186"/>
      <c r="C140" s="186"/>
      <c r="D140" s="186"/>
      <c r="E140" s="186"/>
      <c r="F140" s="186"/>
      <c r="G140" s="186"/>
      <c r="H140" s="186"/>
      <c r="I140" s="186"/>
      <c r="J140" s="186"/>
      <c r="K140" s="186"/>
      <c r="L140" s="186"/>
      <c r="M140" s="186"/>
      <c r="N140" s="186"/>
      <c r="O140" s="186"/>
      <c r="P140" s="186"/>
      <c r="Q140" s="186"/>
    </row>
    <row r="141" spans="2:17" x14ac:dyDescent="0.35">
      <c r="B141" s="186"/>
      <c r="C141" s="186"/>
      <c r="D141" s="186"/>
      <c r="E141" s="186"/>
      <c r="F141" s="186"/>
      <c r="G141" s="186"/>
      <c r="H141" s="186"/>
      <c r="I141" s="186"/>
      <c r="J141" s="186"/>
      <c r="K141" s="186"/>
      <c r="L141" s="186"/>
      <c r="M141" s="186"/>
      <c r="N141" s="186"/>
      <c r="O141" s="186"/>
      <c r="P141" s="186"/>
      <c r="Q141" s="186"/>
    </row>
    <row r="142" spans="2:17" x14ac:dyDescent="0.35">
      <c r="B142" s="186"/>
      <c r="C142" s="186"/>
      <c r="D142" s="186"/>
      <c r="E142" s="186"/>
      <c r="F142" s="186"/>
      <c r="G142" s="186"/>
      <c r="H142" s="186"/>
      <c r="I142" s="186"/>
      <c r="J142" s="186"/>
      <c r="K142" s="186"/>
      <c r="L142" s="186"/>
      <c r="M142" s="186"/>
      <c r="N142" s="186"/>
      <c r="O142" s="186"/>
      <c r="P142" s="186"/>
      <c r="Q142" s="186"/>
    </row>
    <row r="143" spans="2:17" x14ac:dyDescent="0.35">
      <c r="B143" s="186"/>
      <c r="C143" s="186"/>
      <c r="D143" s="186"/>
      <c r="E143" s="186"/>
      <c r="F143" s="186"/>
      <c r="G143" s="186"/>
      <c r="H143" s="186"/>
      <c r="I143" s="186"/>
      <c r="J143" s="186"/>
      <c r="K143" s="186"/>
      <c r="L143" s="186"/>
      <c r="M143" s="186"/>
      <c r="N143" s="186"/>
      <c r="O143" s="186"/>
      <c r="P143" s="186"/>
      <c r="Q143" s="186"/>
    </row>
    <row r="144" spans="2:17" x14ac:dyDescent="0.35">
      <c r="B144" s="186"/>
      <c r="C144" s="186"/>
      <c r="D144" s="186"/>
      <c r="E144" s="186"/>
      <c r="F144" s="186"/>
      <c r="G144" s="186"/>
      <c r="H144" s="186"/>
      <c r="I144" s="186"/>
      <c r="J144" s="186"/>
      <c r="K144" s="186"/>
      <c r="L144" s="186"/>
      <c r="M144" s="186"/>
      <c r="N144" s="186"/>
      <c r="O144" s="186"/>
      <c r="P144" s="186"/>
      <c r="Q144" s="186"/>
    </row>
    <row r="145" spans="2:17" x14ac:dyDescent="0.35">
      <c r="B145" s="186"/>
      <c r="C145" s="186"/>
      <c r="D145" s="186"/>
      <c r="E145" s="186"/>
      <c r="F145" s="186"/>
      <c r="G145" s="186"/>
      <c r="H145" s="186"/>
      <c r="I145" s="186"/>
      <c r="J145" s="186"/>
      <c r="K145" s="186"/>
      <c r="L145" s="186"/>
      <c r="M145" s="186"/>
      <c r="N145" s="186"/>
      <c r="O145" s="186"/>
      <c r="P145" s="186"/>
      <c r="Q145" s="186"/>
    </row>
    <row r="146" spans="2:17" x14ac:dyDescent="0.35">
      <c r="B146" s="186"/>
      <c r="C146" s="186"/>
      <c r="D146" s="186"/>
      <c r="E146" s="186"/>
      <c r="F146" s="186"/>
      <c r="G146" s="186"/>
      <c r="H146" s="186"/>
      <c r="I146" s="186"/>
      <c r="J146" s="186"/>
      <c r="K146" s="186"/>
      <c r="L146" s="186"/>
      <c r="M146" s="186"/>
      <c r="N146" s="186"/>
      <c r="O146" s="186"/>
      <c r="P146" s="186"/>
      <c r="Q146" s="186"/>
    </row>
    <row r="147" spans="2:17" x14ac:dyDescent="0.35">
      <c r="B147" s="186"/>
      <c r="C147" s="186"/>
      <c r="D147" s="186"/>
      <c r="E147" s="186"/>
      <c r="F147" s="186"/>
      <c r="G147" s="186"/>
      <c r="H147" s="186"/>
      <c r="I147" s="186"/>
      <c r="J147" s="186"/>
      <c r="K147" s="186"/>
      <c r="L147" s="186"/>
      <c r="M147" s="186"/>
      <c r="N147" s="186"/>
      <c r="O147" s="186"/>
      <c r="P147" s="186"/>
      <c r="Q147" s="186"/>
    </row>
    <row r="148" spans="2:17" x14ac:dyDescent="0.35">
      <c r="B148" s="186"/>
      <c r="C148" s="186"/>
      <c r="D148" s="186"/>
      <c r="E148" s="186"/>
      <c r="F148" s="186"/>
      <c r="G148" s="186"/>
      <c r="H148" s="186"/>
      <c r="I148" s="186"/>
      <c r="J148" s="186"/>
      <c r="K148" s="186"/>
      <c r="L148" s="186"/>
      <c r="M148" s="186"/>
      <c r="N148" s="186"/>
      <c r="O148" s="186"/>
      <c r="P148" s="186"/>
      <c r="Q148" s="186"/>
    </row>
    <row r="149" spans="2:17" x14ac:dyDescent="0.35">
      <c r="B149" s="186"/>
      <c r="C149" s="186"/>
      <c r="D149" s="186"/>
      <c r="E149" s="186"/>
      <c r="F149" s="186"/>
      <c r="G149" s="186"/>
      <c r="H149" s="186"/>
      <c r="I149" s="186"/>
      <c r="J149" s="186"/>
      <c r="K149" s="186"/>
      <c r="L149" s="186"/>
      <c r="M149" s="186"/>
      <c r="N149" s="186"/>
      <c r="O149" s="186"/>
      <c r="P149" s="186"/>
      <c r="Q149" s="186"/>
    </row>
    <row r="150" spans="2:17" x14ac:dyDescent="0.35">
      <c r="B150" s="186"/>
      <c r="C150" s="186"/>
      <c r="D150" s="186"/>
      <c r="E150" s="186"/>
      <c r="F150" s="186"/>
      <c r="G150" s="186"/>
      <c r="H150" s="186"/>
      <c r="I150" s="186"/>
      <c r="J150" s="186"/>
      <c r="K150" s="186"/>
      <c r="L150" s="186"/>
      <c r="M150" s="186"/>
      <c r="N150" s="186"/>
      <c r="O150" s="186"/>
      <c r="P150" s="186"/>
      <c r="Q150" s="186"/>
    </row>
    <row r="151" spans="2:17" x14ac:dyDescent="0.35">
      <c r="B151" s="186"/>
      <c r="C151" s="186"/>
      <c r="D151" s="186"/>
      <c r="E151" s="186"/>
      <c r="F151" s="186"/>
      <c r="G151" s="186"/>
      <c r="H151" s="186"/>
      <c r="I151" s="186"/>
      <c r="J151" s="186"/>
      <c r="K151" s="186"/>
      <c r="L151" s="186"/>
      <c r="M151" s="186"/>
      <c r="N151" s="186"/>
      <c r="O151" s="186"/>
      <c r="P151" s="186"/>
      <c r="Q151" s="186"/>
    </row>
    <row r="152" spans="2:17" x14ac:dyDescent="0.35">
      <c r="B152" s="186"/>
      <c r="C152" s="186"/>
      <c r="D152" s="186"/>
      <c r="E152" s="186"/>
      <c r="F152" s="186"/>
      <c r="G152" s="186"/>
      <c r="H152" s="186"/>
      <c r="I152" s="186"/>
      <c r="J152" s="186"/>
      <c r="K152" s="186"/>
      <c r="L152" s="186"/>
      <c r="M152" s="186"/>
      <c r="N152" s="186"/>
      <c r="O152" s="186"/>
      <c r="P152" s="186"/>
      <c r="Q152" s="186"/>
    </row>
    <row r="153" spans="2:17" x14ac:dyDescent="0.35">
      <c r="B153" s="186"/>
      <c r="C153" s="186"/>
      <c r="D153" s="186"/>
      <c r="E153" s="186"/>
      <c r="F153" s="186"/>
      <c r="G153" s="186"/>
      <c r="H153" s="186"/>
      <c r="I153" s="186"/>
      <c r="J153" s="186"/>
      <c r="K153" s="186"/>
      <c r="L153" s="186"/>
      <c r="M153" s="186"/>
      <c r="N153" s="186"/>
      <c r="O153" s="186"/>
      <c r="P153" s="186"/>
      <c r="Q153" s="186"/>
    </row>
    <row r="154" spans="2:17" x14ac:dyDescent="0.35">
      <c r="B154" s="186"/>
      <c r="C154" s="186"/>
      <c r="D154" s="186"/>
      <c r="E154" s="186"/>
      <c r="F154" s="186"/>
      <c r="G154" s="186"/>
      <c r="H154" s="186"/>
      <c r="I154" s="186"/>
      <c r="J154" s="186"/>
      <c r="K154" s="186"/>
      <c r="L154" s="186"/>
      <c r="M154" s="186"/>
      <c r="N154" s="186"/>
      <c r="O154" s="186"/>
      <c r="P154" s="186"/>
      <c r="Q154" s="186"/>
    </row>
    <row r="155" spans="2:17" x14ac:dyDescent="0.35">
      <c r="B155" s="186"/>
      <c r="C155" s="186"/>
      <c r="D155" s="186"/>
      <c r="E155" s="186"/>
      <c r="F155" s="186"/>
      <c r="G155" s="186"/>
      <c r="H155" s="186"/>
      <c r="I155" s="186"/>
      <c r="J155" s="186"/>
      <c r="K155" s="186"/>
      <c r="L155" s="186"/>
      <c r="M155" s="186"/>
      <c r="N155" s="186"/>
      <c r="O155" s="186"/>
      <c r="P155" s="186"/>
      <c r="Q155" s="186"/>
    </row>
    <row r="156" spans="2:17" x14ac:dyDescent="0.35">
      <c r="B156" s="186"/>
      <c r="C156" s="186"/>
      <c r="D156" s="186"/>
      <c r="E156" s="186"/>
      <c r="F156" s="186"/>
      <c r="G156" s="186"/>
      <c r="H156" s="186"/>
      <c r="I156" s="186"/>
      <c r="J156" s="186"/>
      <c r="K156" s="186"/>
      <c r="L156" s="186"/>
      <c r="M156" s="186"/>
      <c r="N156" s="186"/>
      <c r="O156" s="186"/>
      <c r="P156" s="186"/>
      <c r="Q156" s="186"/>
    </row>
    <row r="157" spans="2:17" x14ac:dyDescent="0.35">
      <c r="B157" s="186"/>
      <c r="C157" s="186"/>
      <c r="D157" s="186"/>
      <c r="E157" s="186"/>
      <c r="F157" s="186"/>
      <c r="G157" s="186"/>
      <c r="H157" s="186"/>
      <c r="I157" s="186"/>
      <c r="J157" s="186"/>
      <c r="K157" s="186"/>
      <c r="L157" s="186"/>
      <c r="M157" s="186"/>
      <c r="N157" s="186"/>
      <c r="O157" s="186"/>
      <c r="P157" s="186"/>
      <c r="Q157" s="186"/>
    </row>
    <row r="158" spans="2:17" x14ac:dyDescent="0.35">
      <c r="B158" s="186"/>
      <c r="C158" s="186"/>
      <c r="D158" s="186"/>
      <c r="E158" s="186"/>
      <c r="F158" s="186"/>
      <c r="G158" s="186"/>
      <c r="H158" s="186"/>
      <c r="I158" s="186"/>
      <c r="J158" s="186"/>
      <c r="K158" s="186"/>
      <c r="L158" s="186"/>
      <c r="M158" s="186"/>
      <c r="N158" s="186"/>
      <c r="O158" s="186"/>
      <c r="P158" s="186"/>
      <c r="Q158" s="186"/>
    </row>
    <row r="159" spans="2:17" x14ac:dyDescent="0.35">
      <c r="B159" s="186"/>
      <c r="C159" s="186"/>
      <c r="D159" s="186"/>
      <c r="E159" s="186"/>
      <c r="F159" s="186"/>
      <c r="G159" s="186"/>
      <c r="H159" s="186"/>
      <c r="I159" s="186"/>
      <c r="J159" s="186"/>
      <c r="K159" s="186"/>
      <c r="L159" s="186"/>
      <c r="M159" s="186"/>
      <c r="N159" s="186"/>
      <c r="O159" s="186"/>
      <c r="P159" s="186"/>
      <c r="Q159" s="186"/>
    </row>
    <row r="160" spans="2:17" x14ac:dyDescent="0.35">
      <c r="B160" s="186"/>
      <c r="C160" s="186"/>
      <c r="D160" s="186"/>
      <c r="E160" s="186"/>
      <c r="F160" s="186"/>
      <c r="G160" s="186"/>
      <c r="H160" s="186"/>
      <c r="I160" s="186"/>
      <c r="J160" s="186"/>
      <c r="K160" s="186"/>
      <c r="L160" s="186"/>
      <c r="M160" s="186"/>
      <c r="N160" s="186"/>
      <c r="O160" s="186"/>
      <c r="P160" s="186"/>
      <c r="Q160" s="186"/>
    </row>
    <row r="161" spans="2:17" x14ac:dyDescent="0.35">
      <c r="B161" s="186"/>
      <c r="C161" s="186"/>
      <c r="D161" s="186"/>
      <c r="E161" s="186"/>
      <c r="F161" s="186"/>
      <c r="G161" s="186"/>
      <c r="H161" s="186"/>
      <c r="I161" s="186"/>
      <c r="J161" s="186"/>
      <c r="K161" s="186"/>
      <c r="L161" s="186"/>
      <c r="M161" s="186"/>
      <c r="N161" s="186"/>
      <c r="O161" s="186"/>
      <c r="P161" s="186"/>
      <c r="Q161" s="186"/>
    </row>
    <row r="162" spans="2:17" x14ac:dyDescent="0.35">
      <c r="B162" s="186"/>
      <c r="C162" s="186"/>
      <c r="D162" s="186"/>
      <c r="E162" s="186"/>
      <c r="F162" s="186"/>
      <c r="G162" s="186"/>
      <c r="H162" s="186"/>
      <c r="I162" s="186"/>
      <c r="J162" s="186"/>
      <c r="K162" s="186"/>
      <c r="L162" s="186"/>
      <c r="M162" s="186"/>
      <c r="N162" s="186"/>
      <c r="O162" s="186"/>
      <c r="P162" s="186"/>
      <c r="Q162" s="186"/>
    </row>
    <row r="163" spans="2:17" x14ac:dyDescent="0.35">
      <c r="B163" s="186"/>
      <c r="C163" s="186"/>
      <c r="D163" s="186"/>
      <c r="E163" s="186"/>
      <c r="F163" s="186"/>
      <c r="G163" s="186"/>
      <c r="H163" s="186"/>
      <c r="I163" s="186"/>
      <c r="J163" s="186"/>
      <c r="K163" s="186"/>
      <c r="L163" s="186"/>
      <c r="M163" s="186"/>
      <c r="N163" s="186"/>
      <c r="O163" s="186"/>
      <c r="P163" s="186"/>
      <c r="Q163" s="186"/>
    </row>
    <row r="164" spans="2:17" x14ac:dyDescent="0.35">
      <c r="B164" s="186"/>
      <c r="C164" s="186"/>
      <c r="D164" s="186"/>
      <c r="E164" s="186"/>
      <c r="F164" s="186"/>
      <c r="G164" s="186"/>
      <c r="H164" s="186"/>
      <c r="I164" s="186"/>
      <c r="J164" s="186"/>
      <c r="K164" s="186"/>
      <c r="L164" s="186"/>
      <c r="M164" s="186"/>
      <c r="N164" s="186"/>
      <c r="O164" s="186"/>
      <c r="P164" s="186"/>
      <c r="Q164" s="186"/>
    </row>
    <row r="165" spans="2:17" x14ac:dyDescent="0.35">
      <c r="B165" s="186"/>
      <c r="C165" s="186"/>
      <c r="D165" s="186"/>
      <c r="E165" s="186"/>
      <c r="F165" s="186"/>
      <c r="G165" s="186"/>
      <c r="H165" s="186"/>
      <c r="I165" s="186"/>
      <c r="J165" s="186"/>
      <c r="K165" s="186"/>
      <c r="L165" s="186"/>
      <c r="M165" s="186"/>
      <c r="N165" s="186"/>
      <c r="O165" s="186"/>
      <c r="P165" s="186"/>
      <c r="Q165" s="186"/>
    </row>
    <row r="166" spans="2:17" x14ac:dyDescent="0.35">
      <c r="B166" s="186"/>
      <c r="C166" s="186"/>
      <c r="D166" s="186"/>
      <c r="E166" s="186"/>
      <c r="F166" s="186"/>
      <c r="G166" s="186"/>
      <c r="H166" s="186"/>
      <c r="I166" s="186"/>
      <c r="J166" s="186"/>
      <c r="K166" s="186"/>
      <c r="L166" s="186"/>
      <c r="M166" s="186"/>
      <c r="N166" s="186"/>
      <c r="O166" s="186"/>
      <c r="P166" s="186"/>
      <c r="Q166" s="186"/>
    </row>
    <row r="167" spans="2:17" x14ac:dyDescent="0.35">
      <c r="B167" s="186"/>
      <c r="C167" s="186"/>
      <c r="D167" s="186"/>
      <c r="E167" s="186"/>
      <c r="F167" s="186"/>
      <c r="G167" s="186"/>
      <c r="H167" s="186"/>
      <c r="I167" s="186"/>
      <c r="J167" s="186"/>
      <c r="K167" s="186"/>
      <c r="L167" s="186"/>
      <c r="M167" s="186"/>
      <c r="N167" s="186"/>
      <c r="O167" s="186"/>
      <c r="P167" s="186"/>
      <c r="Q167" s="186"/>
    </row>
    <row r="168" spans="2:17" x14ac:dyDescent="0.35">
      <c r="B168" s="186"/>
      <c r="C168" s="186"/>
      <c r="D168" s="186"/>
      <c r="E168" s="186"/>
      <c r="F168" s="186"/>
      <c r="G168" s="186"/>
      <c r="H168" s="186"/>
      <c r="I168" s="186"/>
      <c r="J168" s="186"/>
      <c r="K168" s="186"/>
      <c r="L168" s="186"/>
      <c r="M168" s="186"/>
      <c r="N168" s="186"/>
      <c r="O168" s="186"/>
      <c r="P168" s="186"/>
      <c r="Q168" s="186"/>
    </row>
    <row r="169" spans="2:17" x14ac:dyDescent="0.35">
      <c r="B169" s="186"/>
      <c r="C169" s="186"/>
      <c r="D169" s="186"/>
      <c r="E169" s="186"/>
      <c r="F169" s="186"/>
      <c r="G169" s="186"/>
      <c r="H169" s="186"/>
      <c r="I169" s="186"/>
      <c r="J169" s="186"/>
      <c r="K169" s="186"/>
      <c r="L169" s="186"/>
      <c r="M169" s="186"/>
      <c r="N169" s="186"/>
      <c r="O169" s="186"/>
      <c r="P169" s="186"/>
      <c r="Q169" s="186"/>
    </row>
    <row r="170" spans="2:17" x14ac:dyDescent="0.35">
      <c r="B170" s="186"/>
      <c r="C170" s="186"/>
      <c r="D170" s="186"/>
      <c r="E170" s="186"/>
      <c r="F170" s="186"/>
      <c r="G170" s="186"/>
      <c r="H170" s="186"/>
      <c r="I170" s="186"/>
      <c r="J170" s="186"/>
      <c r="K170" s="186"/>
      <c r="L170" s="186"/>
      <c r="M170" s="186"/>
      <c r="N170" s="186"/>
      <c r="O170" s="186"/>
      <c r="P170" s="186"/>
      <c r="Q170" s="186"/>
    </row>
    <row r="171" spans="2:17" x14ac:dyDescent="0.35">
      <c r="B171" s="186"/>
      <c r="C171" s="186"/>
      <c r="D171" s="186"/>
      <c r="E171" s="186"/>
      <c r="F171" s="186"/>
      <c r="G171" s="186"/>
      <c r="H171" s="186"/>
      <c r="I171" s="186"/>
      <c r="J171" s="186"/>
      <c r="K171" s="186"/>
      <c r="L171" s="186"/>
      <c r="M171" s="186"/>
      <c r="N171" s="186"/>
      <c r="O171" s="186"/>
      <c r="P171" s="186"/>
      <c r="Q171" s="186"/>
    </row>
    <row r="172" spans="2:17" x14ac:dyDescent="0.35">
      <c r="B172" s="186"/>
      <c r="C172" s="186"/>
      <c r="D172" s="186"/>
      <c r="E172" s="186"/>
      <c r="F172" s="186"/>
      <c r="G172" s="186"/>
      <c r="H172" s="186"/>
      <c r="I172" s="186"/>
      <c r="J172" s="186"/>
      <c r="K172" s="186"/>
      <c r="L172" s="186"/>
      <c r="M172" s="186"/>
      <c r="N172" s="186"/>
      <c r="O172" s="186"/>
      <c r="P172" s="186"/>
      <c r="Q172" s="186"/>
    </row>
    <row r="173" spans="2:17" x14ac:dyDescent="0.35">
      <c r="B173" s="186"/>
      <c r="C173" s="186"/>
      <c r="D173" s="186"/>
      <c r="E173" s="186"/>
      <c r="F173" s="186"/>
      <c r="G173" s="186"/>
      <c r="H173" s="186"/>
      <c r="I173" s="186"/>
      <c r="J173" s="186"/>
      <c r="K173" s="186"/>
      <c r="L173" s="186"/>
      <c r="M173" s="186"/>
      <c r="N173" s="186"/>
      <c r="O173" s="186"/>
      <c r="P173" s="186"/>
      <c r="Q173" s="186"/>
    </row>
    <row r="174" spans="2:17" x14ac:dyDescent="0.35">
      <c r="B174" s="186"/>
      <c r="C174" s="186"/>
      <c r="D174" s="186"/>
      <c r="E174" s="186"/>
      <c r="F174" s="186"/>
      <c r="G174" s="186"/>
      <c r="H174" s="186"/>
      <c r="I174" s="186"/>
      <c r="J174" s="186"/>
      <c r="K174" s="186"/>
      <c r="L174" s="186"/>
      <c r="M174" s="186"/>
      <c r="N174" s="186"/>
      <c r="O174" s="186"/>
      <c r="P174" s="186"/>
      <c r="Q174" s="186"/>
    </row>
    <row r="175" spans="2:17" x14ac:dyDescent="0.35">
      <c r="B175" s="186"/>
      <c r="C175" s="186"/>
      <c r="D175" s="186"/>
      <c r="E175" s="186"/>
      <c r="F175" s="186"/>
      <c r="G175" s="186"/>
      <c r="H175" s="186"/>
      <c r="I175" s="186"/>
      <c r="J175" s="186"/>
      <c r="K175" s="186"/>
      <c r="L175" s="186"/>
      <c r="M175" s="186"/>
      <c r="N175" s="186"/>
      <c r="O175" s="186"/>
      <c r="P175" s="186"/>
      <c r="Q175" s="186"/>
    </row>
    <row r="176" spans="2:17" x14ac:dyDescent="0.35">
      <c r="B176" s="186"/>
      <c r="C176" s="186"/>
      <c r="D176" s="186"/>
      <c r="E176" s="186"/>
      <c r="F176" s="186"/>
      <c r="G176" s="186"/>
      <c r="H176" s="186"/>
      <c r="I176" s="186"/>
      <c r="J176" s="186"/>
      <c r="K176" s="186"/>
      <c r="L176" s="186"/>
      <c r="M176" s="186"/>
      <c r="N176" s="186"/>
      <c r="O176" s="186"/>
      <c r="P176" s="186"/>
      <c r="Q176" s="186"/>
    </row>
    <row r="177" spans="2:17" x14ac:dyDescent="0.35">
      <c r="B177" s="186"/>
      <c r="C177" s="186"/>
      <c r="D177" s="186"/>
      <c r="E177" s="186"/>
      <c r="F177" s="186"/>
      <c r="G177" s="186"/>
      <c r="H177" s="186"/>
      <c r="I177" s="186"/>
      <c r="J177" s="186"/>
      <c r="K177" s="186"/>
      <c r="L177" s="186"/>
      <c r="M177" s="186"/>
      <c r="N177" s="186"/>
      <c r="O177" s="186"/>
      <c r="P177" s="186"/>
      <c r="Q177" s="186"/>
    </row>
    <row r="178" spans="2:17" x14ac:dyDescent="0.35">
      <c r="B178" s="186"/>
      <c r="C178" s="186"/>
      <c r="D178" s="186"/>
      <c r="E178" s="186"/>
      <c r="F178" s="186"/>
      <c r="G178" s="186"/>
      <c r="H178" s="186"/>
      <c r="I178" s="186"/>
      <c r="J178" s="186"/>
      <c r="K178" s="186"/>
      <c r="L178" s="186"/>
      <c r="M178" s="186"/>
      <c r="N178" s="186"/>
      <c r="O178" s="186"/>
      <c r="P178" s="186"/>
      <c r="Q178" s="186"/>
    </row>
    <row r="179" spans="2:17" x14ac:dyDescent="0.35">
      <c r="B179" s="186"/>
      <c r="C179" s="186"/>
      <c r="D179" s="186"/>
      <c r="E179" s="186"/>
      <c r="F179" s="186"/>
      <c r="G179" s="186"/>
      <c r="H179" s="186"/>
      <c r="I179" s="186"/>
      <c r="J179" s="186"/>
      <c r="K179" s="186"/>
      <c r="L179" s="186"/>
      <c r="M179" s="186"/>
      <c r="N179" s="186"/>
      <c r="O179" s="186"/>
      <c r="P179" s="186"/>
      <c r="Q179" s="186"/>
    </row>
    <row r="180" spans="2:17" x14ac:dyDescent="0.35">
      <c r="B180" s="186"/>
      <c r="C180" s="186"/>
      <c r="D180" s="186"/>
      <c r="E180" s="186"/>
      <c r="F180" s="186"/>
      <c r="G180" s="186"/>
      <c r="H180" s="186"/>
      <c r="I180" s="186"/>
      <c r="J180" s="186"/>
      <c r="K180" s="186"/>
      <c r="L180" s="186"/>
      <c r="M180" s="186"/>
      <c r="N180" s="186"/>
      <c r="O180" s="186"/>
      <c r="P180" s="186"/>
      <c r="Q180" s="186"/>
    </row>
    <row r="181" spans="2:17" x14ac:dyDescent="0.35">
      <c r="B181" s="186"/>
      <c r="C181" s="186"/>
      <c r="D181" s="186"/>
      <c r="E181" s="186"/>
      <c r="F181" s="186"/>
      <c r="G181" s="186"/>
      <c r="H181" s="186"/>
      <c r="I181" s="186"/>
      <c r="J181" s="186"/>
      <c r="K181" s="186"/>
      <c r="L181" s="186"/>
      <c r="M181" s="186"/>
      <c r="N181" s="186"/>
      <c r="O181" s="186"/>
      <c r="P181" s="186"/>
      <c r="Q181" s="186"/>
    </row>
    <row r="182" spans="2:17" x14ac:dyDescent="0.35">
      <c r="B182" s="186"/>
      <c r="C182" s="186"/>
      <c r="D182" s="186"/>
      <c r="E182" s="186"/>
      <c r="F182" s="186"/>
      <c r="G182" s="186"/>
      <c r="H182" s="186"/>
      <c r="I182" s="186"/>
      <c r="J182" s="186"/>
      <c r="K182" s="186"/>
      <c r="L182" s="186"/>
      <c r="M182" s="186"/>
      <c r="N182" s="186"/>
      <c r="O182" s="186"/>
      <c r="P182" s="186"/>
      <c r="Q182" s="186"/>
    </row>
    <row r="183" spans="2:17" x14ac:dyDescent="0.35">
      <c r="B183" s="186"/>
      <c r="C183" s="186"/>
      <c r="D183" s="186"/>
      <c r="E183" s="186"/>
      <c r="F183" s="186"/>
      <c r="G183" s="186"/>
      <c r="H183" s="186"/>
      <c r="I183" s="186"/>
      <c r="J183" s="186"/>
      <c r="K183" s="186"/>
      <c r="L183" s="186"/>
      <c r="M183" s="186"/>
      <c r="N183" s="186"/>
      <c r="O183" s="186"/>
      <c r="P183" s="186"/>
      <c r="Q183" s="186"/>
    </row>
    <row r="184" spans="2:17" x14ac:dyDescent="0.35">
      <c r="B184" s="186"/>
      <c r="C184" s="186"/>
      <c r="D184" s="186"/>
      <c r="E184" s="186"/>
      <c r="F184" s="186"/>
      <c r="G184" s="186"/>
      <c r="H184" s="186"/>
      <c r="I184" s="186"/>
      <c r="J184" s="186"/>
      <c r="K184" s="186"/>
      <c r="L184" s="186"/>
      <c r="M184" s="186"/>
      <c r="N184" s="186"/>
      <c r="O184" s="186"/>
      <c r="P184" s="186"/>
      <c r="Q184" s="186"/>
    </row>
    <row r="185" spans="2:17" x14ac:dyDescent="0.35">
      <c r="B185" s="186"/>
      <c r="C185" s="186"/>
      <c r="D185" s="186"/>
      <c r="E185" s="186"/>
      <c r="F185" s="186"/>
      <c r="G185" s="186"/>
      <c r="H185" s="186"/>
      <c r="I185" s="186"/>
      <c r="J185" s="186"/>
      <c r="K185" s="186"/>
      <c r="L185" s="186"/>
      <c r="M185" s="186"/>
      <c r="N185" s="186"/>
      <c r="O185" s="186"/>
      <c r="P185" s="186"/>
      <c r="Q185" s="186"/>
    </row>
    <row r="186" spans="2:17" x14ac:dyDescent="0.35">
      <c r="B186" s="186"/>
      <c r="C186" s="186"/>
      <c r="D186" s="186"/>
      <c r="E186" s="186"/>
      <c r="F186" s="186"/>
      <c r="G186" s="186"/>
      <c r="H186" s="186"/>
      <c r="I186" s="186"/>
      <c r="J186" s="186"/>
      <c r="K186" s="186"/>
      <c r="L186" s="186"/>
      <c r="M186" s="186"/>
      <c r="N186" s="186"/>
      <c r="O186" s="186"/>
      <c r="P186" s="186"/>
      <c r="Q186" s="186"/>
    </row>
    <row r="187" spans="2:17" x14ac:dyDescent="0.35">
      <c r="B187" s="186"/>
      <c r="C187" s="186"/>
      <c r="D187" s="186"/>
      <c r="E187" s="186"/>
      <c r="F187" s="186"/>
      <c r="G187" s="186"/>
      <c r="H187" s="186"/>
      <c r="I187" s="186"/>
      <c r="J187" s="186"/>
      <c r="K187" s="186"/>
      <c r="L187" s="186"/>
      <c r="M187" s="186"/>
      <c r="N187" s="186"/>
      <c r="O187" s="186"/>
      <c r="P187" s="186"/>
      <c r="Q187" s="186"/>
    </row>
    <row r="188" spans="2:17" x14ac:dyDescent="0.35">
      <c r="B188" s="186"/>
      <c r="C188" s="186"/>
      <c r="D188" s="186"/>
      <c r="E188" s="186"/>
      <c r="F188" s="186"/>
      <c r="G188" s="186"/>
      <c r="H188" s="186"/>
      <c r="I188" s="186"/>
      <c r="J188" s="186"/>
      <c r="K188" s="186"/>
      <c r="L188" s="186"/>
      <c r="M188" s="186"/>
      <c r="N188" s="186"/>
      <c r="O188" s="186"/>
      <c r="P188" s="186"/>
      <c r="Q188" s="186"/>
    </row>
    <row r="189" spans="2:17" x14ac:dyDescent="0.35">
      <c r="B189" s="186"/>
      <c r="C189" s="186"/>
      <c r="D189" s="186"/>
      <c r="E189" s="186"/>
      <c r="F189" s="186"/>
      <c r="G189" s="186"/>
      <c r="H189" s="186"/>
      <c r="I189" s="186"/>
      <c r="J189" s="186"/>
      <c r="K189" s="186"/>
      <c r="L189" s="186"/>
      <c r="M189" s="186"/>
      <c r="N189" s="186"/>
      <c r="O189" s="186"/>
      <c r="P189" s="186"/>
      <c r="Q189" s="186"/>
    </row>
    <row r="190" spans="2:17" x14ac:dyDescent="0.35">
      <c r="B190" s="186"/>
      <c r="C190" s="186"/>
      <c r="D190" s="186"/>
      <c r="E190" s="186"/>
      <c r="F190" s="186"/>
      <c r="G190" s="186"/>
      <c r="H190" s="186"/>
      <c r="I190" s="186"/>
      <c r="J190" s="186"/>
      <c r="K190" s="186"/>
      <c r="L190" s="186"/>
      <c r="M190" s="186"/>
      <c r="N190" s="186"/>
      <c r="O190" s="186"/>
      <c r="P190" s="186"/>
      <c r="Q190" s="186"/>
    </row>
    <row r="191" spans="2:17" x14ac:dyDescent="0.35">
      <c r="B191" s="186"/>
      <c r="C191" s="186"/>
      <c r="D191" s="186"/>
      <c r="E191" s="186"/>
      <c r="F191" s="186"/>
      <c r="G191" s="186"/>
      <c r="H191" s="186"/>
      <c r="I191" s="186"/>
      <c r="J191" s="186"/>
      <c r="K191" s="186"/>
      <c r="L191" s="186"/>
      <c r="M191" s="186"/>
      <c r="N191" s="186"/>
      <c r="O191" s="186"/>
      <c r="P191" s="186"/>
      <c r="Q191" s="186"/>
    </row>
    <row r="192" spans="2:17" x14ac:dyDescent="0.35">
      <c r="B192" s="186"/>
      <c r="C192" s="186"/>
      <c r="D192" s="186"/>
      <c r="E192" s="186"/>
      <c r="F192" s="186"/>
      <c r="G192" s="186"/>
      <c r="H192" s="186"/>
      <c r="I192" s="186"/>
      <c r="J192" s="186"/>
      <c r="K192" s="186"/>
      <c r="L192" s="186"/>
      <c r="M192" s="186"/>
      <c r="N192" s="186"/>
      <c r="O192" s="186"/>
      <c r="P192" s="186"/>
      <c r="Q192" s="186"/>
    </row>
    <row r="193" spans="2:17" x14ac:dyDescent="0.35">
      <c r="B193" s="186"/>
      <c r="C193" s="186"/>
      <c r="D193" s="186"/>
      <c r="E193" s="186"/>
      <c r="F193" s="186"/>
      <c r="G193" s="186"/>
      <c r="H193" s="186"/>
      <c r="I193" s="186"/>
      <c r="J193" s="186"/>
      <c r="K193" s="186"/>
      <c r="L193" s="186"/>
      <c r="M193" s="186"/>
      <c r="N193" s="186"/>
      <c r="O193" s="186"/>
      <c r="P193" s="186"/>
      <c r="Q193" s="186"/>
    </row>
    <row r="194" spans="2:17" x14ac:dyDescent="0.35">
      <c r="B194" s="186"/>
      <c r="C194" s="186"/>
      <c r="D194" s="186"/>
      <c r="E194" s="186"/>
      <c r="F194" s="186"/>
      <c r="G194" s="186"/>
      <c r="H194" s="186"/>
      <c r="I194" s="186"/>
      <c r="J194" s="186"/>
      <c r="K194" s="186"/>
      <c r="L194" s="186"/>
      <c r="M194" s="186"/>
      <c r="N194" s="186"/>
      <c r="O194" s="186"/>
      <c r="P194" s="186"/>
      <c r="Q194" s="186"/>
    </row>
    <row r="195" spans="2:17" x14ac:dyDescent="0.35">
      <c r="B195" s="186"/>
      <c r="C195" s="186"/>
      <c r="D195" s="186"/>
      <c r="E195" s="186"/>
      <c r="F195" s="186"/>
      <c r="G195" s="186"/>
      <c r="H195" s="186"/>
      <c r="I195" s="186"/>
      <c r="J195" s="186"/>
      <c r="K195" s="186"/>
      <c r="L195" s="186"/>
      <c r="M195" s="186"/>
      <c r="N195" s="186"/>
      <c r="O195" s="186"/>
      <c r="P195" s="186"/>
      <c r="Q195" s="186"/>
    </row>
    <row r="196" spans="2:17" x14ac:dyDescent="0.35">
      <c r="B196" s="186"/>
      <c r="C196" s="186"/>
      <c r="D196" s="186"/>
      <c r="E196" s="186"/>
      <c r="F196" s="186"/>
      <c r="G196" s="186"/>
      <c r="H196" s="186"/>
      <c r="I196" s="186"/>
      <c r="J196" s="186"/>
      <c r="K196" s="186"/>
      <c r="L196" s="186"/>
      <c r="M196" s="186"/>
      <c r="N196" s="186"/>
      <c r="O196" s="186"/>
      <c r="P196" s="186"/>
      <c r="Q196" s="186"/>
    </row>
    <row r="197" spans="2:17" x14ac:dyDescent="0.35">
      <c r="B197" s="186"/>
      <c r="C197" s="186"/>
      <c r="D197" s="186"/>
      <c r="E197" s="186"/>
      <c r="F197" s="186"/>
      <c r="G197" s="186"/>
      <c r="H197" s="186"/>
      <c r="I197" s="186"/>
      <c r="J197" s="186"/>
      <c r="K197" s="186"/>
      <c r="L197" s="186"/>
      <c r="M197" s="186"/>
      <c r="N197" s="186"/>
      <c r="O197" s="186"/>
      <c r="P197" s="186"/>
      <c r="Q197" s="186"/>
    </row>
    <row r="198" spans="2:17" x14ac:dyDescent="0.35">
      <c r="B198" s="186"/>
      <c r="C198" s="186"/>
      <c r="D198" s="186"/>
      <c r="E198" s="186"/>
      <c r="F198" s="186"/>
      <c r="G198" s="186"/>
      <c r="H198" s="186"/>
      <c r="I198" s="186"/>
      <c r="J198" s="186"/>
      <c r="K198" s="186"/>
      <c r="L198" s="186"/>
      <c r="M198" s="186"/>
      <c r="N198" s="186"/>
      <c r="O198" s="186"/>
      <c r="P198" s="186"/>
      <c r="Q198" s="186"/>
    </row>
    <row r="199" spans="2:17" x14ac:dyDescent="0.35">
      <c r="B199" s="186"/>
      <c r="C199" s="186"/>
      <c r="D199" s="186"/>
      <c r="E199" s="186"/>
      <c r="F199" s="186"/>
      <c r="G199" s="186"/>
      <c r="H199" s="186"/>
      <c r="I199" s="186"/>
      <c r="J199" s="186"/>
      <c r="K199" s="186"/>
      <c r="L199" s="186"/>
      <c r="M199" s="186"/>
      <c r="N199" s="186"/>
      <c r="O199" s="186"/>
      <c r="P199" s="186"/>
      <c r="Q199" s="186"/>
    </row>
    <row r="200" spans="2:17" x14ac:dyDescent="0.35">
      <c r="B200" s="186"/>
      <c r="C200" s="186"/>
      <c r="D200" s="186"/>
      <c r="E200" s="186"/>
      <c r="F200" s="186"/>
      <c r="G200" s="186"/>
      <c r="H200" s="186"/>
      <c r="I200" s="186"/>
      <c r="J200" s="186"/>
      <c r="K200" s="186"/>
      <c r="L200" s="186"/>
      <c r="M200" s="186"/>
      <c r="N200" s="186"/>
      <c r="O200" s="186"/>
      <c r="P200" s="186"/>
      <c r="Q200" s="186"/>
    </row>
    <row r="201" spans="2:17" x14ac:dyDescent="0.35">
      <c r="B201" s="186"/>
      <c r="C201" s="186"/>
      <c r="D201" s="186"/>
      <c r="E201" s="186"/>
      <c r="F201" s="186"/>
      <c r="G201" s="186"/>
      <c r="H201" s="186"/>
      <c r="I201" s="186"/>
      <c r="J201" s="186"/>
      <c r="K201" s="186"/>
      <c r="L201" s="186"/>
      <c r="M201" s="186"/>
      <c r="N201" s="186"/>
      <c r="O201" s="186"/>
      <c r="P201" s="186"/>
      <c r="Q201" s="186"/>
    </row>
    <row r="202" spans="2:17" x14ac:dyDescent="0.35">
      <c r="B202" s="186"/>
      <c r="C202" s="186"/>
      <c r="D202" s="186"/>
      <c r="E202" s="186"/>
      <c r="F202" s="186"/>
      <c r="G202" s="186"/>
      <c r="H202" s="186"/>
      <c r="I202" s="186"/>
      <c r="J202" s="186"/>
      <c r="K202" s="186"/>
      <c r="L202" s="186"/>
      <c r="M202" s="186"/>
      <c r="N202" s="186"/>
      <c r="O202" s="186"/>
      <c r="P202" s="186"/>
      <c r="Q202" s="186"/>
    </row>
    <row r="203" spans="2:17" x14ac:dyDescent="0.35">
      <c r="B203" s="186"/>
      <c r="C203" s="186"/>
      <c r="D203" s="186"/>
      <c r="E203" s="186"/>
      <c r="F203" s="186"/>
      <c r="G203" s="186"/>
      <c r="H203" s="186"/>
      <c r="I203" s="186"/>
      <c r="J203" s="186"/>
      <c r="K203" s="186"/>
      <c r="L203" s="186"/>
      <c r="M203" s="186"/>
      <c r="N203" s="186"/>
      <c r="O203" s="186"/>
      <c r="P203" s="186"/>
      <c r="Q203" s="186"/>
    </row>
    <row r="204" spans="2:17" x14ac:dyDescent="0.35">
      <c r="B204" s="186"/>
      <c r="C204" s="186"/>
      <c r="D204" s="186"/>
      <c r="E204" s="186"/>
      <c r="F204" s="186"/>
      <c r="G204" s="186"/>
      <c r="H204" s="186"/>
      <c r="I204" s="186"/>
      <c r="J204" s="186"/>
      <c r="K204" s="186"/>
      <c r="L204" s="186"/>
      <c r="M204" s="186"/>
      <c r="N204" s="186"/>
      <c r="O204" s="186"/>
      <c r="P204" s="186"/>
      <c r="Q204" s="186"/>
    </row>
    <row r="205" spans="2:17" x14ac:dyDescent="0.35">
      <c r="B205" s="186"/>
      <c r="C205" s="186"/>
      <c r="D205" s="186"/>
      <c r="E205" s="186"/>
      <c r="F205" s="186"/>
      <c r="G205" s="186"/>
      <c r="H205" s="186"/>
      <c r="I205" s="186"/>
      <c r="J205" s="186"/>
      <c r="K205" s="186"/>
      <c r="L205" s="186"/>
      <c r="M205" s="186"/>
      <c r="N205" s="186"/>
      <c r="O205" s="186"/>
      <c r="P205" s="186"/>
      <c r="Q205" s="186"/>
    </row>
    <row r="206" spans="2:17" x14ac:dyDescent="0.35">
      <c r="B206" s="186"/>
      <c r="C206" s="186"/>
      <c r="D206" s="186"/>
      <c r="E206" s="186"/>
      <c r="F206" s="186"/>
      <c r="G206" s="186"/>
      <c r="H206" s="186"/>
      <c r="I206" s="186"/>
      <c r="J206" s="186"/>
      <c r="K206" s="186"/>
      <c r="L206" s="186"/>
      <c r="M206" s="186"/>
      <c r="N206" s="186"/>
      <c r="O206" s="186"/>
      <c r="P206" s="186"/>
      <c r="Q206" s="186"/>
    </row>
    <row r="207" spans="2:17" x14ac:dyDescent="0.35">
      <c r="B207" s="186"/>
      <c r="C207" s="186"/>
      <c r="D207" s="186"/>
      <c r="E207" s="186"/>
      <c r="F207" s="186"/>
      <c r="G207" s="186"/>
      <c r="H207" s="186"/>
      <c r="I207" s="186"/>
      <c r="J207" s="186"/>
      <c r="K207" s="186"/>
      <c r="L207" s="186"/>
      <c r="M207" s="186"/>
      <c r="N207" s="186"/>
      <c r="O207" s="186"/>
      <c r="P207" s="186"/>
      <c r="Q207" s="186"/>
    </row>
    <row r="208" spans="2:17" x14ac:dyDescent="0.35">
      <c r="B208" s="186"/>
      <c r="C208" s="186"/>
      <c r="D208" s="186"/>
      <c r="E208" s="186"/>
      <c r="F208" s="186"/>
      <c r="G208" s="186"/>
      <c r="H208" s="186"/>
      <c r="I208" s="186"/>
      <c r="J208" s="186"/>
      <c r="K208" s="186"/>
      <c r="L208" s="186"/>
      <c r="M208" s="186"/>
      <c r="N208" s="186"/>
      <c r="O208" s="186"/>
      <c r="P208" s="186"/>
      <c r="Q208" s="186"/>
    </row>
    <row r="209" spans="2:17" x14ac:dyDescent="0.35">
      <c r="B209" s="186"/>
      <c r="C209" s="186"/>
      <c r="D209" s="186"/>
      <c r="E209" s="186"/>
      <c r="F209" s="186"/>
      <c r="G209" s="186"/>
      <c r="H209" s="186"/>
      <c r="I209" s="186"/>
      <c r="J209" s="186"/>
      <c r="K209" s="186"/>
      <c r="L209" s="186"/>
      <c r="M209" s="186"/>
      <c r="N209" s="186"/>
      <c r="O209" s="186"/>
      <c r="P209" s="186"/>
      <c r="Q209" s="186"/>
    </row>
    <row r="210" spans="2:17" x14ac:dyDescent="0.35">
      <c r="B210" s="186"/>
      <c r="C210" s="186"/>
      <c r="D210" s="186"/>
      <c r="E210" s="186"/>
      <c r="F210" s="186"/>
      <c r="G210" s="186"/>
      <c r="H210" s="186"/>
      <c r="I210" s="186"/>
      <c r="J210" s="186"/>
      <c r="K210" s="186"/>
      <c r="L210" s="186"/>
      <c r="M210" s="186"/>
      <c r="N210" s="186"/>
      <c r="O210" s="186"/>
      <c r="P210" s="186"/>
      <c r="Q210" s="186"/>
    </row>
    <row r="211" spans="2:17" x14ac:dyDescent="0.35">
      <c r="B211" s="186"/>
      <c r="C211" s="186"/>
      <c r="D211" s="186"/>
      <c r="E211" s="186"/>
      <c r="F211" s="186"/>
      <c r="G211" s="186"/>
      <c r="H211" s="186"/>
      <c r="I211" s="186"/>
      <c r="J211" s="186"/>
      <c r="K211" s="186"/>
      <c r="L211" s="186"/>
      <c r="M211" s="186"/>
      <c r="N211" s="186"/>
      <c r="O211" s="186"/>
      <c r="P211" s="186"/>
      <c r="Q211" s="186"/>
    </row>
    <row r="212" spans="2:17" x14ac:dyDescent="0.35">
      <c r="B212" s="186"/>
      <c r="C212" s="186"/>
      <c r="D212" s="186"/>
      <c r="E212" s="186"/>
      <c r="F212" s="186"/>
      <c r="G212" s="186"/>
      <c r="H212" s="186"/>
      <c r="I212" s="186"/>
      <c r="J212" s="186"/>
      <c r="K212" s="186"/>
      <c r="L212" s="186"/>
      <c r="M212" s="186"/>
      <c r="N212" s="186"/>
      <c r="O212" s="186"/>
      <c r="P212" s="186"/>
      <c r="Q212" s="186"/>
    </row>
    <row r="213" spans="2:17" x14ac:dyDescent="0.35">
      <c r="B213" s="186"/>
      <c r="C213" s="186"/>
      <c r="D213" s="186"/>
      <c r="E213" s="186"/>
      <c r="F213" s="186"/>
      <c r="G213" s="186"/>
      <c r="H213" s="186"/>
      <c r="I213" s="186"/>
      <c r="J213" s="186"/>
      <c r="K213" s="186"/>
      <c r="L213" s="186"/>
      <c r="M213" s="186"/>
      <c r="N213" s="186"/>
      <c r="O213" s="186"/>
      <c r="P213" s="186"/>
      <c r="Q213" s="186"/>
    </row>
    <row r="214" spans="2:17" x14ac:dyDescent="0.35">
      <c r="B214" s="186"/>
      <c r="C214" s="186"/>
      <c r="D214" s="186"/>
      <c r="E214" s="186"/>
      <c r="F214" s="186"/>
      <c r="G214" s="186"/>
      <c r="H214" s="186"/>
      <c r="I214" s="186"/>
      <c r="J214" s="186"/>
      <c r="K214" s="186"/>
      <c r="L214" s="186"/>
      <c r="M214" s="186"/>
      <c r="N214" s="186"/>
      <c r="O214" s="186"/>
      <c r="P214" s="186"/>
      <c r="Q214" s="186"/>
    </row>
    <row r="215" spans="2:17" x14ac:dyDescent="0.35">
      <c r="B215" s="186"/>
      <c r="C215" s="186"/>
      <c r="D215" s="186"/>
      <c r="E215" s="186"/>
      <c r="F215" s="186"/>
      <c r="G215" s="186"/>
      <c r="H215" s="186"/>
      <c r="I215" s="186"/>
      <c r="J215" s="186"/>
      <c r="K215" s="186"/>
      <c r="L215" s="186"/>
      <c r="M215" s="186"/>
      <c r="N215" s="186"/>
      <c r="O215" s="186"/>
      <c r="P215" s="186"/>
      <c r="Q215" s="186"/>
    </row>
    <row r="216" spans="2:17" x14ac:dyDescent="0.35">
      <c r="B216" s="186"/>
      <c r="C216" s="186"/>
      <c r="D216" s="186"/>
      <c r="E216" s="186"/>
      <c r="F216" s="186"/>
      <c r="G216" s="186"/>
      <c r="H216" s="186"/>
      <c r="I216" s="186"/>
      <c r="J216" s="186"/>
      <c r="K216" s="186"/>
      <c r="L216" s="186"/>
      <c r="M216" s="186"/>
      <c r="N216" s="186"/>
      <c r="O216" s="186"/>
      <c r="P216" s="186"/>
      <c r="Q216" s="186"/>
    </row>
    <row r="217" spans="2:17" x14ac:dyDescent="0.35">
      <c r="B217" s="186"/>
      <c r="C217" s="186"/>
      <c r="D217" s="186"/>
      <c r="E217" s="186"/>
      <c r="F217" s="186"/>
      <c r="G217" s="186"/>
      <c r="H217" s="186"/>
      <c r="I217" s="186"/>
      <c r="J217" s="186"/>
      <c r="K217" s="186"/>
      <c r="L217" s="186"/>
      <c r="M217" s="186"/>
      <c r="N217" s="186"/>
      <c r="O217" s="186"/>
      <c r="P217" s="186"/>
      <c r="Q217" s="186"/>
    </row>
    <row r="218" spans="2:17" x14ac:dyDescent="0.35">
      <c r="B218" s="186"/>
      <c r="C218" s="186"/>
      <c r="D218" s="186"/>
      <c r="E218" s="186"/>
      <c r="F218" s="186"/>
      <c r="G218" s="186"/>
      <c r="H218" s="186"/>
      <c r="I218" s="186"/>
      <c r="J218" s="186"/>
      <c r="K218" s="186"/>
      <c r="L218" s="186"/>
      <c r="M218" s="186"/>
      <c r="N218" s="186"/>
      <c r="O218" s="186"/>
      <c r="P218" s="186"/>
      <c r="Q218" s="186"/>
    </row>
    <row r="219" spans="2:17" x14ac:dyDescent="0.35">
      <c r="B219" s="186"/>
      <c r="C219" s="186"/>
      <c r="D219" s="186"/>
      <c r="E219" s="186"/>
      <c r="F219" s="186"/>
      <c r="G219" s="186"/>
      <c r="H219" s="186"/>
      <c r="I219" s="186"/>
      <c r="J219" s="186"/>
      <c r="K219" s="186"/>
      <c r="L219" s="186"/>
      <c r="M219" s="186"/>
      <c r="N219" s="186"/>
      <c r="O219" s="186"/>
      <c r="P219" s="186"/>
      <c r="Q219" s="186"/>
    </row>
    <row r="220" spans="2:17" x14ac:dyDescent="0.35">
      <c r="B220" s="186"/>
      <c r="C220" s="186"/>
      <c r="D220" s="186"/>
      <c r="E220" s="186"/>
      <c r="F220" s="186"/>
      <c r="G220" s="186"/>
      <c r="H220" s="186"/>
      <c r="I220" s="186"/>
      <c r="J220" s="186"/>
      <c r="K220" s="186"/>
      <c r="L220" s="186"/>
      <c r="M220" s="186"/>
      <c r="N220" s="186"/>
      <c r="O220" s="186"/>
      <c r="P220" s="186"/>
      <c r="Q220" s="186"/>
    </row>
    <row r="221" spans="2:17" x14ac:dyDescent="0.35">
      <c r="B221" s="186"/>
      <c r="C221" s="186"/>
      <c r="D221" s="186"/>
      <c r="E221" s="186"/>
      <c r="F221" s="186"/>
      <c r="G221" s="186"/>
      <c r="H221" s="186"/>
      <c r="I221" s="186"/>
      <c r="J221" s="186"/>
      <c r="K221" s="186"/>
      <c r="L221" s="186"/>
      <c r="M221" s="186"/>
      <c r="N221" s="186"/>
      <c r="O221" s="186"/>
      <c r="P221" s="186"/>
      <c r="Q221" s="186"/>
    </row>
    <row r="222" spans="2:17" x14ac:dyDescent="0.35">
      <c r="B222" s="186"/>
      <c r="C222" s="186"/>
      <c r="D222" s="186"/>
      <c r="E222" s="186"/>
      <c r="F222" s="186"/>
      <c r="G222" s="186"/>
      <c r="H222" s="186"/>
      <c r="I222" s="186"/>
      <c r="J222" s="186"/>
      <c r="K222" s="186"/>
      <c r="L222" s="186"/>
      <c r="M222" s="186"/>
      <c r="N222" s="186"/>
      <c r="O222" s="186"/>
      <c r="P222" s="186"/>
      <c r="Q222" s="186"/>
    </row>
    <row r="223" spans="2:17" x14ac:dyDescent="0.35">
      <c r="B223" s="186"/>
      <c r="C223" s="186"/>
      <c r="D223" s="186"/>
      <c r="E223" s="186"/>
      <c r="F223" s="186"/>
      <c r="G223" s="186"/>
      <c r="H223" s="186"/>
      <c r="I223" s="186"/>
      <c r="J223" s="186"/>
      <c r="K223" s="186"/>
      <c r="L223" s="186"/>
      <c r="M223" s="186"/>
      <c r="N223" s="186"/>
      <c r="O223" s="186"/>
      <c r="P223" s="186"/>
      <c r="Q223" s="186"/>
    </row>
    <row r="224" spans="2:17" x14ac:dyDescent="0.35">
      <c r="B224" s="186"/>
      <c r="C224" s="186"/>
      <c r="D224" s="186"/>
      <c r="E224" s="186"/>
      <c r="F224" s="186"/>
      <c r="G224" s="186"/>
      <c r="H224" s="186"/>
      <c r="I224" s="186"/>
      <c r="J224" s="186"/>
      <c r="K224" s="186"/>
      <c r="L224" s="186"/>
      <c r="M224" s="186"/>
      <c r="N224" s="186"/>
      <c r="O224" s="186"/>
      <c r="P224" s="186"/>
      <c r="Q224" s="186"/>
    </row>
    <row r="225" spans="2:17" x14ac:dyDescent="0.35">
      <c r="B225" s="186"/>
      <c r="C225" s="186"/>
      <c r="D225" s="186"/>
      <c r="E225" s="186"/>
      <c r="F225" s="186"/>
      <c r="G225" s="186"/>
      <c r="H225" s="186"/>
      <c r="I225" s="186"/>
      <c r="J225" s="186"/>
      <c r="K225" s="186"/>
      <c r="L225" s="186"/>
      <c r="M225" s="186"/>
      <c r="N225" s="186"/>
      <c r="O225" s="186"/>
      <c r="P225" s="186"/>
      <c r="Q225" s="186"/>
    </row>
    <row r="226" spans="2:17" x14ac:dyDescent="0.35">
      <c r="B226" s="186"/>
      <c r="C226" s="186"/>
      <c r="D226" s="186"/>
      <c r="E226" s="186"/>
      <c r="F226" s="186"/>
      <c r="G226" s="186"/>
      <c r="H226" s="186"/>
      <c r="I226" s="186"/>
      <c r="J226" s="186"/>
      <c r="K226" s="186"/>
      <c r="L226" s="186"/>
      <c r="M226" s="186"/>
      <c r="N226" s="186"/>
      <c r="O226" s="186"/>
      <c r="P226" s="186"/>
      <c r="Q226" s="186"/>
    </row>
    <row r="227" spans="2:17" x14ac:dyDescent="0.35">
      <c r="B227" s="186"/>
      <c r="C227" s="186"/>
      <c r="D227" s="186"/>
      <c r="E227" s="186"/>
      <c r="F227" s="186"/>
      <c r="G227" s="186"/>
      <c r="H227" s="186"/>
      <c r="I227" s="186"/>
      <c r="J227" s="186"/>
      <c r="K227" s="186"/>
      <c r="L227" s="186"/>
      <c r="M227" s="186"/>
      <c r="N227" s="186"/>
      <c r="O227" s="186"/>
      <c r="P227" s="186"/>
      <c r="Q227" s="186"/>
    </row>
    <row r="228" spans="2:17" x14ac:dyDescent="0.35">
      <c r="B228" s="186"/>
      <c r="C228" s="186"/>
      <c r="D228" s="186"/>
      <c r="E228" s="186"/>
      <c r="F228" s="186"/>
      <c r="G228" s="186"/>
      <c r="H228" s="186"/>
      <c r="I228" s="186"/>
      <c r="J228" s="186"/>
      <c r="K228" s="186"/>
      <c r="L228" s="186"/>
      <c r="M228" s="186"/>
      <c r="N228" s="186"/>
      <c r="O228" s="186"/>
      <c r="P228" s="186"/>
      <c r="Q228" s="186"/>
    </row>
    <row r="229" spans="2:17" x14ac:dyDescent="0.35">
      <c r="B229" s="186"/>
      <c r="C229" s="186"/>
      <c r="D229" s="186"/>
      <c r="E229" s="186"/>
      <c r="F229" s="186"/>
      <c r="G229" s="186"/>
      <c r="H229" s="186"/>
      <c r="I229" s="186"/>
      <c r="J229" s="186"/>
      <c r="K229" s="186"/>
      <c r="L229" s="186"/>
      <c r="M229" s="186"/>
      <c r="N229" s="186"/>
      <c r="O229" s="186"/>
      <c r="P229" s="186"/>
      <c r="Q229" s="186"/>
    </row>
    <row r="230" spans="2:17" x14ac:dyDescent="0.35">
      <c r="B230" s="186"/>
      <c r="C230" s="186"/>
      <c r="D230" s="186"/>
      <c r="E230" s="186"/>
      <c r="F230" s="186"/>
      <c r="G230" s="186"/>
      <c r="H230" s="186"/>
      <c r="I230" s="186"/>
      <c r="J230" s="186"/>
      <c r="K230" s="186"/>
      <c r="L230" s="186"/>
      <c r="M230" s="186"/>
      <c r="N230" s="186"/>
      <c r="O230" s="186"/>
      <c r="P230" s="186"/>
      <c r="Q230" s="186"/>
    </row>
    <row r="231" spans="2:17" x14ac:dyDescent="0.35">
      <c r="B231" s="186"/>
      <c r="C231" s="186"/>
      <c r="D231" s="186"/>
      <c r="E231" s="186"/>
      <c r="F231" s="186"/>
      <c r="G231" s="186"/>
      <c r="H231" s="186"/>
      <c r="I231" s="186"/>
      <c r="J231" s="186"/>
      <c r="K231" s="186"/>
      <c r="L231" s="186"/>
      <c r="M231" s="186"/>
      <c r="N231" s="186"/>
      <c r="O231" s="186"/>
      <c r="P231" s="186"/>
      <c r="Q231" s="186"/>
    </row>
    <row r="232" spans="2:17" x14ac:dyDescent="0.35">
      <c r="B232" s="186"/>
      <c r="C232" s="186"/>
      <c r="D232" s="186"/>
      <c r="E232" s="186"/>
      <c r="F232" s="186"/>
      <c r="G232" s="186"/>
      <c r="H232" s="186"/>
      <c r="I232" s="186"/>
      <c r="J232" s="186"/>
      <c r="K232" s="186"/>
      <c r="L232" s="186"/>
      <c r="M232" s="186"/>
      <c r="N232" s="186"/>
      <c r="O232" s="186"/>
      <c r="P232" s="186"/>
      <c r="Q232" s="186"/>
    </row>
    <row r="233" spans="2:17" x14ac:dyDescent="0.35">
      <c r="B233" s="186"/>
      <c r="C233" s="186"/>
      <c r="D233" s="186"/>
      <c r="E233" s="186"/>
      <c r="F233" s="186"/>
      <c r="G233" s="186"/>
      <c r="H233" s="186"/>
      <c r="I233" s="186"/>
      <c r="J233" s="186"/>
      <c r="K233" s="186"/>
      <c r="L233" s="186"/>
      <c r="M233" s="186"/>
      <c r="N233" s="186"/>
      <c r="O233" s="186"/>
      <c r="P233" s="186"/>
      <c r="Q233" s="186"/>
    </row>
    <row r="234" spans="2:17" x14ac:dyDescent="0.35">
      <c r="B234" s="186"/>
      <c r="C234" s="186"/>
      <c r="D234" s="186"/>
      <c r="E234" s="186"/>
      <c r="F234" s="186"/>
      <c r="G234" s="186"/>
      <c r="H234" s="186"/>
      <c r="I234" s="186"/>
      <c r="J234" s="186"/>
      <c r="K234" s="186"/>
      <c r="L234" s="186"/>
      <c r="M234" s="186"/>
      <c r="N234" s="186"/>
      <c r="O234" s="186"/>
      <c r="P234" s="186"/>
      <c r="Q234" s="186"/>
    </row>
    <row r="235" spans="2:17" x14ac:dyDescent="0.35">
      <c r="B235" s="186"/>
      <c r="C235" s="186"/>
      <c r="D235" s="186"/>
      <c r="E235" s="186"/>
      <c r="F235" s="186"/>
      <c r="G235" s="186"/>
      <c r="H235" s="186"/>
      <c r="I235" s="186"/>
      <c r="J235" s="186"/>
      <c r="K235" s="186"/>
      <c r="L235" s="186"/>
      <c r="M235" s="186"/>
      <c r="N235" s="186"/>
      <c r="O235" s="186"/>
      <c r="P235" s="186"/>
      <c r="Q235" s="186"/>
    </row>
    <row r="236" spans="2:17" x14ac:dyDescent="0.35">
      <c r="B236" s="186"/>
      <c r="C236" s="186"/>
      <c r="D236" s="186"/>
      <c r="E236" s="186"/>
      <c r="F236" s="186"/>
      <c r="G236" s="186"/>
      <c r="H236" s="186"/>
      <c r="I236" s="186"/>
      <c r="J236" s="186"/>
      <c r="K236" s="186"/>
      <c r="L236" s="186"/>
      <c r="M236" s="186"/>
      <c r="N236" s="186"/>
      <c r="O236" s="186"/>
      <c r="P236" s="186"/>
      <c r="Q236" s="186"/>
    </row>
    <row r="237" spans="2:17" x14ac:dyDescent="0.35">
      <c r="B237" s="186"/>
      <c r="C237" s="186"/>
      <c r="D237" s="186"/>
      <c r="E237" s="186"/>
      <c r="F237" s="186"/>
      <c r="G237" s="186"/>
      <c r="H237" s="186"/>
      <c r="I237" s="186"/>
      <c r="J237" s="186"/>
      <c r="K237" s="186"/>
      <c r="L237" s="186"/>
      <c r="M237" s="186"/>
      <c r="N237" s="186"/>
      <c r="O237" s="186"/>
      <c r="P237" s="186"/>
      <c r="Q237" s="186"/>
    </row>
    <row r="238" spans="2:17" x14ac:dyDescent="0.35">
      <c r="B238" s="186"/>
      <c r="C238" s="186"/>
      <c r="D238" s="186"/>
      <c r="E238" s="186"/>
      <c r="F238" s="186"/>
      <c r="G238" s="186"/>
      <c r="H238" s="186"/>
      <c r="I238" s="186"/>
      <c r="J238" s="186"/>
      <c r="K238" s="186"/>
      <c r="L238" s="186"/>
      <c r="M238" s="186"/>
      <c r="N238" s="186"/>
      <c r="O238" s="186"/>
      <c r="P238" s="186"/>
      <c r="Q238" s="186"/>
    </row>
    <row r="239" spans="2:17" x14ac:dyDescent="0.35">
      <c r="B239" s="186"/>
      <c r="C239" s="186"/>
      <c r="D239" s="186"/>
      <c r="E239" s="186"/>
      <c r="F239" s="186"/>
      <c r="G239" s="186"/>
      <c r="H239" s="186"/>
      <c r="I239" s="186"/>
      <c r="J239" s="186"/>
      <c r="K239" s="186"/>
      <c r="L239" s="186"/>
      <c r="M239" s="186"/>
      <c r="N239" s="186"/>
      <c r="O239" s="186"/>
      <c r="P239" s="186"/>
      <c r="Q239" s="186"/>
    </row>
    <row r="240" spans="2:17" x14ac:dyDescent="0.35">
      <c r="B240" s="186"/>
      <c r="C240" s="186"/>
      <c r="D240" s="186"/>
      <c r="E240" s="186"/>
      <c r="F240" s="186"/>
      <c r="G240" s="186"/>
      <c r="H240" s="186"/>
      <c r="I240" s="186"/>
      <c r="J240" s="186"/>
      <c r="K240" s="186"/>
      <c r="L240" s="186"/>
      <c r="M240" s="186"/>
      <c r="N240" s="186"/>
      <c r="O240" s="186"/>
      <c r="P240" s="186"/>
      <c r="Q240" s="186"/>
    </row>
    <row r="241" spans="2:17" x14ac:dyDescent="0.35">
      <c r="B241" s="186"/>
      <c r="C241" s="186"/>
      <c r="D241" s="186"/>
      <c r="E241" s="186"/>
      <c r="F241" s="186"/>
      <c r="G241" s="186"/>
      <c r="H241" s="186"/>
      <c r="I241" s="186"/>
      <c r="J241" s="186"/>
      <c r="K241" s="186"/>
      <c r="L241" s="186"/>
      <c r="M241" s="186"/>
      <c r="N241" s="186"/>
      <c r="O241" s="186"/>
      <c r="P241" s="186"/>
      <c r="Q241" s="186"/>
    </row>
    <row r="242" spans="2:17" x14ac:dyDescent="0.35">
      <c r="B242" s="186"/>
      <c r="C242" s="186"/>
      <c r="D242" s="186"/>
      <c r="E242" s="186"/>
      <c r="F242" s="186"/>
      <c r="G242" s="186"/>
      <c r="H242" s="186"/>
      <c r="I242" s="186"/>
      <c r="J242" s="186"/>
      <c r="K242" s="186"/>
      <c r="L242" s="186"/>
      <c r="M242" s="186"/>
      <c r="N242" s="186"/>
      <c r="O242" s="186"/>
      <c r="P242" s="186"/>
      <c r="Q242" s="186"/>
    </row>
    <row r="243" spans="2:17" x14ac:dyDescent="0.35">
      <c r="B243" s="186"/>
      <c r="C243" s="186"/>
      <c r="D243" s="186"/>
      <c r="E243" s="186"/>
      <c r="F243" s="186"/>
      <c r="G243" s="186"/>
      <c r="H243" s="186"/>
      <c r="I243" s="186"/>
      <c r="J243" s="186"/>
      <c r="K243" s="186"/>
      <c r="L243" s="186"/>
      <c r="M243" s="186"/>
      <c r="N243" s="186"/>
      <c r="O243" s="186"/>
      <c r="P243" s="186"/>
      <c r="Q243" s="186"/>
    </row>
    <row r="244" spans="2:17" x14ac:dyDescent="0.35">
      <c r="B244" s="186"/>
      <c r="C244" s="186"/>
      <c r="D244" s="186"/>
      <c r="E244" s="186"/>
      <c r="F244" s="186"/>
      <c r="G244" s="186"/>
      <c r="H244" s="186"/>
      <c r="I244" s="186"/>
      <c r="J244" s="186"/>
      <c r="K244" s="186"/>
      <c r="L244" s="186"/>
      <c r="M244" s="186"/>
      <c r="N244" s="186"/>
      <c r="O244" s="186"/>
      <c r="P244" s="186"/>
      <c r="Q244" s="186"/>
    </row>
    <row r="245" spans="2:17" x14ac:dyDescent="0.35">
      <c r="B245" s="186"/>
      <c r="C245" s="186"/>
      <c r="D245" s="186"/>
      <c r="E245" s="186"/>
      <c r="F245" s="186"/>
      <c r="G245" s="186"/>
      <c r="H245" s="186"/>
      <c r="I245" s="186"/>
      <c r="J245" s="186"/>
      <c r="K245" s="186"/>
      <c r="L245" s="186"/>
      <c r="M245" s="186"/>
      <c r="N245" s="186"/>
      <c r="O245" s="186"/>
      <c r="P245" s="186"/>
      <c r="Q245" s="186"/>
    </row>
    <row r="246" spans="2:17" x14ac:dyDescent="0.35">
      <c r="B246" s="186"/>
      <c r="C246" s="186"/>
      <c r="D246" s="186"/>
      <c r="E246" s="186"/>
      <c r="F246" s="186"/>
      <c r="G246" s="186"/>
      <c r="H246" s="186"/>
      <c r="I246" s="186"/>
      <c r="J246" s="186"/>
      <c r="K246" s="186"/>
      <c r="L246" s="186"/>
      <c r="M246" s="186"/>
      <c r="N246" s="186"/>
      <c r="O246" s="186"/>
      <c r="P246" s="186"/>
      <c r="Q246" s="186"/>
    </row>
    <row r="247" spans="2:17" x14ac:dyDescent="0.35">
      <c r="B247" s="186"/>
      <c r="C247" s="186"/>
      <c r="D247" s="186"/>
      <c r="E247" s="186"/>
      <c r="F247" s="186"/>
      <c r="G247" s="186"/>
      <c r="H247" s="186"/>
      <c r="I247" s="186"/>
      <c r="J247" s="186"/>
      <c r="K247" s="186"/>
      <c r="L247" s="186"/>
      <c r="M247" s="186"/>
      <c r="N247" s="186"/>
      <c r="O247" s="186"/>
      <c r="P247" s="186"/>
      <c r="Q247" s="186"/>
    </row>
    <row r="248" spans="2:17" x14ac:dyDescent="0.35">
      <c r="B248" s="186"/>
      <c r="C248" s="186"/>
      <c r="D248" s="186"/>
      <c r="E248" s="186"/>
      <c r="F248" s="186"/>
      <c r="G248" s="186"/>
      <c r="H248" s="186"/>
      <c r="I248" s="186"/>
      <c r="J248" s="186"/>
      <c r="K248" s="186"/>
      <c r="L248" s="186"/>
      <c r="M248" s="186"/>
      <c r="N248" s="186"/>
      <c r="O248" s="186"/>
      <c r="P248" s="186"/>
      <c r="Q248" s="186"/>
    </row>
    <row r="249" spans="2:17" x14ac:dyDescent="0.35">
      <c r="B249" s="186"/>
      <c r="C249" s="186"/>
      <c r="D249" s="186"/>
      <c r="E249" s="186"/>
      <c r="F249" s="186"/>
      <c r="G249" s="186"/>
      <c r="H249" s="186"/>
      <c r="I249" s="186"/>
      <c r="J249" s="186"/>
      <c r="K249" s="186"/>
      <c r="L249" s="186"/>
      <c r="M249" s="186"/>
      <c r="N249" s="186"/>
      <c r="O249" s="186"/>
      <c r="P249" s="186"/>
      <c r="Q249" s="186"/>
    </row>
    <row r="250" spans="2:17" x14ac:dyDescent="0.35">
      <c r="B250" s="186"/>
      <c r="C250" s="186"/>
      <c r="D250" s="186"/>
      <c r="E250" s="186"/>
      <c r="F250" s="186"/>
      <c r="G250" s="186"/>
      <c r="H250" s="186"/>
      <c r="I250" s="186"/>
      <c r="J250" s="186"/>
      <c r="K250" s="186"/>
      <c r="L250" s="186"/>
      <c r="M250" s="186"/>
      <c r="N250" s="186"/>
      <c r="O250" s="186"/>
      <c r="P250" s="186"/>
      <c r="Q250" s="186"/>
    </row>
    <row r="251" spans="2:17" x14ac:dyDescent="0.35">
      <c r="B251" s="186"/>
      <c r="C251" s="186"/>
      <c r="D251" s="186"/>
      <c r="E251" s="186"/>
      <c r="F251" s="186"/>
      <c r="G251" s="186"/>
      <c r="H251" s="186"/>
      <c r="I251" s="186"/>
      <c r="J251" s="186"/>
      <c r="K251" s="186"/>
      <c r="L251" s="186"/>
      <c r="M251" s="186"/>
      <c r="N251" s="186"/>
      <c r="O251" s="186"/>
      <c r="P251" s="186"/>
      <c r="Q251" s="186"/>
    </row>
    <row r="252" spans="2:17" x14ac:dyDescent="0.35">
      <c r="B252" s="186"/>
      <c r="C252" s="186"/>
      <c r="D252" s="186"/>
      <c r="E252" s="186"/>
      <c r="F252" s="186"/>
      <c r="G252" s="186"/>
      <c r="H252" s="186"/>
      <c r="I252" s="186"/>
      <c r="J252" s="186"/>
      <c r="K252" s="186"/>
      <c r="L252" s="186"/>
      <c r="M252" s="186"/>
      <c r="N252" s="186"/>
      <c r="O252" s="186"/>
      <c r="P252" s="186"/>
      <c r="Q252" s="186"/>
    </row>
    <row r="253" spans="2:17" x14ac:dyDescent="0.35">
      <c r="B253" s="186"/>
      <c r="C253" s="186"/>
      <c r="D253" s="186"/>
      <c r="E253" s="186"/>
      <c r="F253" s="186"/>
      <c r="G253" s="186"/>
      <c r="H253" s="186"/>
      <c r="I253" s="186"/>
      <c r="J253" s="186"/>
      <c r="K253" s="186"/>
      <c r="L253" s="186"/>
      <c r="M253" s="186"/>
      <c r="N253" s="186"/>
      <c r="O253" s="186"/>
      <c r="P253" s="186"/>
      <c r="Q253" s="186"/>
    </row>
    <row r="254" spans="2:17" x14ac:dyDescent="0.35">
      <c r="B254" s="186"/>
      <c r="C254" s="186"/>
      <c r="D254" s="186"/>
      <c r="E254" s="186"/>
      <c r="F254" s="186"/>
      <c r="G254" s="186"/>
      <c r="H254" s="186"/>
      <c r="I254" s="186"/>
      <c r="J254" s="186"/>
      <c r="K254" s="186"/>
      <c r="L254" s="186"/>
      <c r="M254" s="186"/>
      <c r="N254" s="186"/>
      <c r="O254" s="186"/>
      <c r="P254" s="186"/>
      <c r="Q254" s="186"/>
    </row>
    <row r="255" spans="2:17" x14ac:dyDescent="0.35">
      <c r="B255" s="186"/>
      <c r="C255" s="186"/>
      <c r="D255" s="186"/>
      <c r="E255" s="186"/>
      <c r="F255" s="186"/>
      <c r="G255" s="186"/>
      <c r="H255" s="186"/>
      <c r="I255" s="186"/>
      <c r="J255" s="186"/>
      <c r="K255" s="186"/>
      <c r="L255" s="186"/>
      <c r="M255" s="186"/>
      <c r="N255" s="186"/>
      <c r="O255" s="186"/>
      <c r="P255" s="186"/>
      <c r="Q255" s="186"/>
    </row>
    <row r="256" spans="2:17" x14ac:dyDescent="0.35">
      <c r="B256" s="186"/>
      <c r="C256" s="186"/>
      <c r="D256" s="186"/>
      <c r="E256" s="186"/>
      <c r="F256" s="186"/>
      <c r="G256" s="186"/>
      <c r="H256" s="186"/>
      <c r="I256" s="186"/>
      <c r="J256" s="186"/>
      <c r="K256" s="186"/>
      <c r="L256" s="186"/>
      <c r="M256" s="186"/>
      <c r="N256" s="186"/>
      <c r="O256" s="186"/>
      <c r="P256" s="186"/>
      <c r="Q256" s="186"/>
    </row>
    <row r="257" spans="2:17" x14ac:dyDescent="0.35">
      <c r="B257" s="186"/>
      <c r="C257" s="186"/>
      <c r="D257" s="186"/>
      <c r="E257" s="186"/>
      <c r="F257" s="186"/>
      <c r="G257" s="186"/>
      <c r="H257" s="186"/>
      <c r="I257" s="186"/>
      <c r="J257" s="186"/>
      <c r="K257" s="186"/>
      <c r="L257" s="186"/>
      <c r="M257" s="186"/>
      <c r="N257" s="186"/>
      <c r="O257" s="186"/>
      <c r="P257" s="186"/>
      <c r="Q257" s="186"/>
    </row>
    <row r="258" spans="2:17" x14ac:dyDescent="0.35">
      <c r="B258" s="186"/>
      <c r="C258" s="186"/>
      <c r="D258" s="186"/>
      <c r="E258" s="186"/>
      <c r="F258" s="186"/>
      <c r="G258" s="186"/>
      <c r="H258" s="186"/>
      <c r="I258" s="186"/>
      <c r="J258" s="186"/>
      <c r="K258" s="186"/>
      <c r="L258" s="186"/>
      <c r="M258" s="186"/>
      <c r="N258" s="186"/>
      <c r="O258" s="186"/>
      <c r="P258" s="186"/>
      <c r="Q258" s="186"/>
    </row>
    <row r="259" spans="2:17" x14ac:dyDescent="0.35">
      <c r="B259" s="186"/>
      <c r="C259" s="186"/>
      <c r="D259" s="186"/>
      <c r="E259" s="186"/>
      <c r="F259" s="186"/>
      <c r="G259" s="186"/>
      <c r="H259" s="186"/>
      <c r="I259" s="186"/>
      <c r="J259" s="186"/>
      <c r="K259" s="186"/>
      <c r="L259" s="186"/>
      <c r="M259" s="186"/>
      <c r="N259" s="186"/>
      <c r="O259" s="186"/>
      <c r="P259" s="186"/>
      <c r="Q259" s="186"/>
    </row>
    <row r="260" spans="2:17" x14ac:dyDescent="0.35">
      <c r="B260" s="186"/>
      <c r="C260" s="186"/>
      <c r="D260" s="186"/>
      <c r="E260" s="186"/>
      <c r="F260" s="186"/>
      <c r="G260" s="186"/>
      <c r="H260" s="186"/>
      <c r="I260" s="186"/>
      <c r="J260" s="186"/>
      <c r="K260" s="186"/>
      <c r="L260" s="186"/>
      <c r="M260" s="186"/>
      <c r="N260" s="186"/>
      <c r="O260" s="186"/>
      <c r="P260" s="186"/>
      <c r="Q260" s="186"/>
    </row>
    <row r="261" spans="2:17" x14ac:dyDescent="0.35">
      <c r="B261" s="186"/>
      <c r="C261" s="186"/>
      <c r="D261" s="186"/>
      <c r="E261" s="186"/>
      <c r="F261" s="186"/>
      <c r="G261" s="186"/>
      <c r="H261" s="186"/>
      <c r="I261" s="186"/>
      <c r="J261" s="186"/>
      <c r="K261" s="186"/>
      <c r="L261" s="186"/>
      <c r="M261" s="186"/>
      <c r="N261" s="186"/>
      <c r="O261" s="186"/>
      <c r="P261" s="186"/>
      <c r="Q261" s="186"/>
    </row>
    <row r="262" spans="2:17" x14ac:dyDescent="0.35">
      <c r="B262" s="186"/>
      <c r="C262" s="186"/>
      <c r="D262" s="186"/>
      <c r="E262" s="186"/>
      <c r="F262" s="186"/>
      <c r="G262" s="186"/>
      <c r="H262" s="186"/>
      <c r="I262" s="186"/>
      <c r="J262" s="186"/>
      <c r="K262" s="186"/>
      <c r="L262" s="186"/>
      <c r="M262" s="186"/>
      <c r="N262" s="186"/>
      <c r="O262" s="186"/>
      <c r="P262" s="186"/>
      <c r="Q262" s="186"/>
    </row>
    <row r="263" spans="2:17" x14ac:dyDescent="0.35">
      <c r="B263" s="186"/>
      <c r="C263" s="186"/>
      <c r="D263" s="186"/>
      <c r="E263" s="186"/>
      <c r="F263" s="186"/>
      <c r="G263" s="186"/>
      <c r="H263" s="186"/>
      <c r="I263" s="186"/>
      <c r="J263" s="186"/>
      <c r="K263" s="186"/>
      <c r="L263" s="186"/>
      <c r="M263" s="186"/>
      <c r="N263" s="186"/>
      <c r="O263" s="186"/>
      <c r="P263" s="186"/>
      <c r="Q263" s="186"/>
    </row>
    <row r="264" spans="2:17" x14ac:dyDescent="0.35">
      <c r="B264" s="186"/>
      <c r="C264" s="186"/>
      <c r="D264" s="186"/>
      <c r="E264" s="186"/>
      <c r="F264" s="186"/>
      <c r="G264" s="186"/>
      <c r="H264" s="186"/>
      <c r="I264" s="186"/>
      <c r="J264" s="186"/>
      <c r="K264" s="186"/>
      <c r="L264" s="186"/>
      <c r="M264" s="186"/>
      <c r="N264" s="186"/>
      <c r="O264" s="186"/>
      <c r="P264" s="186"/>
      <c r="Q264" s="186"/>
    </row>
    <row r="265" spans="2:17" x14ac:dyDescent="0.35">
      <c r="B265" s="186"/>
      <c r="C265" s="186"/>
      <c r="D265" s="186"/>
      <c r="E265" s="186"/>
      <c r="F265" s="186"/>
      <c r="G265" s="186"/>
      <c r="H265" s="186"/>
      <c r="I265" s="186"/>
      <c r="J265" s="186"/>
      <c r="K265" s="186"/>
      <c r="L265" s="186"/>
      <c r="M265" s="186"/>
      <c r="N265" s="186"/>
      <c r="O265" s="186"/>
      <c r="P265" s="186"/>
      <c r="Q265" s="186"/>
    </row>
    <row r="266" spans="2:17" x14ac:dyDescent="0.35">
      <c r="B266" s="186"/>
      <c r="C266" s="186"/>
      <c r="D266" s="186"/>
      <c r="E266" s="186"/>
      <c r="F266" s="186"/>
      <c r="G266" s="186"/>
      <c r="H266" s="186"/>
      <c r="I266" s="186"/>
      <c r="J266" s="186"/>
      <c r="K266" s="186"/>
      <c r="L266" s="186"/>
      <c r="M266" s="186"/>
      <c r="N266" s="186"/>
      <c r="O266" s="186"/>
      <c r="P266" s="186"/>
      <c r="Q266" s="186"/>
    </row>
    <row r="267" spans="2:17" x14ac:dyDescent="0.35">
      <c r="B267" s="186"/>
      <c r="C267" s="186"/>
      <c r="D267" s="186"/>
      <c r="E267" s="186"/>
      <c r="F267" s="186"/>
      <c r="G267" s="186"/>
      <c r="H267" s="186"/>
      <c r="I267" s="186"/>
      <c r="J267" s="186"/>
      <c r="K267" s="186"/>
      <c r="L267" s="186"/>
      <c r="M267" s="186"/>
      <c r="N267" s="186"/>
      <c r="O267" s="186"/>
      <c r="P267" s="186"/>
      <c r="Q267" s="186"/>
    </row>
    <row r="268" spans="2:17" x14ac:dyDescent="0.35">
      <c r="B268" s="186"/>
      <c r="C268" s="186"/>
      <c r="D268" s="186"/>
      <c r="E268" s="186"/>
      <c r="F268" s="186"/>
      <c r="G268" s="186"/>
      <c r="H268" s="186"/>
      <c r="I268" s="186"/>
      <c r="J268" s="186"/>
      <c r="K268" s="186"/>
      <c r="L268" s="186"/>
      <c r="M268" s="186"/>
      <c r="N268" s="186"/>
      <c r="O268" s="186"/>
      <c r="P268" s="186"/>
      <c r="Q268" s="186"/>
    </row>
    <row r="269" spans="2:17" x14ac:dyDescent="0.35">
      <c r="B269" s="186"/>
      <c r="C269" s="186"/>
      <c r="D269" s="186"/>
      <c r="E269" s="186"/>
      <c r="F269" s="186"/>
      <c r="G269" s="186"/>
      <c r="H269" s="186"/>
      <c r="I269" s="186"/>
      <c r="J269" s="186"/>
      <c r="K269" s="186"/>
      <c r="L269" s="186"/>
      <c r="M269" s="186"/>
      <c r="N269" s="186"/>
      <c r="O269" s="186"/>
      <c r="P269" s="186"/>
      <c r="Q269" s="186"/>
    </row>
    <row r="270" spans="2:17" x14ac:dyDescent="0.35">
      <c r="B270" s="186"/>
      <c r="C270" s="186"/>
      <c r="D270" s="186"/>
      <c r="E270" s="186"/>
      <c r="F270" s="186"/>
      <c r="G270" s="186"/>
      <c r="H270" s="186"/>
      <c r="I270" s="186"/>
      <c r="J270" s="186"/>
      <c r="K270" s="186"/>
      <c r="L270" s="186"/>
      <c r="M270" s="186"/>
      <c r="N270" s="186"/>
      <c r="O270" s="186"/>
      <c r="P270" s="186"/>
      <c r="Q270" s="186"/>
    </row>
    <row r="271" spans="2:17" x14ac:dyDescent="0.35">
      <c r="B271" s="186"/>
      <c r="C271" s="186"/>
      <c r="D271" s="186"/>
      <c r="E271" s="186"/>
      <c r="F271" s="186"/>
      <c r="G271" s="186"/>
      <c r="H271" s="186"/>
      <c r="I271" s="186"/>
      <c r="J271" s="186"/>
      <c r="K271" s="186"/>
      <c r="L271" s="186"/>
      <c r="M271" s="186"/>
      <c r="N271" s="186"/>
      <c r="O271" s="186"/>
      <c r="P271" s="186"/>
      <c r="Q271" s="186"/>
    </row>
    <row r="272" spans="2:17" x14ac:dyDescent="0.35">
      <c r="B272" s="186"/>
      <c r="C272" s="186"/>
      <c r="D272" s="186"/>
      <c r="E272" s="186"/>
      <c r="F272" s="186"/>
      <c r="G272" s="186"/>
      <c r="H272" s="186"/>
      <c r="I272" s="186"/>
      <c r="J272" s="186"/>
      <c r="K272" s="186"/>
      <c r="L272" s="186"/>
      <c r="M272" s="186"/>
      <c r="N272" s="186"/>
      <c r="O272" s="186"/>
      <c r="P272" s="186"/>
      <c r="Q272" s="186"/>
    </row>
    <row r="273" spans="2:17" x14ac:dyDescent="0.35">
      <c r="B273" s="186"/>
      <c r="C273" s="186"/>
      <c r="D273" s="186"/>
      <c r="E273" s="186"/>
      <c r="F273" s="186"/>
      <c r="G273" s="186"/>
      <c r="H273" s="186"/>
      <c r="I273" s="186"/>
      <c r="J273" s="186"/>
      <c r="K273" s="186"/>
      <c r="L273" s="186"/>
      <c r="M273" s="186"/>
      <c r="N273" s="186"/>
      <c r="O273" s="186"/>
      <c r="P273" s="186"/>
      <c r="Q273" s="186"/>
    </row>
    <row r="274" spans="2:17" x14ac:dyDescent="0.35">
      <c r="B274" s="186"/>
      <c r="C274" s="186"/>
      <c r="D274" s="186"/>
      <c r="E274" s="186"/>
      <c r="F274" s="186"/>
      <c r="G274" s="186"/>
      <c r="H274" s="186"/>
      <c r="I274" s="186"/>
      <c r="J274" s="186"/>
      <c r="K274" s="186"/>
      <c r="L274" s="186"/>
      <c r="M274" s="186"/>
      <c r="N274" s="186"/>
      <c r="O274" s="186"/>
      <c r="P274" s="186"/>
      <c r="Q274" s="186"/>
    </row>
    <row r="275" spans="2:17" x14ac:dyDescent="0.35">
      <c r="B275" s="186"/>
      <c r="C275" s="186"/>
      <c r="D275" s="186"/>
      <c r="E275" s="186"/>
      <c r="F275" s="186"/>
      <c r="G275" s="186"/>
      <c r="H275" s="186"/>
      <c r="I275" s="186"/>
      <c r="J275" s="186"/>
      <c r="K275" s="186"/>
      <c r="L275" s="186"/>
      <c r="M275" s="186"/>
      <c r="N275" s="186"/>
      <c r="O275" s="186"/>
      <c r="P275" s="186"/>
      <c r="Q275" s="186"/>
    </row>
    <row r="276" spans="2:17" x14ac:dyDescent="0.35">
      <c r="B276" s="186"/>
      <c r="C276" s="186"/>
      <c r="D276" s="186"/>
      <c r="E276" s="186"/>
      <c r="F276" s="186"/>
      <c r="G276" s="186"/>
      <c r="H276" s="186"/>
      <c r="I276" s="186"/>
      <c r="J276" s="186"/>
      <c r="K276" s="186"/>
      <c r="L276" s="186"/>
      <c r="M276" s="186"/>
      <c r="N276" s="186"/>
      <c r="O276" s="186"/>
      <c r="P276" s="186"/>
      <c r="Q276" s="186"/>
    </row>
    <row r="277" spans="2:17" x14ac:dyDescent="0.35">
      <c r="B277" s="186"/>
      <c r="C277" s="186"/>
      <c r="D277" s="186"/>
      <c r="E277" s="186"/>
      <c r="F277" s="186"/>
      <c r="G277" s="186"/>
      <c r="H277" s="186"/>
      <c r="I277" s="186"/>
      <c r="J277" s="186"/>
      <c r="K277" s="186"/>
      <c r="L277" s="186"/>
      <c r="M277" s="186"/>
      <c r="N277" s="186"/>
      <c r="O277" s="186"/>
      <c r="P277" s="186"/>
      <c r="Q277" s="186"/>
    </row>
    <row r="278" spans="2:17" x14ac:dyDescent="0.35">
      <c r="B278" s="186"/>
      <c r="C278" s="186"/>
      <c r="D278" s="186"/>
      <c r="E278" s="186"/>
      <c r="F278" s="186"/>
      <c r="G278" s="186"/>
      <c r="H278" s="186"/>
      <c r="I278" s="186"/>
      <c r="J278" s="186"/>
      <c r="K278" s="186"/>
      <c r="L278" s="186"/>
      <c r="M278" s="186"/>
      <c r="N278" s="186"/>
      <c r="O278" s="186"/>
      <c r="P278" s="186"/>
      <c r="Q278" s="186"/>
    </row>
    <row r="279" spans="2:17" x14ac:dyDescent="0.35">
      <c r="B279" s="186"/>
      <c r="C279" s="186"/>
      <c r="D279" s="186"/>
      <c r="E279" s="186"/>
      <c r="F279" s="186"/>
      <c r="G279" s="186"/>
      <c r="H279" s="186"/>
      <c r="I279" s="186"/>
      <c r="J279" s="186"/>
      <c r="K279" s="186"/>
      <c r="L279" s="186"/>
      <c r="M279" s="186"/>
      <c r="N279" s="186"/>
      <c r="O279" s="186"/>
      <c r="P279" s="186"/>
      <c r="Q279" s="186"/>
    </row>
    <row r="280" spans="2:17" x14ac:dyDescent="0.35">
      <c r="B280" s="186"/>
      <c r="C280" s="186"/>
      <c r="D280" s="186"/>
      <c r="E280" s="186"/>
      <c r="F280" s="186"/>
      <c r="G280" s="186"/>
      <c r="H280" s="186"/>
      <c r="I280" s="186"/>
      <c r="J280" s="186"/>
      <c r="K280" s="186"/>
      <c r="L280" s="186"/>
      <c r="M280" s="186"/>
      <c r="N280" s="186"/>
      <c r="O280" s="186"/>
      <c r="P280" s="186"/>
      <c r="Q280" s="186"/>
    </row>
    <row r="281" spans="2:17" x14ac:dyDescent="0.35">
      <c r="B281" s="186"/>
      <c r="C281" s="186"/>
      <c r="D281" s="186"/>
      <c r="E281" s="186"/>
      <c r="F281" s="186"/>
      <c r="G281" s="186"/>
      <c r="H281" s="186"/>
      <c r="I281" s="186"/>
      <c r="J281" s="186"/>
      <c r="K281" s="186"/>
      <c r="L281" s="186"/>
      <c r="M281" s="186"/>
      <c r="N281" s="186"/>
      <c r="O281" s="186"/>
      <c r="P281" s="186"/>
      <c r="Q281" s="186"/>
    </row>
    <row r="282" spans="2:17" x14ac:dyDescent="0.35">
      <c r="B282" s="186"/>
      <c r="C282" s="186"/>
      <c r="D282" s="186"/>
      <c r="E282" s="186"/>
      <c r="F282" s="186"/>
      <c r="G282" s="186"/>
      <c r="H282" s="186"/>
      <c r="I282" s="186"/>
      <c r="J282" s="186"/>
      <c r="K282" s="186"/>
      <c r="L282" s="186"/>
      <c r="M282" s="186"/>
      <c r="N282" s="186"/>
      <c r="O282" s="186"/>
      <c r="P282" s="186"/>
      <c r="Q282" s="186"/>
    </row>
    <row r="283" spans="2:17" x14ac:dyDescent="0.35">
      <c r="B283" s="186"/>
      <c r="C283" s="186"/>
      <c r="D283" s="186"/>
      <c r="E283" s="186"/>
      <c r="F283" s="186"/>
      <c r="G283" s="186"/>
      <c r="H283" s="186"/>
      <c r="I283" s="186"/>
      <c r="J283" s="186"/>
      <c r="K283" s="186"/>
      <c r="L283" s="186"/>
      <c r="M283" s="186"/>
      <c r="N283" s="186"/>
      <c r="O283" s="186"/>
      <c r="P283" s="186"/>
      <c r="Q283" s="186"/>
    </row>
    <row r="284" spans="2:17" x14ac:dyDescent="0.35">
      <c r="B284" s="186"/>
      <c r="C284" s="186"/>
      <c r="D284" s="186"/>
      <c r="E284" s="186"/>
      <c r="F284" s="186"/>
      <c r="G284" s="186"/>
      <c r="H284" s="186"/>
      <c r="I284" s="186"/>
      <c r="J284" s="186"/>
      <c r="K284" s="186"/>
      <c r="L284" s="186"/>
      <c r="M284" s="186"/>
      <c r="N284" s="186"/>
      <c r="O284" s="186"/>
      <c r="P284" s="186"/>
      <c r="Q284" s="186"/>
    </row>
    <row r="285" spans="2:17" x14ac:dyDescent="0.35">
      <c r="B285" s="186"/>
      <c r="C285" s="186"/>
      <c r="D285" s="186"/>
      <c r="E285" s="186"/>
      <c r="F285" s="186"/>
      <c r="G285" s="186"/>
      <c r="H285" s="186"/>
      <c r="I285" s="186"/>
      <c r="J285" s="186"/>
      <c r="K285" s="186"/>
      <c r="L285" s="186"/>
      <c r="M285" s="186"/>
      <c r="N285" s="186"/>
      <c r="O285" s="186"/>
      <c r="P285" s="186"/>
      <c r="Q285" s="186"/>
    </row>
    <row r="286" spans="2:17" x14ac:dyDescent="0.35">
      <c r="B286" s="186"/>
      <c r="C286" s="186"/>
      <c r="D286" s="186"/>
      <c r="E286" s="186"/>
      <c r="F286" s="186"/>
      <c r="G286" s="186"/>
      <c r="H286" s="186"/>
      <c r="I286" s="186"/>
      <c r="J286" s="186"/>
      <c r="K286" s="186"/>
      <c r="L286" s="186"/>
      <c r="M286" s="186"/>
      <c r="N286" s="186"/>
      <c r="O286" s="186"/>
      <c r="P286" s="186"/>
      <c r="Q286" s="186"/>
    </row>
    <row r="287" spans="2:17" x14ac:dyDescent="0.35">
      <c r="B287" s="186"/>
      <c r="C287" s="186"/>
      <c r="D287" s="186"/>
      <c r="E287" s="186"/>
      <c r="F287" s="186"/>
      <c r="G287" s="186"/>
      <c r="H287" s="186"/>
      <c r="I287" s="186"/>
      <c r="J287" s="186"/>
      <c r="K287" s="186"/>
      <c r="L287" s="186"/>
      <c r="M287" s="186"/>
      <c r="N287" s="186"/>
      <c r="O287" s="186"/>
      <c r="P287" s="186"/>
      <c r="Q287" s="186"/>
    </row>
    <row r="288" spans="2:17" x14ac:dyDescent="0.35">
      <c r="B288" s="186"/>
      <c r="C288" s="186"/>
      <c r="D288" s="186"/>
      <c r="E288" s="186"/>
      <c r="F288" s="186"/>
      <c r="G288" s="186"/>
      <c r="H288" s="186"/>
      <c r="I288" s="186"/>
      <c r="J288" s="186"/>
      <c r="K288" s="186"/>
      <c r="L288" s="186"/>
      <c r="M288" s="186"/>
      <c r="N288" s="186"/>
      <c r="O288" s="186"/>
      <c r="P288" s="186"/>
      <c r="Q288" s="186"/>
    </row>
    <row r="289" spans="2:17" x14ac:dyDescent="0.35">
      <c r="B289" s="186"/>
      <c r="C289" s="186"/>
      <c r="D289" s="186"/>
      <c r="E289" s="186"/>
      <c r="F289" s="186"/>
      <c r="G289" s="186"/>
      <c r="H289" s="186"/>
      <c r="I289" s="186"/>
      <c r="J289" s="186"/>
      <c r="K289" s="186"/>
      <c r="L289" s="186"/>
      <c r="M289" s="186"/>
      <c r="N289" s="186"/>
      <c r="O289" s="186"/>
      <c r="P289" s="186"/>
      <c r="Q289" s="186"/>
    </row>
    <row r="290" spans="2:17" x14ac:dyDescent="0.35">
      <c r="B290" s="186"/>
      <c r="C290" s="186"/>
      <c r="D290" s="186"/>
      <c r="E290" s="186"/>
      <c r="F290" s="186"/>
      <c r="G290" s="186"/>
      <c r="H290" s="186"/>
      <c r="I290" s="186"/>
      <c r="J290" s="186"/>
      <c r="K290" s="186"/>
      <c r="L290" s="186"/>
      <c r="M290" s="186"/>
      <c r="N290" s="186"/>
      <c r="O290" s="186"/>
      <c r="P290" s="186"/>
      <c r="Q290" s="186"/>
    </row>
    <row r="291" spans="2:17" x14ac:dyDescent="0.35">
      <c r="B291" s="186"/>
      <c r="C291" s="186"/>
      <c r="D291" s="186"/>
      <c r="E291" s="186"/>
      <c r="F291" s="186"/>
      <c r="G291" s="186"/>
      <c r="H291" s="186"/>
      <c r="I291" s="186"/>
      <c r="J291" s="186"/>
      <c r="K291" s="186"/>
      <c r="L291" s="186"/>
      <c r="M291" s="186"/>
      <c r="N291" s="186"/>
      <c r="O291" s="186"/>
      <c r="P291" s="186"/>
      <c r="Q291" s="186"/>
    </row>
    <row r="292" spans="2:17" x14ac:dyDescent="0.35">
      <c r="B292" s="186"/>
      <c r="C292" s="186"/>
      <c r="D292" s="186"/>
      <c r="E292" s="186"/>
      <c r="F292" s="186"/>
      <c r="G292" s="186"/>
      <c r="H292" s="186"/>
      <c r="I292" s="186"/>
      <c r="J292" s="186"/>
      <c r="K292" s="186"/>
      <c r="L292" s="186"/>
      <c r="M292" s="186"/>
      <c r="N292" s="186"/>
      <c r="O292" s="186"/>
      <c r="P292" s="186"/>
      <c r="Q292" s="186"/>
    </row>
    <row r="293" spans="2:17" x14ac:dyDescent="0.35">
      <c r="B293" s="186"/>
      <c r="C293" s="186"/>
      <c r="D293" s="186"/>
      <c r="E293" s="186"/>
      <c r="F293" s="186"/>
      <c r="G293" s="186"/>
      <c r="H293" s="186"/>
      <c r="I293" s="186"/>
      <c r="J293" s="186"/>
      <c r="K293" s="186"/>
      <c r="L293" s="186"/>
      <c r="M293" s="186"/>
      <c r="N293" s="186"/>
      <c r="O293" s="186"/>
      <c r="P293" s="186"/>
      <c r="Q293" s="186"/>
    </row>
    <row r="294" spans="2:17" x14ac:dyDescent="0.35">
      <c r="B294" s="186"/>
      <c r="C294" s="186"/>
      <c r="D294" s="186"/>
      <c r="E294" s="186"/>
      <c r="F294" s="186"/>
      <c r="G294" s="186"/>
      <c r="H294" s="186"/>
      <c r="I294" s="186"/>
      <c r="J294" s="186"/>
      <c r="K294" s="186"/>
      <c r="L294" s="186"/>
      <c r="M294" s="186"/>
      <c r="N294" s="186"/>
      <c r="O294" s="186"/>
      <c r="P294" s="186"/>
      <c r="Q294" s="186"/>
    </row>
    <row r="295" spans="2:17" x14ac:dyDescent="0.35">
      <c r="B295" s="186"/>
      <c r="C295" s="186"/>
      <c r="D295" s="186"/>
      <c r="E295" s="186"/>
      <c r="F295" s="186"/>
      <c r="G295" s="186"/>
      <c r="H295" s="186"/>
      <c r="I295" s="186"/>
      <c r="J295" s="186"/>
      <c r="K295" s="186"/>
      <c r="L295" s="186"/>
      <c r="M295" s="186"/>
      <c r="N295" s="186"/>
      <c r="O295" s="186"/>
      <c r="P295" s="186"/>
      <c r="Q295" s="186"/>
    </row>
    <row r="296" spans="2:17" x14ac:dyDescent="0.35">
      <c r="B296" s="186"/>
      <c r="C296" s="186"/>
      <c r="D296" s="186"/>
      <c r="E296" s="186"/>
      <c r="F296" s="186"/>
      <c r="G296" s="186"/>
      <c r="H296" s="186"/>
      <c r="I296" s="186"/>
      <c r="J296" s="186"/>
      <c r="K296" s="186"/>
      <c r="L296" s="186"/>
      <c r="M296" s="186"/>
      <c r="N296" s="186"/>
      <c r="O296" s="186"/>
      <c r="P296" s="186"/>
      <c r="Q296" s="186"/>
    </row>
    <row r="297" spans="2:17" x14ac:dyDescent="0.35">
      <c r="B297" s="186"/>
      <c r="C297" s="186"/>
      <c r="D297" s="186"/>
      <c r="E297" s="186"/>
      <c r="F297" s="186"/>
      <c r="G297" s="186"/>
      <c r="H297" s="186"/>
      <c r="I297" s="186"/>
      <c r="J297" s="186"/>
      <c r="K297" s="186"/>
      <c r="L297" s="186"/>
      <c r="M297" s="186"/>
      <c r="N297" s="186"/>
      <c r="O297" s="186"/>
      <c r="P297" s="186"/>
      <c r="Q297" s="186"/>
    </row>
    <row r="298" spans="2:17" x14ac:dyDescent="0.35">
      <c r="B298" s="186"/>
      <c r="C298" s="186"/>
      <c r="D298" s="186"/>
      <c r="E298" s="186"/>
      <c r="F298" s="186"/>
      <c r="G298" s="186"/>
      <c r="H298" s="186"/>
      <c r="I298" s="186"/>
      <c r="J298" s="186"/>
      <c r="K298" s="186"/>
      <c r="L298" s="186"/>
      <c r="M298" s="186"/>
      <c r="N298" s="186"/>
      <c r="O298" s="186"/>
      <c r="P298" s="186"/>
      <c r="Q298" s="186"/>
    </row>
    <row r="299" spans="2:17" x14ac:dyDescent="0.35">
      <c r="B299" s="186"/>
      <c r="C299" s="186"/>
      <c r="D299" s="186"/>
      <c r="E299" s="186"/>
      <c r="F299" s="186"/>
      <c r="G299" s="186"/>
      <c r="H299" s="186"/>
      <c r="I299" s="186"/>
      <c r="J299" s="186"/>
      <c r="K299" s="186"/>
      <c r="L299" s="186"/>
      <c r="M299" s="186"/>
      <c r="N299" s="186"/>
      <c r="O299" s="186"/>
      <c r="P299" s="186"/>
      <c r="Q299" s="186"/>
    </row>
    <row r="300" spans="2:17" x14ac:dyDescent="0.35">
      <c r="B300" s="186"/>
      <c r="C300" s="186"/>
      <c r="D300" s="186"/>
      <c r="E300" s="186"/>
      <c r="F300" s="186"/>
      <c r="G300" s="186"/>
      <c r="H300" s="186"/>
      <c r="I300" s="186"/>
      <c r="J300" s="186"/>
      <c r="K300" s="186"/>
      <c r="L300" s="186"/>
      <c r="M300" s="186"/>
      <c r="N300" s="186"/>
      <c r="O300" s="186"/>
      <c r="P300" s="186"/>
      <c r="Q300" s="186"/>
    </row>
    <row r="301" spans="2:17" x14ac:dyDescent="0.35">
      <c r="B301" s="186"/>
      <c r="C301" s="186"/>
      <c r="D301" s="186"/>
      <c r="E301" s="186"/>
      <c r="F301" s="186"/>
      <c r="G301" s="186"/>
      <c r="H301" s="186"/>
      <c r="I301" s="186"/>
      <c r="J301" s="186"/>
      <c r="K301" s="186"/>
      <c r="L301" s="186"/>
      <c r="M301" s="186"/>
      <c r="N301" s="186"/>
      <c r="O301" s="186"/>
      <c r="P301" s="186"/>
      <c r="Q301" s="186"/>
    </row>
    <row r="302" spans="2:17" x14ac:dyDescent="0.35">
      <c r="B302" s="186"/>
      <c r="C302" s="186"/>
      <c r="D302" s="186"/>
      <c r="E302" s="186"/>
      <c r="F302" s="186"/>
      <c r="G302" s="186"/>
      <c r="H302" s="186"/>
      <c r="I302" s="186"/>
      <c r="J302" s="186"/>
      <c r="K302" s="186"/>
      <c r="L302" s="186"/>
      <c r="M302" s="186"/>
      <c r="N302" s="186"/>
      <c r="O302" s="186"/>
      <c r="P302" s="186"/>
      <c r="Q302" s="186"/>
    </row>
    <row r="303" spans="2:17" x14ac:dyDescent="0.35">
      <c r="B303" s="186"/>
      <c r="C303" s="186"/>
      <c r="D303" s="186"/>
      <c r="E303" s="186"/>
      <c r="F303" s="186"/>
      <c r="G303" s="186"/>
      <c r="H303" s="186"/>
      <c r="I303" s="186"/>
      <c r="J303" s="186"/>
      <c r="K303" s="186"/>
      <c r="L303" s="186"/>
      <c r="M303" s="186"/>
      <c r="N303" s="186"/>
      <c r="O303" s="186"/>
      <c r="P303" s="186"/>
      <c r="Q303" s="186"/>
    </row>
    <row r="304" spans="2:17" x14ac:dyDescent="0.35">
      <c r="B304" s="186"/>
      <c r="C304" s="186"/>
      <c r="D304" s="186"/>
      <c r="E304" s="186"/>
      <c r="F304" s="186"/>
      <c r="G304" s="186"/>
      <c r="H304" s="186"/>
      <c r="I304" s="186"/>
      <c r="J304" s="186"/>
      <c r="K304" s="186"/>
      <c r="L304" s="186"/>
      <c r="M304" s="186"/>
      <c r="N304" s="186"/>
      <c r="O304" s="186"/>
      <c r="P304" s="186"/>
      <c r="Q304" s="186"/>
    </row>
    <row r="305" spans="2:17" x14ac:dyDescent="0.35">
      <c r="B305" s="186"/>
      <c r="C305" s="186"/>
      <c r="D305" s="186"/>
      <c r="E305" s="186"/>
      <c r="F305" s="186"/>
      <c r="G305" s="186"/>
      <c r="H305" s="186"/>
      <c r="I305" s="186"/>
      <c r="J305" s="186"/>
      <c r="K305" s="186"/>
      <c r="L305" s="186"/>
      <c r="M305" s="186"/>
      <c r="N305" s="186"/>
      <c r="O305" s="186"/>
      <c r="P305" s="186"/>
      <c r="Q305" s="186"/>
    </row>
    <row r="306" spans="2:17" x14ac:dyDescent="0.35">
      <c r="B306" s="186"/>
      <c r="C306" s="186"/>
      <c r="D306" s="186"/>
      <c r="E306" s="186"/>
      <c r="F306" s="186"/>
      <c r="G306" s="186"/>
      <c r="H306" s="186"/>
      <c r="I306" s="186"/>
      <c r="J306" s="186"/>
      <c r="K306" s="186"/>
      <c r="L306" s="186"/>
      <c r="M306" s="186"/>
      <c r="N306" s="186"/>
      <c r="O306" s="186"/>
      <c r="P306" s="186"/>
      <c r="Q306" s="186"/>
    </row>
    <row r="307" spans="2:17" x14ac:dyDescent="0.35">
      <c r="B307" s="186"/>
      <c r="C307" s="186"/>
      <c r="D307" s="186"/>
      <c r="E307" s="186"/>
      <c r="F307" s="186"/>
      <c r="G307" s="186"/>
      <c r="H307" s="186"/>
      <c r="I307" s="186"/>
      <c r="J307" s="186"/>
      <c r="K307" s="186"/>
      <c r="L307" s="186"/>
      <c r="M307" s="186"/>
      <c r="N307" s="186"/>
      <c r="O307" s="186"/>
      <c r="P307" s="186"/>
      <c r="Q307" s="186"/>
    </row>
    <row r="308" spans="2:17" x14ac:dyDescent="0.35">
      <c r="B308" s="186"/>
      <c r="C308" s="186"/>
      <c r="D308" s="186"/>
      <c r="E308" s="186"/>
      <c r="F308" s="186"/>
      <c r="G308" s="186"/>
      <c r="H308" s="186"/>
      <c r="I308" s="186"/>
      <c r="J308" s="186"/>
      <c r="K308" s="186"/>
      <c r="L308" s="186"/>
      <c r="M308" s="186"/>
      <c r="N308" s="186"/>
      <c r="O308" s="186"/>
      <c r="P308" s="186"/>
      <c r="Q308" s="186"/>
    </row>
    <row r="309" spans="2:17" x14ac:dyDescent="0.35">
      <c r="B309" s="186"/>
      <c r="C309" s="186"/>
      <c r="D309" s="186"/>
      <c r="E309" s="186"/>
      <c r="F309" s="186"/>
      <c r="G309" s="186"/>
      <c r="H309" s="186"/>
      <c r="I309" s="186"/>
      <c r="J309" s="186"/>
      <c r="K309" s="186"/>
      <c r="L309" s="186"/>
      <c r="M309" s="186"/>
      <c r="N309" s="186"/>
      <c r="O309" s="186"/>
      <c r="P309" s="186"/>
      <c r="Q309" s="186"/>
    </row>
    <row r="310" spans="2:17" x14ac:dyDescent="0.35">
      <c r="B310" s="186"/>
      <c r="C310" s="186"/>
      <c r="D310" s="186"/>
      <c r="E310" s="186"/>
      <c r="F310" s="186"/>
      <c r="G310" s="186"/>
      <c r="H310" s="186"/>
      <c r="I310" s="186"/>
      <c r="J310" s="186"/>
      <c r="K310" s="186"/>
      <c r="L310" s="186"/>
      <c r="M310" s="186"/>
      <c r="N310" s="186"/>
      <c r="O310" s="186"/>
      <c r="P310" s="186"/>
      <c r="Q310" s="186"/>
    </row>
    <row r="311" spans="2:17" x14ac:dyDescent="0.35">
      <c r="B311" s="186"/>
      <c r="C311" s="186"/>
      <c r="D311" s="186"/>
      <c r="E311" s="186"/>
      <c r="F311" s="186"/>
      <c r="G311" s="186"/>
      <c r="H311" s="186"/>
      <c r="I311" s="186"/>
      <c r="J311" s="186"/>
      <c r="K311" s="186"/>
      <c r="L311" s="186"/>
      <c r="M311" s="186"/>
      <c r="N311" s="186"/>
      <c r="O311" s="186"/>
      <c r="P311" s="186"/>
      <c r="Q311" s="186"/>
    </row>
    <row r="312" spans="2:17" x14ac:dyDescent="0.35">
      <c r="B312" s="186"/>
      <c r="C312" s="186"/>
      <c r="D312" s="186"/>
      <c r="E312" s="186"/>
      <c r="F312" s="186"/>
      <c r="G312" s="186"/>
      <c r="H312" s="186"/>
      <c r="I312" s="186"/>
      <c r="J312" s="186"/>
      <c r="K312" s="186"/>
      <c r="L312" s="186"/>
      <c r="M312" s="186"/>
      <c r="N312" s="186"/>
      <c r="O312" s="186"/>
      <c r="P312" s="186"/>
      <c r="Q312" s="186"/>
    </row>
    <row r="313" spans="2:17" x14ac:dyDescent="0.35">
      <c r="B313" s="186"/>
      <c r="C313" s="186"/>
      <c r="D313" s="186"/>
      <c r="E313" s="186"/>
      <c r="F313" s="186"/>
      <c r="G313" s="186"/>
      <c r="H313" s="186"/>
      <c r="I313" s="186"/>
      <c r="J313" s="186"/>
      <c r="K313" s="186"/>
      <c r="L313" s="186"/>
      <c r="M313" s="186"/>
      <c r="N313" s="186"/>
      <c r="O313" s="186"/>
      <c r="P313" s="186"/>
      <c r="Q313" s="186"/>
    </row>
    <row r="314" spans="2:17" x14ac:dyDescent="0.35">
      <c r="B314" s="186"/>
      <c r="C314" s="186"/>
      <c r="D314" s="186"/>
      <c r="E314" s="186"/>
      <c r="F314" s="186"/>
      <c r="G314" s="186"/>
      <c r="H314" s="186"/>
      <c r="I314" s="186"/>
      <c r="J314" s="186"/>
      <c r="K314" s="186"/>
      <c r="L314" s="186"/>
      <c r="M314" s="186"/>
      <c r="N314" s="186"/>
      <c r="O314" s="186"/>
      <c r="P314" s="186"/>
      <c r="Q314" s="186"/>
    </row>
    <row r="315" spans="2:17" x14ac:dyDescent="0.35">
      <c r="B315" s="186"/>
      <c r="C315" s="186"/>
      <c r="D315" s="186"/>
      <c r="E315" s="186"/>
      <c r="F315" s="186"/>
      <c r="G315" s="186"/>
      <c r="H315" s="186"/>
      <c r="I315" s="186"/>
      <c r="J315" s="186"/>
      <c r="K315" s="186"/>
      <c r="L315" s="186"/>
      <c r="M315" s="186"/>
      <c r="N315" s="186"/>
      <c r="O315" s="186"/>
      <c r="P315" s="186"/>
      <c r="Q315" s="186"/>
    </row>
    <row r="316" spans="2:17" x14ac:dyDescent="0.35">
      <c r="B316" s="186"/>
      <c r="C316" s="186"/>
      <c r="D316" s="186"/>
      <c r="E316" s="186"/>
      <c r="F316" s="186"/>
      <c r="G316" s="186"/>
      <c r="H316" s="186"/>
      <c r="I316" s="186"/>
      <c r="J316" s="186"/>
      <c r="K316" s="186"/>
      <c r="L316" s="186"/>
      <c r="M316" s="186"/>
      <c r="N316" s="186"/>
      <c r="O316" s="186"/>
      <c r="P316" s="186"/>
      <c r="Q316" s="186"/>
    </row>
    <row r="317" spans="2:17" x14ac:dyDescent="0.35">
      <c r="B317" s="186"/>
      <c r="C317" s="186"/>
      <c r="D317" s="186"/>
      <c r="E317" s="186"/>
      <c r="F317" s="186"/>
      <c r="G317" s="186"/>
      <c r="H317" s="186"/>
      <c r="I317" s="186"/>
      <c r="J317" s="186"/>
      <c r="K317" s="186"/>
      <c r="L317" s="186"/>
      <c r="M317" s="186"/>
      <c r="N317" s="186"/>
      <c r="O317" s="186"/>
      <c r="P317" s="186"/>
      <c r="Q317" s="186"/>
    </row>
    <row r="318" spans="2:17" x14ac:dyDescent="0.35">
      <c r="B318" s="186"/>
      <c r="C318" s="186"/>
      <c r="D318" s="186"/>
      <c r="E318" s="186"/>
      <c r="F318" s="186"/>
      <c r="G318" s="186"/>
      <c r="H318" s="186"/>
      <c r="I318" s="186"/>
      <c r="J318" s="186"/>
      <c r="K318" s="186"/>
      <c r="L318" s="186"/>
      <c r="M318" s="186"/>
      <c r="N318" s="186"/>
      <c r="O318" s="186"/>
      <c r="P318" s="186"/>
      <c r="Q318" s="186"/>
    </row>
    <row r="319" spans="2:17" x14ac:dyDescent="0.35">
      <c r="B319" s="186"/>
      <c r="C319" s="186"/>
      <c r="D319" s="186"/>
      <c r="E319" s="186"/>
      <c r="F319" s="186"/>
      <c r="G319" s="186"/>
      <c r="H319" s="186"/>
      <c r="I319" s="186"/>
      <c r="J319" s="186"/>
      <c r="K319" s="186"/>
      <c r="L319" s="186"/>
      <c r="M319" s="186"/>
      <c r="N319" s="186"/>
      <c r="O319" s="186"/>
      <c r="P319" s="186"/>
      <c r="Q319" s="186"/>
    </row>
    <row r="320" spans="2:17" x14ac:dyDescent="0.35">
      <c r="B320" s="186"/>
      <c r="C320" s="186"/>
      <c r="D320" s="186"/>
      <c r="E320" s="186"/>
      <c r="F320" s="186"/>
      <c r="G320" s="186"/>
      <c r="H320" s="186"/>
      <c r="I320" s="186"/>
      <c r="J320" s="186"/>
      <c r="K320" s="186"/>
      <c r="L320" s="186"/>
      <c r="M320" s="186"/>
      <c r="N320" s="186"/>
      <c r="O320" s="186"/>
      <c r="P320" s="186"/>
      <c r="Q320" s="186"/>
    </row>
    <row r="321" spans="2:17" x14ac:dyDescent="0.35">
      <c r="B321" s="186"/>
      <c r="C321" s="186"/>
      <c r="D321" s="186"/>
      <c r="E321" s="186"/>
      <c r="F321" s="186"/>
      <c r="G321" s="186"/>
      <c r="H321" s="186"/>
      <c r="I321" s="186"/>
      <c r="J321" s="186"/>
      <c r="K321" s="186"/>
      <c r="L321" s="186"/>
      <c r="M321" s="186"/>
      <c r="N321" s="186"/>
      <c r="O321" s="186"/>
      <c r="P321" s="186"/>
      <c r="Q321" s="186"/>
    </row>
    <row r="322" spans="2:17" x14ac:dyDescent="0.35">
      <c r="B322" s="186"/>
      <c r="C322" s="186"/>
      <c r="D322" s="186"/>
      <c r="E322" s="186"/>
      <c r="F322" s="186"/>
      <c r="G322" s="186"/>
      <c r="H322" s="186"/>
      <c r="I322" s="186"/>
      <c r="J322" s="186"/>
      <c r="K322" s="186"/>
      <c r="L322" s="186"/>
      <c r="M322" s="186"/>
      <c r="N322" s="186"/>
      <c r="O322" s="186"/>
      <c r="P322" s="186"/>
      <c r="Q322" s="186"/>
    </row>
    <row r="323" spans="2:17" x14ac:dyDescent="0.35">
      <c r="B323" s="186"/>
      <c r="C323" s="186"/>
      <c r="D323" s="186"/>
      <c r="E323" s="186"/>
      <c r="F323" s="186"/>
      <c r="G323" s="186"/>
      <c r="H323" s="186"/>
      <c r="I323" s="186"/>
      <c r="J323" s="186"/>
      <c r="K323" s="186"/>
      <c r="L323" s="186"/>
    </row>
    <row r="324" spans="2:17" x14ac:dyDescent="0.35">
      <c r="B324" s="186"/>
      <c r="C324" s="186"/>
      <c r="D324" s="186"/>
      <c r="E324" s="186"/>
      <c r="F324" s="186"/>
      <c r="G324" s="186"/>
      <c r="H324" s="186"/>
      <c r="I324" s="186"/>
      <c r="J324" s="186"/>
      <c r="K324" s="186"/>
      <c r="L324" s="186"/>
    </row>
    <row r="325" spans="2:17" x14ac:dyDescent="0.35">
      <c r="B325" s="186"/>
      <c r="C325" s="186"/>
      <c r="D325" s="186"/>
      <c r="E325" s="186"/>
      <c r="F325" s="186"/>
      <c r="G325" s="186"/>
      <c r="H325" s="186"/>
      <c r="I325" s="186"/>
      <c r="J325" s="186"/>
      <c r="K325" s="186"/>
      <c r="L325" s="186"/>
    </row>
    <row r="326" spans="2:17" x14ac:dyDescent="0.35">
      <c r="B326" s="186"/>
      <c r="C326" s="186"/>
      <c r="D326" s="186"/>
      <c r="E326" s="186"/>
      <c r="F326" s="186"/>
      <c r="G326" s="186"/>
      <c r="H326" s="186"/>
      <c r="I326" s="186"/>
      <c r="J326" s="186"/>
      <c r="K326" s="186"/>
      <c r="L326" s="186"/>
    </row>
    <row r="327" spans="2:17" x14ac:dyDescent="0.35">
      <c r="B327" s="186"/>
      <c r="C327" s="186"/>
      <c r="D327" s="186"/>
      <c r="E327" s="186"/>
      <c r="F327" s="186"/>
      <c r="G327" s="186"/>
      <c r="H327" s="186"/>
      <c r="I327" s="186"/>
      <c r="J327" s="186"/>
      <c r="K327" s="186"/>
      <c r="L327" s="186"/>
    </row>
  </sheetData>
  <conditionalFormatting sqref="A1:XFD25 A26:G28 J26:XFD28 A29:XFD1048576">
    <cfRule type="cellIs" dxfId="4" priority="1" operator="lessThan">
      <formula>0</formula>
    </cfRule>
  </conditionalFormatting>
  <pageMargins left="0.7" right="0.7" top="0.75" bottom="0.75" header="0.3" footer="0.3"/>
  <pageSetup scale="3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19082-CC5F-437A-B99A-7F9E4648FBB4}">
  <sheetPr>
    <tabColor rgb="FFFF0000"/>
  </sheetPr>
  <dimension ref="A1:S321"/>
  <sheetViews>
    <sheetView workbookViewId="0"/>
  </sheetViews>
  <sheetFormatPr defaultRowHeight="14.5" outlineLevelRow="2" x14ac:dyDescent="0.35"/>
  <cols>
    <col min="1" max="1" width="3.1796875" customWidth="1"/>
    <col min="2" max="2" width="38.1796875" customWidth="1"/>
    <col min="3" max="3" width="17" customWidth="1"/>
    <col min="4" max="4" width="16.81640625" customWidth="1"/>
    <col min="5" max="12" width="17" customWidth="1"/>
    <col min="13" max="13" width="13.7265625" bestFit="1" customWidth="1"/>
    <col min="14" max="14" width="17.81640625" bestFit="1" customWidth="1"/>
    <col min="15" max="15" width="11.453125" bestFit="1" customWidth="1"/>
    <col min="17" max="18" width="10.81640625" bestFit="1" customWidth="1"/>
    <col min="19" max="19" width="11.81640625" bestFit="1" customWidth="1"/>
  </cols>
  <sheetData>
    <row r="1" spans="1:19" x14ac:dyDescent="0.35">
      <c r="A1" s="198" t="s">
        <v>118</v>
      </c>
      <c r="B1" s="199"/>
      <c r="C1" s="199"/>
      <c r="D1" s="199"/>
      <c r="E1" s="199"/>
      <c r="F1" s="199"/>
      <c r="G1" s="199"/>
      <c r="H1" s="199"/>
      <c r="I1" s="199"/>
      <c r="J1" s="199"/>
      <c r="K1" s="199"/>
      <c r="L1" s="199"/>
    </row>
    <row r="2" spans="1:19" ht="15" thickBot="1" x14ac:dyDescent="0.4">
      <c r="A2" s="184" t="s">
        <v>1</v>
      </c>
      <c r="B2" s="184"/>
      <c r="C2" s="184"/>
      <c r="D2" s="184"/>
      <c r="E2" s="184"/>
      <c r="F2" s="184"/>
      <c r="G2" s="184"/>
      <c r="H2" s="184"/>
      <c r="I2" s="184"/>
      <c r="J2" s="184"/>
      <c r="K2" s="184"/>
      <c r="L2" s="184"/>
      <c r="M2" s="185"/>
      <c r="N2" s="185"/>
      <c r="O2" s="186"/>
      <c r="P2" s="186"/>
      <c r="Q2" s="186"/>
    </row>
    <row r="3" spans="1:19" outlineLevel="1" x14ac:dyDescent="0.35">
      <c r="B3" s="187" t="s">
        <v>2</v>
      </c>
      <c r="C3" s="188" t="s">
        <v>3</v>
      </c>
      <c r="D3" s="187" t="s">
        <v>4</v>
      </c>
      <c r="E3" s="187" t="s">
        <v>5</v>
      </c>
      <c r="F3" s="187" t="s">
        <v>6</v>
      </c>
      <c r="G3" s="187" t="s">
        <v>7</v>
      </c>
      <c r="H3" s="189" t="s">
        <v>8</v>
      </c>
      <c r="I3" s="189" t="s">
        <v>9</v>
      </c>
      <c r="J3" s="189" t="s">
        <v>10</v>
      </c>
      <c r="K3" s="189" t="s">
        <v>11</v>
      </c>
      <c r="L3" s="189" t="s">
        <v>12</v>
      </c>
      <c r="M3" s="190"/>
      <c r="N3" s="186"/>
      <c r="O3" s="186"/>
      <c r="P3" s="186"/>
    </row>
    <row r="4" spans="1:19" outlineLevel="1" x14ac:dyDescent="0.35">
      <c r="B4" s="191">
        <f>G7</f>
        <v>0</v>
      </c>
      <c r="C4" s="192">
        <v>2500</v>
      </c>
      <c r="D4" s="193">
        <f>$G$9</f>
        <v>0</v>
      </c>
      <c r="E4" s="194">
        <f>$G$59</f>
        <v>3000</v>
      </c>
      <c r="F4" s="194">
        <f>$G$78</f>
        <v>-3000</v>
      </c>
      <c r="G4" s="194">
        <f>$G$69</f>
        <v>0</v>
      </c>
      <c r="H4" s="170">
        <f>$G$79</f>
        <v>-3000</v>
      </c>
      <c r="I4" s="170">
        <f>$G$72</f>
        <v>-341</v>
      </c>
      <c r="J4" s="170">
        <f>$G$73</f>
        <v>-60.881400000000006</v>
      </c>
      <c r="K4" s="170">
        <f>F4-G4-I4-J4</f>
        <v>-2598.1185999999998</v>
      </c>
      <c r="L4" s="195" t="e">
        <f>K4/D4</f>
        <v>#DIV/0!</v>
      </c>
      <c r="M4" s="196"/>
      <c r="N4" s="186"/>
      <c r="O4" s="186"/>
      <c r="P4" s="197"/>
    </row>
    <row r="5" spans="1:19" ht="15" thickBot="1" x14ac:dyDescent="0.4">
      <c r="B5" s="211"/>
      <c r="C5" s="192"/>
      <c r="D5" s="201"/>
      <c r="E5" s="202"/>
      <c r="F5" s="203"/>
      <c r="G5" s="204"/>
      <c r="H5" s="204"/>
      <c r="I5" s="204"/>
      <c r="J5" s="205"/>
      <c r="K5" s="206"/>
      <c r="L5" s="206"/>
      <c r="M5" s="207"/>
      <c r="N5" s="196"/>
      <c r="O5" s="186"/>
      <c r="P5" s="208"/>
      <c r="Q5" s="186"/>
    </row>
    <row r="6" spans="1:19" ht="15.5" thickTop="1" thickBot="1" x14ac:dyDescent="0.4">
      <c r="A6" s="184" t="s">
        <v>23</v>
      </c>
      <c r="B6" s="184"/>
      <c r="C6" s="184"/>
      <c r="D6" s="184"/>
      <c r="E6" s="184"/>
      <c r="F6" s="184"/>
      <c r="G6" s="184"/>
      <c r="H6" s="184"/>
      <c r="I6" s="184"/>
      <c r="J6" s="184"/>
      <c r="K6" s="232" t="s">
        <v>24</v>
      </c>
      <c r="L6" s="233"/>
      <c r="M6" s="185"/>
      <c r="N6" s="185"/>
      <c r="O6" s="186"/>
      <c r="P6" s="186"/>
      <c r="Q6" s="186"/>
    </row>
    <row r="7" spans="1:19" outlineLevel="1" x14ac:dyDescent="0.35">
      <c r="A7" s="212"/>
      <c r="B7" t="s">
        <v>27</v>
      </c>
      <c r="C7" s="212"/>
      <c r="D7" s="212"/>
      <c r="E7" s="202">
        <v>10</v>
      </c>
      <c r="F7">
        <v>16</v>
      </c>
      <c r="G7">
        <v>0</v>
      </c>
      <c r="H7">
        <v>0</v>
      </c>
      <c r="I7" s="212"/>
      <c r="J7" s="212"/>
      <c r="K7" s="445">
        <v>16</v>
      </c>
      <c r="L7" s="446"/>
      <c r="M7" s="185"/>
      <c r="N7" s="185"/>
      <c r="O7" s="186"/>
      <c r="P7" s="186"/>
      <c r="Q7" s="186"/>
    </row>
    <row r="8" spans="1:19" ht="15" outlineLevel="1" thickBot="1" x14ac:dyDescent="0.4">
      <c r="A8" s="213"/>
      <c r="B8" s="214" t="s">
        <v>28</v>
      </c>
      <c r="C8" s="215"/>
      <c r="D8" s="216"/>
      <c r="E8" s="217">
        <f>2500</f>
        <v>2500</v>
      </c>
      <c r="F8" s="217">
        <f>2500</f>
        <v>2500</v>
      </c>
      <c r="G8" s="217">
        <v>0</v>
      </c>
      <c r="H8" s="217">
        <v>0</v>
      </c>
      <c r="I8" s="218"/>
      <c r="J8" s="219"/>
      <c r="K8" s="447">
        <f>2500</f>
        <v>2500</v>
      </c>
      <c r="L8" s="448"/>
      <c r="M8" s="207"/>
      <c r="N8" s="196"/>
      <c r="O8" s="186"/>
      <c r="P8" s="208"/>
      <c r="Q8" s="186"/>
    </row>
    <row r="9" spans="1:19" s="212" customFormat="1" ht="15" thickTop="1" x14ac:dyDescent="0.35">
      <c r="A9" s="212" t="s">
        <v>29</v>
      </c>
      <c r="B9" s="221"/>
      <c r="C9" s="222"/>
      <c r="D9" s="223"/>
      <c r="E9" s="224">
        <f>E7*E8</f>
        <v>25000</v>
      </c>
      <c r="F9" s="225">
        <f>F7*F8</f>
        <v>40000</v>
      </c>
      <c r="G9" s="225">
        <f>G7*G8</f>
        <v>0</v>
      </c>
      <c r="H9" s="225">
        <f>H7*H8</f>
        <v>0</v>
      </c>
      <c r="I9" s="204"/>
      <c r="J9" s="226"/>
      <c r="K9" s="449">
        <f>K7*K8</f>
        <v>40000</v>
      </c>
      <c r="L9" s="450"/>
      <c r="M9" s="227"/>
      <c r="N9" s="196"/>
      <c r="O9" s="228"/>
      <c r="P9" s="229"/>
      <c r="Q9" s="228"/>
    </row>
    <row r="10" spans="1:19" x14ac:dyDescent="0.35">
      <c r="B10" s="211"/>
      <c r="C10" s="192"/>
      <c r="D10" s="201"/>
      <c r="E10" s="230"/>
      <c r="F10" s="203"/>
      <c r="G10" s="204"/>
      <c r="H10" s="204"/>
      <c r="I10" s="204"/>
      <c r="J10" s="205"/>
      <c r="K10" s="451"/>
      <c r="L10" s="452"/>
      <c r="M10" s="207"/>
      <c r="N10" s="196"/>
      <c r="O10" s="186"/>
      <c r="P10" s="208"/>
      <c r="Q10" s="186"/>
    </row>
    <row r="11" spans="1:19" ht="15" thickBot="1" x14ac:dyDescent="0.4">
      <c r="A11" s="184" t="s">
        <v>46</v>
      </c>
      <c r="B11" s="231"/>
      <c r="C11" s="231"/>
      <c r="D11" s="231"/>
      <c r="E11" s="231"/>
      <c r="F11" s="231"/>
      <c r="G11" s="231"/>
      <c r="H11" s="231"/>
      <c r="I11" s="231"/>
      <c r="J11" s="231"/>
      <c r="K11" s="270"/>
      <c r="L11" s="271"/>
      <c r="M11" s="228"/>
      <c r="N11" s="228"/>
      <c r="O11" s="186"/>
      <c r="P11" s="186"/>
      <c r="Q11" s="234"/>
    </row>
    <row r="12" spans="1:19" outlineLevel="1" x14ac:dyDescent="0.35">
      <c r="B12" s="235" t="s">
        <v>119</v>
      </c>
      <c r="C12" s="427" t="s">
        <v>120</v>
      </c>
      <c r="D12" s="236" t="s">
        <v>48</v>
      </c>
      <c r="E12" s="427" t="s">
        <v>121</v>
      </c>
      <c r="F12" s="237" t="s">
        <v>122</v>
      </c>
      <c r="G12" s="237" t="s">
        <v>49</v>
      </c>
      <c r="H12" s="237" t="s">
        <v>50</v>
      </c>
      <c r="I12" s="237" t="s">
        <v>51</v>
      </c>
      <c r="J12" s="237" t="s">
        <v>52</v>
      </c>
      <c r="K12" s="238" t="s">
        <v>25</v>
      </c>
      <c r="L12" s="239" t="s">
        <v>26</v>
      </c>
      <c r="M12" s="129"/>
      <c r="N12" s="186"/>
      <c r="O12" s="186"/>
    </row>
    <row r="13" spans="1:19" ht="15" customHeight="1" outlineLevel="2" x14ac:dyDescent="0.35">
      <c r="B13" s="201" t="s">
        <v>123</v>
      </c>
      <c r="C13" s="428">
        <v>45292</v>
      </c>
      <c r="D13" s="186" t="s">
        <v>124</v>
      </c>
      <c r="E13" s="186">
        <v>0</v>
      </c>
      <c r="F13" s="240">
        <v>750</v>
      </c>
      <c r="G13" s="240">
        <f>F13*E13</f>
        <v>0</v>
      </c>
      <c r="H13" s="241">
        <v>0</v>
      </c>
      <c r="I13" s="242">
        <f>G13*H13</f>
        <v>0</v>
      </c>
      <c r="J13" s="240">
        <f>G13+I13</f>
        <v>0</v>
      </c>
      <c r="K13" s="243"/>
      <c r="L13" s="244"/>
      <c r="M13" s="129"/>
      <c r="N13" s="186"/>
      <c r="S13" s="125"/>
    </row>
    <row r="14" spans="1:19" ht="15" customHeight="1" outlineLevel="2" x14ac:dyDescent="0.35">
      <c r="B14" s="201" t="s">
        <v>125</v>
      </c>
      <c r="C14" s="428">
        <f>C13+7</f>
        <v>45299</v>
      </c>
      <c r="D14" s="186" t="s">
        <v>126</v>
      </c>
      <c r="E14" s="186">
        <v>0</v>
      </c>
      <c r="F14" s="240">
        <v>750</v>
      </c>
      <c r="G14" s="240">
        <f>F14*E14</f>
        <v>0</v>
      </c>
      <c r="H14" s="241">
        <v>0</v>
      </c>
      <c r="I14" s="242">
        <f>G14*H14</f>
        <v>0</v>
      </c>
      <c r="J14" s="240">
        <f>G14+I14</f>
        <v>0</v>
      </c>
      <c r="K14" s="243"/>
      <c r="L14" s="244"/>
      <c r="M14" s="129"/>
      <c r="N14" s="186"/>
      <c r="O14" s="186"/>
    </row>
    <row r="15" spans="1:19" outlineLevel="2" x14ac:dyDescent="0.35">
      <c r="B15" s="201" t="s">
        <v>127</v>
      </c>
      <c r="C15" s="428">
        <f t="shared" ref="C15:C18" si="0">C14+7</f>
        <v>45306</v>
      </c>
      <c r="D15" s="186" t="s">
        <v>126</v>
      </c>
      <c r="E15" s="186">
        <v>0</v>
      </c>
      <c r="F15" s="240">
        <v>750</v>
      </c>
      <c r="G15" s="240">
        <f>F15*E15</f>
        <v>0</v>
      </c>
      <c r="H15" s="241">
        <v>0</v>
      </c>
      <c r="I15" s="242">
        <f>G15*H15</f>
        <v>0</v>
      </c>
      <c r="J15" s="240">
        <f>G15+I15</f>
        <v>0</v>
      </c>
      <c r="K15" s="243"/>
      <c r="L15" s="244"/>
      <c r="M15" s="13"/>
      <c r="N15" s="186"/>
      <c r="O15" s="186"/>
    </row>
    <row r="16" spans="1:19" ht="15" customHeight="1" outlineLevel="2" x14ac:dyDescent="0.35">
      <c r="B16" s="201" t="s">
        <v>128</v>
      </c>
      <c r="C16" s="428">
        <f t="shared" si="0"/>
        <v>45313</v>
      </c>
      <c r="D16" s="186" t="s">
        <v>124</v>
      </c>
      <c r="E16" s="186">
        <v>0</v>
      </c>
      <c r="F16" s="240">
        <v>750</v>
      </c>
      <c r="G16" s="240">
        <f t="shared" ref="G16:G18" si="1">F16*E16</f>
        <v>0</v>
      </c>
      <c r="H16" s="241">
        <v>0</v>
      </c>
      <c r="I16" s="242">
        <f t="shared" ref="I16:I17" si="2">G16*H16</f>
        <v>0</v>
      </c>
      <c r="J16" s="240">
        <f t="shared" ref="J16:J18" si="3">G16+I16</f>
        <v>0</v>
      </c>
      <c r="K16" s="243"/>
      <c r="L16" s="244"/>
      <c r="M16" s="13"/>
      <c r="N16" s="186"/>
    </row>
    <row r="17" spans="2:17" ht="15" customHeight="1" outlineLevel="2" x14ac:dyDescent="0.35">
      <c r="B17" s="201" t="s">
        <v>129</v>
      </c>
      <c r="C17" s="428">
        <f t="shared" si="0"/>
        <v>45320</v>
      </c>
      <c r="D17" s="186" t="s">
        <v>130</v>
      </c>
      <c r="E17" s="186">
        <v>0</v>
      </c>
      <c r="F17" s="240">
        <v>500</v>
      </c>
      <c r="G17" s="240">
        <f t="shared" si="1"/>
        <v>0</v>
      </c>
      <c r="H17" s="241">
        <v>0</v>
      </c>
      <c r="I17" s="242">
        <f t="shared" si="2"/>
        <v>0</v>
      </c>
      <c r="J17" s="240">
        <f t="shared" si="3"/>
        <v>0</v>
      </c>
      <c r="K17" s="243"/>
      <c r="L17" s="244"/>
      <c r="M17" s="13"/>
      <c r="N17" s="186"/>
      <c r="O17" s="186"/>
    </row>
    <row r="18" spans="2:17" ht="15" customHeight="1" outlineLevel="2" thickBot="1" x14ac:dyDescent="0.4">
      <c r="B18" s="216" t="s">
        <v>131</v>
      </c>
      <c r="C18" s="429">
        <f t="shared" si="0"/>
        <v>45327</v>
      </c>
      <c r="D18" s="245" t="s">
        <v>132</v>
      </c>
      <c r="E18" s="245">
        <v>0</v>
      </c>
      <c r="F18" s="246">
        <v>500</v>
      </c>
      <c r="G18" s="246">
        <f t="shared" si="1"/>
        <v>0</v>
      </c>
      <c r="H18" s="247">
        <v>0</v>
      </c>
      <c r="I18" s="248">
        <f>G18*H18</f>
        <v>0</v>
      </c>
      <c r="J18" s="246">
        <f t="shared" si="3"/>
        <v>0</v>
      </c>
      <c r="K18" s="249"/>
      <c r="L18" s="250"/>
      <c r="M18" s="13" t="s">
        <v>30</v>
      </c>
      <c r="N18" s="186" t="s">
        <v>30</v>
      </c>
      <c r="O18" s="186"/>
    </row>
    <row r="19" spans="2:17" s="212" customFormat="1" ht="15" outlineLevel="1" thickTop="1" x14ac:dyDescent="0.35">
      <c r="B19" s="223" t="s">
        <v>133</v>
      </c>
      <c r="C19" s="223"/>
      <c r="D19" s="228" t="s">
        <v>30</v>
      </c>
      <c r="E19" s="228">
        <f>SUM(E13:E18)</f>
        <v>0</v>
      </c>
      <c r="F19" s="251"/>
      <c r="G19" s="251">
        <f>SUM(G13:G18)</f>
        <v>0</v>
      </c>
      <c r="H19" s="185"/>
      <c r="I19" s="251">
        <f>SUM(I13:I18)</f>
        <v>0</v>
      </c>
      <c r="J19" s="251">
        <f>SUM(J13:J18)</f>
        <v>0</v>
      </c>
      <c r="K19" s="252"/>
      <c r="L19" s="253"/>
      <c r="M19" s="185"/>
      <c r="N19" s="228"/>
      <c r="O19" s="228"/>
    </row>
    <row r="20" spans="2:17" s="212" customFormat="1" outlineLevel="1" x14ac:dyDescent="0.35">
      <c r="B20" s="223"/>
      <c r="C20" s="223"/>
      <c r="D20" s="228"/>
      <c r="E20" s="228"/>
      <c r="F20" s="251"/>
      <c r="G20" s="251"/>
      <c r="H20" s="185"/>
      <c r="I20" s="251"/>
      <c r="J20" s="251"/>
      <c r="K20" s="252"/>
      <c r="L20" s="253"/>
      <c r="M20" s="185"/>
      <c r="N20" s="228"/>
      <c r="O20" s="228"/>
    </row>
    <row r="21" spans="2:17" outlineLevel="1" x14ac:dyDescent="0.35">
      <c r="B21" s="235" t="s">
        <v>134</v>
      </c>
      <c r="C21" s="427" t="s">
        <v>135</v>
      </c>
      <c r="D21" s="237" t="s">
        <v>136</v>
      </c>
      <c r="E21" s="237" t="s">
        <v>49</v>
      </c>
      <c r="F21" s="237" t="s">
        <v>50</v>
      </c>
      <c r="G21" s="237" t="s">
        <v>51</v>
      </c>
      <c r="H21" s="237" t="s">
        <v>52</v>
      </c>
      <c r="I21" s="257"/>
      <c r="J21" s="237"/>
      <c r="K21" s="238"/>
      <c r="L21" s="239"/>
      <c r="M21" s="186"/>
    </row>
    <row r="22" spans="2:17" ht="15" customHeight="1" outlineLevel="2" thickBot="1" x14ac:dyDescent="0.4">
      <c r="B22" s="430" t="s">
        <v>137</v>
      </c>
      <c r="C22" s="431">
        <f>E18</f>
        <v>0</v>
      </c>
      <c r="D22" s="432">
        <v>0</v>
      </c>
      <c r="E22" s="432">
        <f>C22*D22</f>
        <v>0</v>
      </c>
      <c r="F22" s="433">
        <v>0</v>
      </c>
      <c r="G22" s="434">
        <f>E22*F22</f>
        <v>0</v>
      </c>
      <c r="H22" s="432">
        <f>E22+G22</f>
        <v>0</v>
      </c>
      <c r="I22" s="435"/>
      <c r="J22" s="436"/>
      <c r="K22" s="437"/>
      <c r="L22" s="438"/>
      <c r="Q22" s="125"/>
    </row>
    <row r="23" spans="2:17" s="212" customFormat="1" ht="15" outlineLevel="1" thickTop="1" x14ac:dyDescent="0.35">
      <c r="B23" s="223" t="s">
        <v>138</v>
      </c>
      <c r="C23" s="223"/>
      <c r="D23" s="251"/>
      <c r="E23" s="251">
        <f>SUM(E22)</f>
        <v>0</v>
      </c>
      <c r="F23" s="185"/>
      <c r="G23" s="251">
        <f>SUM(G22)</f>
        <v>0</v>
      </c>
      <c r="H23" s="251">
        <f>SUM(H22)</f>
        <v>0</v>
      </c>
      <c r="I23" s="203"/>
      <c r="J23" s="203"/>
      <c r="K23" s="258"/>
      <c r="L23" s="259"/>
      <c r="M23" s="228"/>
    </row>
    <row r="24" spans="2:17" s="254" customFormat="1" outlineLevel="1" x14ac:dyDescent="0.35">
      <c r="B24" s="212"/>
      <c r="C24" s="212"/>
      <c r="D24" s="212"/>
      <c r="E24" s="212"/>
      <c r="F24" s="212"/>
      <c r="G24" s="212"/>
      <c r="H24" s="212"/>
      <c r="I24" s="212"/>
      <c r="K24" s="255"/>
      <c r="L24" s="256"/>
    </row>
    <row r="25" spans="2:17" outlineLevel="1" x14ac:dyDescent="0.35">
      <c r="B25" s="235" t="s">
        <v>58</v>
      </c>
      <c r="C25" s="257" t="s">
        <v>33</v>
      </c>
      <c r="D25" s="257" t="s">
        <v>34</v>
      </c>
      <c r="E25" s="257" t="str">
        <f>_xlfn.CONCAT("Total Cost for ",E$7)</f>
        <v>Total Cost for 10</v>
      </c>
      <c r="F25" s="257" t="str">
        <f>_xlfn.CONCAT("Total Cost for ",F$7)</f>
        <v>Total Cost for 16</v>
      </c>
      <c r="G25" s="257" t="str">
        <f>_xlfn.CONCAT("Total Cost for ",G$7)</f>
        <v>Total Cost for 0</v>
      </c>
      <c r="H25" s="257" t="str">
        <f>_xlfn.CONCAT("Total Cost for ",H$7)</f>
        <v>Total Cost for 0</v>
      </c>
      <c r="I25" s="257"/>
      <c r="J25" s="237"/>
      <c r="K25" s="257" t="str">
        <f>_xlfn.CONCAT("Total Cost for ",K$7)</f>
        <v>Total Cost for 16</v>
      </c>
      <c r="L25" s="239"/>
      <c r="M25" s="13"/>
      <c r="N25" s="186"/>
      <c r="O25" s="186"/>
    </row>
    <row r="26" spans="2:17" outlineLevel="2" x14ac:dyDescent="0.35">
      <c r="B26" s="201" t="s">
        <v>59</v>
      </c>
      <c r="C26" s="203">
        <v>0</v>
      </c>
      <c r="D26" s="203">
        <v>0</v>
      </c>
      <c r="E26" s="203">
        <f t="shared" ref="E26:H30" si="4">$C26+$D26*E$7</f>
        <v>0</v>
      </c>
      <c r="F26" s="203">
        <f t="shared" si="4"/>
        <v>0</v>
      </c>
      <c r="G26" s="203">
        <f t="shared" si="4"/>
        <v>0</v>
      </c>
      <c r="H26" s="203">
        <f t="shared" si="4"/>
        <v>0</v>
      </c>
      <c r="I26" s="203"/>
      <c r="J26" s="240"/>
      <c r="K26" s="203">
        <f>$C26+$D26*K$7</f>
        <v>0</v>
      </c>
      <c r="L26" s="244"/>
      <c r="M26" s="13"/>
      <c r="N26" s="186"/>
      <c r="O26" s="186"/>
    </row>
    <row r="27" spans="2:17" outlineLevel="2" x14ac:dyDescent="0.35">
      <c r="B27" s="201" t="s">
        <v>60</v>
      </c>
      <c r="C27" s="203">
        <v>0</v>
      </c>
      <c r="D27" s="203">
        <v>0</v>
      </c>
      <c r="E27" s="203">
        <f t="shared" si="4"/>
        <v>0</v>
      </c>
      <c r="F27" s="203">
        <f t="shared" si="4"/>
        <v>0</v>
      </c>
      <c r="G27" s="203">
        <f t="shared" si="4"/>
        <v>0</v>
      </c>
      <c r="H27" s="203">
        <f t="shared" si="4"/>
        <v>0</v>
      </c>
      <c r="I27" s="203"/>
      <c r="J27" s="203"/>
      <c r="K27" s="203">
        <f t="shared" ref="K27:K30" si="5">$C27+$D27*K$7</f>
        <v>0</v>
      </c>
      <c r="L27" s="259"/>
      <c r="M27" s="13"/>
      <c r="N27" s="186"/>
      <c r="O27" s="186"/>
    </row>
    <row r="28" spans="2:17" outlineLevel="2" x14ac:dyDescent="0.35">
      <c r="B28" s="201" t="s">
        <v>61</v>
      </c>
      <c r="C28" s="203">
        <v>0</v>
      </c>
      <c r="D28" s="203">
        <v>0</v>
      </c>
      <c r="E28" s="203">
        <f t="shared" si="4"/>
        <v>0</v>
      </c>
      <c r="F28" s="203">
        <f t="shared" si="4"/>
        <v>0</v>
      </c>
      <c r="G28" s="203">
        <f t="shared" si="4"/>
        <v>0</v>
      </c>
      <c r="H28" s="203">
        <f t="shared" si="4"/>
        <v>0</v>
      </c>
      <c r="I28" s="203"/>
      <c r="J28" s="240"/>
      <c r="K28" s="203">
        <f t="shared" si="5"/>
        <v>0</v>
      </c>
      <c r="L28" s="244"/>
      <c r="M28" s="13"/>
      <c r="N28" s="186"/>
      <c r="O28" s="186"/>
    </row>
    <row r="29" spans="2:17" outlineLevel="2" x14ac:dyDescent="0.35">
      <c r="B29" s="201" t="s">
        <v>62</v>
      </c>
      <c r="C29" s="203">
        <v>0</v>
      </c>
      <c r="D29" s="203">
        <v>0</v>
      </c>
      <c r="E29" s="203">
        <f t="shared" si="4"/>
        <v>0</v>
      </c>
      <c r="F29" s="203">
        <f t="shared" si="4"/>
        <v>0</v>
      </c>
      <c r="G29" s="203">
        <f t="shared" si="4"/>
        <v>0</v>
      </c>
      <c r="H29" s="203">
        <f t="shared" si="4"/>
        <v>0</v>
      </c>
      <c r="I29" s="203"/>
      <c r="J29" s="203"/>
      <c r="K29" s="203">
        <f t="shared" si="5"/>
        <v>0</v>
      </c>
      <c r="L29" s="259"/>
      <c r="M29" s="13"/>
      <c r="N29" s="186"/>
      <c r="O29" s="186"/>
    </row>
    <row r="30" spans="2:17" ht="15" outlineLevel="2" thickBot="1" x14ac:dyDescent="0.4">
      <c r="B30" s="216" t="s">
        <v>63</v>
      </c>
      <c r="C30" s="260">
        <v>0</v>
      </c>
      <c r="D30" s="260">
        <v>0</v>
      </c>
      <c r="E30" s="260">
        <f t="shared" si="4"/>
        <v>0</v>
      </c>
      <c r="F30" s="260">
        <f t="shared" si="4"/>
        <v>0</v>
      </c>
      <c r="G30" s="260">
        <f t="shared" si="4"/>
        <v>0</v>
      </c>
      <c r="H30" s="260">
        <f t="shared" si="4"/>
        <v>0</v>
      </c>
      <c r="I30" s="260"/>
      <c r="J30" s="246"/>
      <c r="K30" s="260">
        <f t="shared" si="5"/>
        <v>0</v>
      </c>
      <c r="L30" s="250"/>
      <c r="M30" s="240"/>
      <c r="N30" s="186"/>
      <c r="O30" s="186"/>
    </row>
    <row r="31" spans="2:17" s="212" customFormat="1" ht="15" outlineLevel="1" thickTop="1" x14ac:dyDescent="0.35">
      <c r="B31" s="223" t="s">
        <v>64</v>
      </c>
      <c r="C31" s="261">
        <f t="shared" ref="C31:H31" si="6">SUM(C26:C30)</f>
        <v>0</v>
      </c>
      <c r="D31" s="261">
        <f t="shared" si="6"/>
        <v>0</v>
      </c>
      <c r="E31" s="261">
        <f t="shared" si="6"/>
        <v>0</v>
      </c>
      <c r="F31" s="261">
        <f t="shared" si="6"/>
        <v>0</v>
      </c>
      <c r="G31" s="261">
        <f t="shared" si="6"/>
        <v>0</v>
      </c>
      <c r="H31" s="261">
        <f t="shared" si="6"/>
        <v>0</v>
      </c>
      <c r="I31" s="261"/>
      <c r="J31" s="261"/>
      <c r="K31" s="261">
        <f t="shared" ref="K31" si="7">SUM(K26:K30)</f>
        <v>0</v>
      </c>
      <c r="L31" s="263"/>
      <c r="M31" s="185"/>
      <c r="N31" s="228"/>
      <c r="O31" s="228"/>
    </row>
    <row r="32" spans="2:17" s="212" customFormat="1" outlineLevel="1" x14ac:dyDescent="0.35">
      <c r="B32" s="223"/>
      <c r="C32" s="261"/>
      <c r="D32" s="261"/>
      <c r="E32" s="261"/>
      <c r="F32" s="261"/>
      <c r="G32" s="261"/>
      <c r="H32" s="261"/>
      <c r="I32" s="261"/>
      <c r="J32" s="261"/>
      <c r="K32" s="262"/>
      <c r="L32" s="263"/>
      <c r="M32" s="185"/>
      <c r="N32" s="228"/>
      <c r="O32" s="228"/>
    </row>
    <row r="33" spans="2:15" outlineLevel="1" x14ac:dyDescent="0.35">
      <c r="B33" s="235" t="s">
        <v>65</v>
      </c>
      <c r="C33" s="257" t="s">
        <v>33</v>
      </c>
      <c r="D33" s="257" t="s">
        <v>34</v>
      </c>
      <c r="E33" s="257" t="str">
        <f>_xlfn.CONCAT("Total Cost for ",E$7)</f>
        <v>Total Cost for 10</v>
      </c>
      <c r="F33" s="257" t="str">
        <f>_xlfn.CONCAT("Total Cost for ",F$7)</f>
        <v>Total Cost for 16</v>
      </c>
      <c r="G33" s="257" t="str">
        <f>_xlfn.CONCAT("Total Cost for ",G$7)</f>
        <v>Total Cost for 0</v>
      </c>
      <c r="H33" s="257" t="str">
        <f>_xlfn.CONCAT("Total Cost for ",H$7)</f>
        <v>Total Cost for 0</v>
      </c>
      <c r="I33" s="257"/>
      <c r="J33" s="237"/>
      <c r="K33" s="257" t="str">
        <f>_xlfn.CONCAT("Total Cost for ",K$7)</f>
        <v>Total Cost for 16</v>
      </c>
      <c r="L33" s="239"/>
      <c r="M33" s="13"/>
      <c r="N33" s="186"/>
      <c r="O33" s="186"/>
    </row>
    <row r="34" spans="2:15" outlineLevel="2" x14ac:dyDescent="0.35">
      <c r="B34" s="201" t="s">
        <v>65</v>
      </c>
      <c r="C34" s="203">
        <v>0</v>
      </c>
      <c r="D34" s="203">
        <v>25</v>
      </c>
      <c r="E34" s="203">
        <f t="shared" ref="E34:H36" si="8">$C34+$D34*E$7</f>
        <v>250</v>
      </c>
      <c r="F34" s="203">
        <f t="shared" si="8"/>
        <v>400</v>
      </c>
      <c r="G34" s="203">
        <f t="shared" si="8"/>
        <v>0</v>
      </c>
      <c r="H34" s="203">
        <f t="shared" si="8"/>
        <v>0</v>
      </c>
      <c r="I34" s="203"/>
      <c r="J34" s="203"/>
      <c r="K34" s="203">
        <f t="shared" ref="K34:K36" si="9">$C34+$D34*K$7</f>
        <v>400</v>
      </c>
      <c r="L34" s="259"/>
      <c r="M34" s="13"/>
      <c r="N34" s="186"/>
      <c r="O34" s="186"/>
    </row>
    <row r="35" spans="2:15" outlineLevel="2" x14ac:dyDescent="0.35">
      <c r="B35" s="264" t="s">
        <v>139</v>
      </c>
      <c r="C35" s="203">
        <v>0</v>
      </c>
      <c r="D35" s="203">
        <v>4.2</v>
      </c>
      <c r="E35" s="203">
        <f t="shared" si="8"/>
        <v>42</v>
      </c>
      <c r="F35" s="203">
        <f t="shared" si="8"/>
        <v>67.2</v>
      </c>
      <c r="G35" s="203">
        <f t="shared" si="8"/>
        <v>0</v>
      </c>
      <c r="H35" s="203">
        <f t="shared" si="8"/>
        <v>0</v>
      </c>
      <c r="I35" s="203"/>
      <c r="J35" s="203"/>
      <c r="K35" s="203">
        <f t="shared" si="9"/>
        <v>67.2</v>
      </c>
      <c r="L35" s="259"/>
      <c r="M35" s="13"/>
      <c r="N35" s="186"/>
      <c r="O35" s="186"/>
    </row>
    <row r="36" spans="2:15" ht="15" outlineLevel="2" thickBot="1" x14ac:dyDescent="0.4">
      <c r="B36" s="216" t="s">
        <v>67</v>
      </c>
      <c r="C36" s="260">
        <v>0</v>
      </c>
      <c r="D36" s="260">
        <v>75</v>
      </c>
      <c r="E36" s="260">
        <f t="shared" si="8"/>
        <v>750</v>
      </c>
      <c r="F36" s="260">
        <f t="shared" si="8"/>
        <v>1200</v>
      </c>
      <c r="G36" s="260">
        <f t="shared" si="8"/>
        <v>0</v>
      </c>
      <c r="H36" s="260">
        <f t="shared" si="8"/>
        <v>0</v>
      </c>
      <c r="I36" s="260"/>
      <c r="J36" s="246"/>
      <c r="K36" s="260">
        <f t="shared" si="9"/>
        <v>1200</v>
      </c>
      <c r="L36" s="250"/>
      <c r="M36" s="13"/>
      <c r="N36" s="186"/>
      <c r="O36" s="186"/>
    </row>
    <row r="37" spans="2:15" ht="15" outlineLevel="1" thickTop="1" x14ac:dyDescent="0.35">
      <c r="B37" s="223" t="s">
        <v>68</v>
      </c>
      <c r="C37" s="261">
        <f>SUM(C34:C36)</f>
        <v>0</v>
      </c>
      <c r="D37" s="261">
        <f>SUM(D34:D36)</f>
        <v>104.2</v>
      </c>
      <c r="E37" s="261">
        <f>SUM(E34:E36)</f>
        <v>1042</v>
      </c>
      <c r="F37" s="261">
        <f>SUM(F34:F36)</f>
        <v>1667.2</v>
      </c>
      <c r="G37" s="261">
        <f t="shared" ref="G37:H37" si="10">SUM(G34:G36)</f>
        <v>0</v>
      </c>
      <c r="H37" s="261">
        <f t="shared" si="10"/>
        <v>0</v>
      </c>
      <c r="I37" s="261"/>
      <c r="J37" s="261"/>
      <c r="K37" s="261">
        <f t="shared" ref="K37" si="11">SUM(K34:K36)</f>
        <v>1667.2</v>
      </c>
      <c r="L37" s="266"/>
      <c r="M37" s="13"/>
      <c r="N37" s="186"/>
      <c r="O37" s="186"/>
    </row>
    <row r="38" spans="2:15" outlineLevel="1" x14ac:dyDescent="0.35">
      <c r="B38" s="201"/>
      <c r="C38" s="186"/>
      <c r="D38" s="186"/>
      <c r="E38" s="186"/>
      <c r="F38" s="186"/>
      <c r="G38" s="186"/>
      <c r="H38" s="186"/>
      <c r="I38" s="186"/>
      <c r="J38" s="228"/>
      <c r="K38" s="186"/>
      <c r="L38" s="439"/>
      <c r="M38" s="13"/>
      <c r="N38" s="186"/>
      <c r="O38" s="186"/>
    </row>
    <row r="39" spans="2:15" outlineLevel="1" x14ac:dyDescent="0.35">
      <c r="B39" s="235" t="s">
        <v>69</v>
      </c>
      <c r="C39" s="257" t="s">
        <v>33</v>
      </c>
      <c r="D39" s="257" t="s">
        <v>34</v>
      </c>
      <c r="E39" s="257" t="str">
        <f>_xlfn.CONCAT("Total Cost for ",E$7)</f>
        <v>Total Cost for 10</v>
      </c>
      <c r="F39" s="257" t="str">
        <f>_xlfn.CONCAT("Total Cost for ",F$7)</f>
        <v>Total Cost for 16</v>
      </c>
      <c r="G39" s="257" t="str">
        <f>_xlfn.CONCAT("Total Cost for ",G$7)</f>
        <v>Total Cost for 0</v>
      </c>
      <c r="H39" s="257" t="str">
        <f>_xlfn.CONCAT("Total Cost for ",H$7)</f>
        <v>Total Cost for 0</v>
      </c>
      <c r="I39" s="257"/>
      <c r="J39" s="237"/>
      <c r="K39" s="257" t="str">
        <f>_xlfn.CONCAT("Total Cost for ",K$7)</f>
        <v>Total Cost for 16</v>
      </c>
      <c r="L39" s="239"/>
      <c r="M39" s="13"/>
      <c r="N39" s="186"/>
      <c r="O39" s="186"/>
    </row>
    <row r="40" spans="2:15" outlineLevel="2" x14ac:dyDescent="0.35">
      <c r="B40" s="201" t="s">
        <v>140</v>
      </c>
      <c r="C40" s="203">
        <v>0</v>
      </c>
      <c r="D40" s="203">
        <v>22</v>
      </c>
      <c r="E40" s="203">
        <f t="shared" ref="E40:H43" si="12">$C40+$D40*E$7</f>
        <v>220</v>
      </c>
      <c r="F40" s="203">
        <f t="shared" si="12"/>
        <v>352</v>
      </c>
      <c r="G40" s="203">
        <f t="shared" si="12"/>
        <v>0</v>
      </c>
      <c r="H40" s="203">
        <f t="shared" si="12"/>
        <v>0</v>
      </c>
      <c r="I40" s="203"/>
      <c r="J40" s="203"/>
      <c r="K40" s="203">
        <f t="shared" ref="K40:K43" si="13">$C40+$D40*K$7</f>
        <v>352</v>
      </c>
      <c r="L40" s="259"/>
      <c r="M40" s="13"/>
      <c r="N40" s="186"/>
      <c r="O40" s="186"/>
    </row>
    <row r="41" spans="2:15" outlineLevel="2" x14ac:dyDescent="0.35">
      <c r="B41" s="264" t="s">
        <v>141</v>
      </c>
      <c r="C41" s="203">
        <v>0</v>
      </c>
      <c r="D41" s="203">
        <v>33</v>
      </c>
      <c r="E41" s="203">
        <f t="shared" si="12"/>
        <v>330</v>
      </c>
      <c r="F41" s="203">
        <f t="shared" si="12"/>
        <v>528</v>
      </c>
      <c r="G41" s="203">
        <f t="shared" si="12"/>
        <v>0</v>
      </c>
      <c r="H41" s="203">
        <f t="shared" si="12"/>
        <v>0</v>
      </c>
      <c r="I41" s="203"/>
      <c r="J41" s="203"/>
      <c r="K41" s="203">
        <f t="shared" si="13"/>
        <v>528</v>
      </c>
      <c r="L41" s="259"/>
      <c r="M41" s="13"/>
      <c r="N41" s="186"/>
      <c r="O41" s="186"/>
    </row>
    <row r="42" spans="2:15" outlineLevel="2" x14ac:dyDescent="0.35">
      <c r="B42" s="264" t="s">
        <v>142</v>
      </c>
      <c r="C42" s="203">
        <v>0</v>
      </c>
      <c r="D42" s="203">
        <v>15</v>
      </c>
      <c r="E42" s="203">
        <f t="shared" si="12"/>
        <v>150</v>
      </c>
      <c r="F42" s="203">
        <f t="shared" si="12"/>
        <v>240</v>
      </c>
      <c r="G42" s="203">
        <f t="shared" si="12"/>
        <v>0</v>
      </c>
      <c r="H42" s="203">
        <f t="shared" si="12"/>
        <v>0</v>
      </c>
      <c r="I42" s="203"/>
      <c r="J42" s="203"/>
      <c r="K42" s="203">
        <f t="shared" si="13"/>
        <v>240</v>
      </c>
      <c r="L42" s="259"/>
      <c r="M42" s="13"/>
      <c r="N42" s="186"/>
      <c r="O42" s="186"/>
    </row>
    <row r="43" spans="2:15" ht="15" outlineLevel="2" thickBot="1" x14ac:dyDescent="0.4">
      <c r="B43" s="216" t="s">
        <v>143</v>
      </c>
      <c r="C43" s="260">
        <v>0</v>
      </c>
      <c r="D43" s="260">
        <v>40</v>
      </c>
      <c r="E43" s="260">
        <f t="shared" si="12"/>
        <v>400</v>
      </c>
      <c r="F43" s="260">
        <f t="shared" si="12"/>
        <v>640</v>
      </c>
      <c r="G43" s="260">
        <f t="shared" si="12"/>
        <v>0</v>
      </c>
      <c r="H43" s="260">
        <f t="shared" si="12"/>
        <v>0</v>
      </c>
      <c r="I43" s="260"/>
      <c r="J43" s="246"/>
      <c r="K43" s="260">
        <f t="shared" si="13"/>
        <v>640</v>
      </c>
      <c r="L43" s="250"/>
      <c r="M43" s="13"/>
      <c r="N43" s="186"/>
      <c r="O43" s="186"/>
    </row>
    <row r="44" spans="2:15" ht="15" outlineLevel="1" thickTop="1" x14ac:dyDescent="0.35">
      <c r="B44" s="223" t="s">
        <v>116</v>
      </c>
      <c r="C44" s="261">
        <f>SUM(C40:C43)</f>
        <v>0</v>
      </c>
      <c r="D44" s="261">
        <f>SUM(D40:D43)</f>
        <v>110</v>
      </c>
      <c r="E44" s="261">
        <f>SUM(E40:E43)</f>
        <v>1100</v>
      </c>
      <c r="F44" s="261">
        <f>SUM(F40:F43)</f>
        <v>1760</v>
      </c>
      <c r="G44" s="261">
        <f t="shared" ref="G44:H44" si="14">SUM(G40:G43)</f>
        <v>0</v>
      </c>
      <c r="H44" s="261">
        <f t="shared" si="14"/>
        <v>0</v>
      </c>
      <c r="I44" s="261"/>
      <c r="J44" s="261"/>
      <c r="K44" s="261">
        <f t="shared" ref="K44" si="15">SUM(K40:K43)</f>
        <v>1760</v>
      </c>
      <c r="L44" s="266"/>
      <c r="M44" s="13"/>
      <c r="N44" s="186"/>
      <c r="O44" s="186"/>
    </row>
    <row r="45" spans="2:15" outlineLevel="1" x14ac:dyDescent="0.35">
      <c r="B45" s="201"/>
      <c r="C45" s="186"/>
      <c r="D45" s="186"/>
      <c r="E45" s="186"/>
      <c r="F45" s="186"/>
      <c r="G45" s="186"/>
      <c r="H45" s="186"/>
      <c r="I45" s="186"/>
      <c r="J45" s="228"/>
      <c r="K45" s="186"/>
      <c r="L45" s="439"/>
      <c r="M45" s="13"/>
      <c r="N45" s="186"/>
      <c r="O45" s="186"/>
    </row>
    <row r="46" spans="2:15" outlineLevel="1" x14ac:dyDescent="0.35">
      <c r="B46" s="235" t="s">
        <v>72</v>
      </c>
      <c r="C46" s="257" t="s">
        <v>33</v>
      </c>
      <c r="D46" s="257" t="s">
        <v>34</v>
      </c>
      <c r="E46" s="257" t="str">
        <f>_xlfn.CONCAT("Total Cost for ",E$7)</f>
        <v>Total Cost for 10</v>
      </c>
      <c r="F46" s="257" t="str">
        <f>_xlfn.CONCAT("Total Cost for ",F$7)</f>
        <v>Total Cost for 16</v>
      </c>
      <c r="G46" s="257" t="str">
        <f>_xlfn.CONCAT("Total Cost for ",G$7)</f>
        <v>Total Cost for 0</v>
      </c>
      <c r="H46" s="257" t="str">
        <f>_xlfn.CONCAT("Total Cost for ",H$7)</f>
        <v>Total Cost for 0</v>
      </c>
      <c r="I46" s="257"/>
      <c r="J46" s="237"/>
      <c r="K46" s="257" t="str">
        <f>_xlfn.CONCAT("Total Cost for ",K$7)</f>
        <v>Total Cost for 16</v>
      </c>
      <c r="L46" s="239"/>
      <c r="M46" s="13"/>
      <c r="N46" s="186"/>
      <c r="O46" s="186"/>
    </row>
    <row r="47" spans="2:15" outlineLevel="2" x14ac:dyDescent="0.35">
      <c r="B47" s="201" t="s">
        <v>73</v>
      </c>
      <c r="C47" s="203">
        <v>1500</v>
      </c>
      <c r="D47" s="203">
        <v>0</v>
      </c>
      <c r="E47" s="203">
        <f t="shared" ref="E47:H49" si="16">$C47+$D47*E$7</f>
        <v>1500</v>
      </c>
      <c r="F47" s="203">
        <f t="shared" si="16"/>
        <v>1500</v>
      </c>
      <c r="G47" s="203">
        <f t="shared" si="16"/>
        <v>1500</v>
      </c>
      <c r="H47" s="203">
        <f t="shared" si="16"/>
        <v>1500</v>
      </c>
      <c r="I47" s="203"/>
      <c r="J47" s="203"/>
      <c r="K47" s="203">
        <f t="shared" ref="K47:K49" si="17">$C47+$D47*K$7</f>
        <v>1500</v>
      </c>
      <c r="L47" s="259"/>
      <c r="M47" s="13"/>
      <c r="N47" s="186"/>
      <c r="O47" s="186"/>
    </row>
    <row r="48" spans="2:15" outlineLevel="2" x14ac:dyDescent="0.35">
      <c r="B48" s="264" t="s">
        <v>74</v>
      </c>
      <c r="C48" s="203">
        <v>0</v>
      </c>
      <c r="D48" s="203">
        <v>0</v>
      </c>
      <c r="E48" s="203">
        <f t="shared" si="16"/>
        <v>0</v>
      </c>
      <c r="F48" s="203">
        <f t="shared" si="16"/>
        <v>0</v>
      </c>
      <c r="G48" s="203">
        <f t="shared" si="16"/>
        <v>0</v>
      </c>
      <c r="H48" s="203">
        <f t="shared" si="16"/>
        <v>0</v>
      </c>
      <c r="I48" s="203"/>
      <c r="J48" s="203"/>
      <c r="K48" s="203">
        <f t="shared" si="17"/>
        <v>0</v>
      </c>
      <c r="L48" s="259"/>
      <c r="M48" s="13"/>
      <c r="N48" s="186"/>
      <c r="O48" s="186"/>
    </row>
    <row r="49" spans="1:17" ht="15" outlineLevel="2" thickBot="1" x14ac:dyDescent="0.4">
      <c r="B49" s="341" t="s">
        <v>75</v>
      </c>
      <c r="C49" s="260">
        <v>0</v>
      </c>
      <c r="D49" s="260">
        <v>13</v>
      </c>
      <c r="E49" s="260">
        <f t="shared" si="16"/>
        <v>130</v>
      </c>
      <c r="F49" s="260">
        <f t="shared" si="16"/>
        <v>208</v>
      </c>
      <c r="G49" s="260">
        <f t="shared" si="16"/>
        <v>0</v>
      </c>
      <c r="H49" s="260">
        <f t="shared" si="16"/>
        <v>0</v>
      </c>
      <c r="I49" s="260"/>
      <c r="J49" s="260"/>
      <c r="K49" s="260">
        <f t="shared" si="17"/>
        <v>208</v>
      </c>
      <c r="L49" s="268"/>
      <c r="M49" s="13"/>
      <c r="N49" s="186"/>
      <c r="O49" s="186"/>
    </row>
    <row r="50" spans="1:17" ht="15" outlineLevel="1" thickTop="1" x14ac:dyDescent="0.35">
      <c r="B50" s="223" t="s">
        <v>76</v>
      </c>
      <c r="C50" s="261">
        <f t="shared" ref="C50:H50" si="18">SUM(C47:C49)</f>
        <v>1500</v>
      </c>
      <c r="D50" s="261">
        <f t="shared" si="18"/>
        <v>13</v>
      </c>
      <c r="E50" s="261">
        <f t="shared" si="18"/>
        <v>1630</v>
      </c>
      <c r="F50" s="261">
        <f t="shared" si="18"/>
        <v>1708</v>
      </c>
      <c r="G50" s="261">
        <f t="shared" si="18"/>
        <v>1500</v>
      </c>
      <c r="H50" s="261">
        <f t="shared" si="18"/>
        <v>1500</v>
      </c>
      <c r="I50" s="261"/>
      <c r="J50" s="261"/>
      <c r="K50" s="261">
        <f t="shared" ref="K50" si="19">SUM(K47:K49)</f>
        <v>1708</v>
      </c>
      <c r="L50" s="266"/>
      <c r="M50" s="13"/>
      <c r="N50" s="186"/>
      <c r="O50" s="186"/>
    </row>
    <row r="51" spans="1:17" outlineLevel="1" x14ac:dyDescent="0.35">
      <c r="B51" s="223"/>
      <c r="C51" s="261"/>
      <c r="D51" s="261"/>
      <c r="E51" s="261"/>
      <c r="F51" s="261"/>
      <c r="G51" s="261"/>
      <c r="H51" s="261"/>
      <c r="I51" s="261"/>
      <c r="J51" s="261"/>
      <c r="K51" s="261"/>
      <c r="L51" s="266"/>
      <c r="M51" s="13"/>
      <c r="N51" s="186"/>
      <c r="O51" s="186"/>
    </row>
    <row r="52" spans="1:17" outlineLevel="1" x14ac:dyDescent="0.35">
      <c r="B52" s="235" t="s">
        <v>77</v>
      </c>
      <c r="C52" s="257" t="s">
        <v>33</v>
      </c>
      <c r="D52" s="257" t="s">
        <v>34</v>
      </c>
      <c r="E52" s="257" t="str">
        <f>_xlfn.CONCAT("Total Cost for ",E$7)</f>
        <v>Total Cost for 10</v>
      </c>
      <c r="F52" s="257" t="str">
        <f>_xlfn.CONCAT("Total Cost for ",F$7)</f>
        <v>Total Cost for 16</v>
      </c>
      <c r="G52" s="257" t="str">
        <f>_xlfn.CONCAT("Total Cost for ",G$7)</f>
        <v>Total Cost for 0</v>
      </c>
      <c r="H52" s="257" t="str">
        <f>_xlfn.CONCAT("Total Cost for ",H$7)</f>
        <v>Total Cost for 0</v>
      </c>
      <c r="I52" s="257"/>
      <c r="J52" s="237"/>
      <c r="K52" s="257" t="str">
        <f>_xlfn.CONCAT("Total Cost for ",K$7)</f>
        <v>Total Cost for 16</v>
      </c>
      <c r="L52" s="239"/>
      <c r="M52" s="13"/>
      <c r="N52" s="186"/>
      <c r="O52" s="186"/>
    </row>
    <row r="53" spans="1:17" outlineLevel="2" x14ac:dyDescent="0.35">
      <c r="B53" s="264" t="s">
        <v>144</v>
      </c>
      <c r="C53" s="203">
        <v>0</v>
      </c>
      <c r="D53" s="203">
        <v>14</v>
      </c>
      <c r="E53" s="203">
        <f>$C53+$D53*E$7</f>
        <v>140</v>
      </c>
      <c r="F53" s="203">
        <f>$C53+$D53*F$7</f>
        <v>224</v>
      </c>
      <c r="G53" s="203">
        <f>$C53+$D53*G$7</f>
        <v>0</v>
      </c>
      <c r="H53" s="203">
        <f>$C53+$D53*H$7</f>
        <v>0</v>
      </c>
      <c r="I53" s="203"/>
      <c r="J53" s="203"/>
      <c r="K53" s="203">
        <f>$C53+$D53*K$7</f>
        <v>224</v>
      </c>
      <c r="L53" s="259"/>
      <c r="M53" s="13"/>
      <c r="N53" s="186"/>
      <c r="O53" s="186"/>
    </row>
    <row r="54" spans="1:17" outlineLevel="2" x14ac:dyDescent="0.35">
      <c r="B54" s="264" t="s">
        <v>145</v>
      </c>
      <c r="C54" s="203">
        <v>500</v>
      </c>
      <c r="D54" s="203">
        <v>0</v>
      </c>
      <c r="E54" s="203">
        <v>0</v>
      </c>
      <c r="F54" s="203">
        <v>0</v>
      </c>
      <c r="G54" s="203">
        <v>0</v>
      </c>
      <c r="H54" s="203">
        <v>0</v>
      </c>
      <c r="I54" s="203"/>
      <c r="J54" s="203"/>
      <c r="K54" s="203">
        <v>0</v>
      </c>
      <c r="L54" s="259"/>
      <c r="M54" s="13"/>
      <c r="N54" s="186"/>
      <c r="O54" s="186"/>
    </row>
    <row r="55" spans="1:17" outlineLevel="2" x14ac:dyDescent="0.35">
      <c r="B55" s="264" t="s">
        <v>80</v>
      </c>
      <c r="C55" s="203">
        <v>0</v>
      </c>
      <c r="D55" s="203">
        <v>0</v>
      </c>
      <c r="E55" s="203">
        <f t="shared" ref="E55:H57" si="20">$C55+$D55*E$7</f>
        <v>0</v>
      </c>
      <c r="F55" s="203">
        <f t="shared" si="20"/>
        <v>0</v>
      </c>
      <c r="G55" s="203">
        <f t="shared" si="20"/>
        <v>0</v>
      </c>
      <c r="H55" s="203">
        <f t="shared" si="20"/>
        <v>0</v>
      </c>
      <c r="I55" s="203"/>
      <c r="J55" s="203"/>
      <c r="K55" s="203">
        <f t="shared" ref="K55:K57" si="21">$C55+$D55*K$7</f>
        <v>0</v>
      </c>
      <c r="L55" s="259"/>
      <c r="M55" s="13"/>
      <c r="N55" s="186"/>
      <c r="O55" s="186"/>
    </row>
    <row r="56" spans="1:17" outlineLevel="2" x14ac:dyDescent="0.35">
      <c r="B56" s="264" t="s">
        <v>81</v>
      </c>
      <c r="C56" s="203">
        <v>1500</v>
      </c>
      <c r="D56" s="203">
        <v>0</v>
      </c>
      <c r="E56" s="203">
        <f t="shared" si="20"/>
        <v>1500</v>
      </c>
      <c r="F56" s="203">
        <f t="shared" si="20"/>
        <v>1500</v>
      </c>
      <c r="G56" s="203">
        <f t="shared" si="20"/>
        <v>1500</v>
      </c>
      <c r="H56" s="203">
        <f t="shared" si="20"/>
        <v>1500</v>
      </c>
      <c r="I56" s="203"/>
      <c r="J56" s="203"/>
      <c r="K56" s="203">
        <f t="shared" si="21"/>
        <v>1500</v>
      </c>
      <c r="L56" s="259"/>
      <c r="M56" s="13"/>
      <c r="N56" s="186"/>
      <c r="O56" s="186"/>
    </row>
    <row r="57" spans="1:17" ht="15" outlineLevel="2" thickBot="1" x14ac:dyDescent="0.4">
      <c r="B57" s="216" t="s">
        <v>82</v>
      </c>
      <c r="C57" s="260">
        <v>0</v>
      </c>
      <c r="D57" s="260">
        <v>0</v>
      </c>
      <c r="E57" s="260">
        <f t="shared" si="20"/>
        <v>0</v>
      </c>
      <c r="F57" s="260">
        <f t="shared" si="20"/>
        <v>0</v>
      </c>
      <c r="G57" s="260">
        <f t="shared" si="20"/>
        <v>0</v>
      </c>
      <c r="H57" s="260">
        <f t="shared" si="20"/>
        <v>0</v>
      </c>
      <c r="I57" s="260"/>
      <c r="J57" s="246"/>
      <c r="K57" s="260">
        <f t="shared" si="21"/>
        <v>0</v>
      </c>
      <c r="L57" s="250"/>
      <c r="M57" s="13"/>
      <c r="N57" s="186"/>
      <c r="O57" s="186"/>
    </row>
    <row r="58" spans="1:17" ht="15.5" outlineLevel="1" thickTop="1" thickBot="1" x14ac:dyDescent="0.4">
      <c r="A58" s="213"/>
      <c r="B58" s="440" t="s">
        <v>83</v>
      </c>
      <c r="C58" s="269">
        <f t="shared" ref="C58:H58" si="22">SUM(C53:C57)</f>
        <v>2000</v>
      </c>
      <c r="D58" s="269">
        <f t="shared" si="22"/>
        <v>14</v>
      </c>
      <c r="E58" s="269">
        <f t="shared" si="22"/>
        <v>1640</v>
      </c>
      <c r="F58" s="269">
        <f t="shared" si="22"/>
        <v>1724</v>
      </c>
      <c r="G58" s="269">
        <f t="shared" si="22"/>
        <v>1500</v>
      </c>
      <c r="H58" s="269">
        <f t="shared" si="22"/>
        <v>1500</v>
      </c>
      <c r="I58" s="269"/>
      <c r="J58" s="269"/>
      <c r="K58" s="269">
        <f t="shared" ref="K58" si="23">SUM(K53:K57)</f>
        <v>1724</v>
      </c>
      <c r="L58" s="441"/>
      <c r="M58" s="13"/>
      <c r="N58" s="186"/>
      <c r="O58" s="186"/>
    </row>
    <row r="59" spans="1:17" ht="15" thickTop="1" x14ac:dyDescent="0.35">
      <c r="A59" s="212" t="s">
        <v>84</v>
      </c>
      <c r="B59" s="223"/>
      <c r="C59" s="261"/>
      <c r="D59" s="261"/>
      <c r="E59" s="261">
        <f>$J$19+$E$23+E31+E37+E44+E50+E58</f>
        <v>5412</v>
      </c>
      <c r="F59" s="261">
        <f>$J$19+$E$23+F31+F37+F44+F50+F58</f>
        <v>6859.2</v>
      </c>
      <c r="G59" s="261">
        <f>$J$19+$E$23+G31+G37+G44+G50+G58</f>
        <v>3000</v>
      </c>
      <c r="H59" s="261">
        <f>$J$19+$E$23+H31+H37+H44+H50+H58</f>
        <v>3000</v>
      </c>
      <c r="I59" s="261"/>
      <c r="J59" s="261"/>
      <c r="K59" s="261">
        <f>$J$19+$E$23+K31+K37+K44+K50+K58</f>
        <v>6859.2</v>
      </c>
      <c r="L59" s="266"/>
      <c r="M59" s="13"/>
      <c r="N59" s="186"/>
      <c r="O59" s="186"/>
      <c r="P59" s="186"/>
      <c r="Q59" s="186"/>
    </row>
    <row r="60" spans="1:17" x14ac:dyDescent="0.35">
      <c r="A60" s="212"/>
      <c r="B60" s="223"/>
      <c r="C60" s="261"/>
      <c r="D60" s="261"/>
      <c r="E60" s="261"/>
      <c r="F60" s="261"/>
      <c r="G60" s="261"/>
      <c r="H60" s="261"/>
      <c r="I60" s="261"/>
      <c r="J60" s="261"/>
      <c r="K60" s="261"/>
      <c r="L60" s="266"/>
      <c r="M60" s="13"/>
      <c r="N60" s="186"/>
      <c r="O60" s="186"/>
      <c r="P60" s="186"/>
      <c r="Q60" s="186"/>
    </row>
    <row r="61" spans="1:17" x14ac:dyDescent="0.35">
      <c r="A61" s="337" t="s">
        <v>146</v>
      </c>
      <c r="B61" s="257"/>
      <c r="C61" s="212" t="s">
        <v>33</v>
      </c>
      <c r="D61" s="212" t="s">
        <v>34</v>
      </c>
      <c r="E61" s="212" t="str">
        <f>_xlfn.CONCAT("Total Cost for ",E$7)</f>
        <v>Total Cost for 10</v>
      </c>
      <c r="F61" s="212" t="str">
        <f>_xlfn.CONCAT("Total Cost for ",F$7)</f>
        <v>Total Cost for 16</v>
      </c>
      <c r="G61" s="212" t="str">
        <f>_xlfn.CONCAT("Total Cost for ",G$7)</f>
        <v>Total Cost for 0</v>
      </c>
      <c r="H61" s="212" t="str">
        <f>_xlfn.CONCAT("Total Cost for ",H$7)</f>
        <v>Total Cost for 0</v>
      </c>
      <c r="I61" s="257"/>
      <c r="J61" s="257"/>
      <c r="K61" s="212" t="str">
        <f>_xlfn.CONCAT("Total Cost for ",K$7)</f>
        <v>Total Cost for 16</v>
      </c>
      <c r="L61" s="273"/>
      <c r="M61" s="13"/>
      <c r="N61" s="186"/>
      <c r="O61" s="186"/>
    </row>
    <row r="62" spans="1:17" ht="15" outlineLevel="2" thickBot="1" x14ac:dyDescent="0.4">
      <c r="A62" s="212"/>
      <c r="B62" s="341" t="s">
        <v>147</v>
      </c>
      <c r="C62" s="442">
        <v>4000</v>
      </c>
      <c r="D62" s="443">
        <v>14</v>
      </c>
      <c r="E62" s="443">
        <f>$C62+$D62*E$7</f>
        <v>4140</v>
      </c>
      <c r="F62" s="443">
        <f>$C62+$D62*F$7</f>
        <v>4224</v>
      </c>
      <c r="G62" s="443">
        <f>$C62+$D62*G$7</f>
        <v>4000</v>
      </c>
      <c r="H62" s="443">
        <f>$C62+$D62*H$7</f>
        <v>4000</v>
      </c>
      <c r="I62" s="341"/>
      <c r="J62" s="260"/>
      <c r="K62" s="443">
        <f>$C62+$D62*K$7</f>
        <v>4224</v>
      </c>
      <c r="L62" s="268"/>
      <c r="M62" s="228"/>
      <c r="N62" s="228"/>
      <c r="O62" s="186"/>
      <c r="P62" s="186"/>
      <c r="Q62" s="234"/>
    </row>
    <row r="63" spans="1:17" ht="15.5" outlineLevel="2" thickTop="1" thickBot="1" x14ac:dyDescent="0.4">
      <c r="B63" s="440" t="s">
        <v>108</v>
      </c>
      <c r="C63" s="444">
        <f t="shared" ref="C63:H63" si="24">SUM(C62:C62)</f>
        <v>4000</v>
      </c>
      <c r="D63" s="444">
        <f t="shared" si="24"/>
        <v>14</v>
      </c>
      <c r="E63" s="444">
        <f t="shared" si="24"/>
        <v>4140</v>
      </c>
      <c r="F63" s="444">
        <f t="shared" si="24"/>
        <v>4224</v>
      </c>
      <c r="G63" s="444">
        <f t="shared" si="24"/>
        <v>4000</v>
      </c>
      <c r="H63" s="444">
        <f t="shared" si="24"/>
        <v>4000</v>
      </c>
      <c r="I63" s="260"/>
      <c r="J63" s="246"/>
      <c r="K63" s="444">
        <f t="shared" ref="K63" si="25">SUM(K62:K62)</f>
        <v>4224</v>
      </c>
      <c r="L63" s="250"/>
      <c r="M63" s="13"/>
      <c r="N63" s="186"/>
      <c r="O63" s="186"/>
      <c r="P63" s="186"/>
      <c r="Q63" s="186"/>
    </row>
    <row r="64" spans="1:17" ht="15" thickTop="1" x14ac:dyDescent="0.35">
      <c r="A64" s="291" t="s">
        <v>109</v>
      </c>
      <c r="B64" s="292"/>
      <c r="C64" s="293">
        <f>SUM(C63)</f>
        <v>4000</v>
      </c>
      <c r="D64" s="293">
        <f>SUM(D63)</f>
        <v>14</v>
      </c>
      <c r="E64" s="293">
        <f>E59-E63</f>
        <v>1272</v>
      </c>
      <c r="F64" s="293">
        <f>F59-F63</f>
        <v>2635.2</v>
      </c>
      <c r="G64" s="293">
        <f>G59-G63</f>
        <v>-1000</v>
      </c>
      <c r="H64" s="293">
        <f>H59-H63</f>
        <v>-1000</v>
      </c>
      <c r="I64" s="292"/>
      <c r="J64" s="292"/>
      <c r="K64" s="293">
        <f>K59-K63</f>
        <v>2635.2</v>
      </c>
      <c r="L64" s="295"/>
      <c r="M64" s="13"/>
      <c r="N64" s="186"/>
      <c r="O64" s="186"/>
    </row>
    <row r="65" spans="1:17" x14ac:dyDescent="0.35">
      <c r="A65" s="212"/>
      <c r="B65" s="223"/>
      <c r="C65" s="261"/>
      <c r="D65" s="261"/>
      <c r="E65" s="261"/>
      <c r="F65" s="261"/>
      <c r="G65" s="261"/>
      <c r="H65" s="261"/>
      <c r="I65" s="261"/>
      <c r="J65" s="261"/>
      <c r="K65" s="261"/>
      <c r="L65" s="266"/>
      <c r="M65" s="13"/>
      <c r="N65" s="186"/>
      <c r="O65" s="186"/>
      <c r="P65" s="186"/>
      <c r="Q65" s="186"/>
    </row>
    <row r="66" spans="1:17" ht="15" thickBot="1" x14ac:dyDescent="0.4">
      <c r="A66" s="184" t="s">
        <v>85</v>
      </c>
      <c r="B66" s="231"/>
      <c r="C66" s="231"/>
      <c r="D66" s="231"/>
      <c r="E66" s="231"/>
      <c r="F66" s="231"/>
      <c r="G66" s="231"/>
      <c r="H66" s="231"/>
      <c r="I66" s="231"/>
      <c r="J66" s="231"/>
      <c r="K66" s="231"/>
      <c r="L66" s="271"/>
      <c r="M66" s="13"/>
      <c r="N66" s="186"/>
      <c r="O66" s="186"/>
    </row>
    <row r="67" spans="1:17" outlineLevel="1" x14ac:dyDescent="0.35">
      <c r="A67" s="212"/>
      <c r="B67" s="235" t="s">
        <v>86</v>
      </c>
      <c r="C67" s="257" t="s">
        <v>33</v>
      </c>
      <c r="D67" s="257" t="s">
        <v>34</v>
      </c>
      <c r="E67" s="257" t="str">
        <f>_xlfn.CONCAT("Total Cost for ",E$7)</f>
        <v>Total Cost for 10</v>
      </c>
      <c r="F67" s="257" t="str">
        <f>_xlfn.CONCAT("Total Cost for ",F$7)</f>
        <v>Total Cost for 16</v>
      </c>
      <c r="G67" s="257" t="str">
        <f>_xlfn.CONCAT("Total Cost for ",G$7)</f>
        <v>Total Cost for 0</v>
      </c>
      <c r="H67" s="257" t="str">
        <f>_xlfn.CONCAT("Total Cost for ",H$7)</f>
        <v>Total Cost for 0</v>
      </c>
      <c r="I67" s="257"/>
      <c r="J67" s="257"/>
      <c r="K67" s="257" t="str">
        <f>_xlfn.CONCAT("Total Cost for ",K$7)</f>
        <v>Total Cost for 16</v>
      </c>
      <c r="L67" s="273"/>
      <c r="M67" s="13"/>
      <c r="N67" s="186"/>
      <c r="O67" s="186"/>
    </row>
    <row r="68" spans="1:17" ht="15" outlineLevel="2" thickBot="1" x14ac:dyDescent="0.4">
      <c r="A68" s="212"/>
      <c r="B68" s="216" t="s">
        <v>7</v>
      </c>
      <c r="C68" s="274">
        <v>0</v>
      </c>
      <c r="D68" s="275">
        <v>0.35</v>
      </c>
      <c r="E68" s="260">
        <f>$D68*E$9</f>
        <v>8750</v>
      </c>
      <c r="F68" s="260">
        <f>$D68*F$9</f>
        <v>14000</v>
      </c>
      <c r="G68" s="260">
        <f>$D68*G$9</f>
        <v>0</v>
      </c>
      <c r="H68" s="260">
        <f>$D68*H$9</f>
        <v>0</v>
      </c>
      <c r="I68" s="276"/>
      <c r="J68" s="276"/>
      <c r="K68" s="260">
        <f>$D68*K$9</f>
        <v>14000</v>
      </c>
      <c r="L68" s="278"/>
      <c r="M68" s="13"/>
      <c r="N68" s="186"/>
      <c r="O68" s="186"/>
    </row>
    <row r="69" spans="1:17" ht="15" outlineLevel="1" thickTop="1" x14ac:dyDescent="0.35">
      <c r="A69" s="212"/>
      <c r="B69" s="223" t="s">
        <v>87</v>
      </c>
      <c r="C69" s="261">
        <f>SUM(C68)</f>
        <v>0</v>
      </c>
      <c r="D69" s="279">
        <f>SUM(D68)</f>
        <v>0.35</v>
      </c>
      <c r="E69" s="261">
        <f>SUM(E68)</f>
        <v>8750</v>
      </c>
      <c r="F69" s="261">
        <f t="shared" ref="F69:H69" si="26">SUM(F68)</f>
        <v>14000</v>
      </c>
      <c r="G69" s="261">
        <f t="shared" si="26"/>
        <v>0</v>
      </c>
      <c r="H69" s="261">
        <f t="shared" si="26"/>
        <v>0</v>
      </c>
      <c r="I69" s="228"/>
      <c r="J69" s="228"/>
      <c r="K69" s="261">
        <f t="shared" ref="K69" si="27">SUM(K68)</f>
        <v>14000</v>
      </c>
      <c r="L69" s="281"/>
      <c r="M69" s="13"/>
      <c r="N69" s="186"/>
      <c r="O69" s="186"/>
    </row>
    <row r="70" spans="1:17" outlineLevel="1" x14ac:dyDescent="0.35">
      <c r="A70" s="212"/>
      <c r="B70" s="228"/>
      <c r="C70" s="228"/>
      <c r="D70" s="228"/>
      <c r="E70" s="228"/>
      <c r="F70" s="228"/>
      <c r="G70" s="228"/>
      <c r="H70" s="228"/>
      <c r="I70" s="228"/>
      <c r="J70" s="228"/>
      <c r="K70" s="228"/>
      <c r="L70" s="281"/>
      <c r="M70" s="13"/>
      <c r="N70" s="186"/>
      <c r="O70" s="186"/>
    </row>
    <row r="71" spans="1:17" outlineLevel="1" x14ac:dyDescent="0.35">
      <c r="A71" s="212"/>
      <c r="B71" s="257" t="s">
        <v>88</v>
      </c>
      <c r="C71" s="257" t="s">
        <v>33</v>
      </c>
      <c r="D71" s="257" t="s">
        <v>34</v>
      </c>
      <c r="E71" s="257" t="str">
        <f>_xlfn.CONCAT("Total Cost for ",E$7)</f>
        <v>Total Cost for 10</v>
      </c>
      <c r="F71" s="257" t="str">
        <f>_xlfn.CONCAT("Total Cost for ",F$7)</f>
        <v>Total Cost for 16</v>
      </c>
      <c r="G71" s="257" t="str">
        <f>_xlfn.CONCAT("Total Cost for ",G$7)</f>
        <v>Total Cost for 0</v>
      </c>
      <c r="H71" s="257" t="str">
        <f>_xlfn.CONCAT("Total Cost for ",H$7)</f>
        <v>Total Cost for 0</v>
      </c>
      <c r="I71" s="257"/>
      <c r="J71" s="257"/>
      <c r="K71" s="257" t="str">
        <f>_xlfn.CONCAT("Total Cost for ",K$7)</f>
        <v>Total Cost for 16</v>
      </c>
      <c r="L71" s="273"/>
      <c r="M71" s="13"/>
      <c r="N71" s="186"/>
      <c r="O71" s="186"/>
    </row>
    <row r="72" spans="1:17" outlineLevel="2" x14ac:dyDescent="0.35">
      <c r="A72" s="212"/>
      <c r="B72" s="264" t="s">
        <v>89</v>
      </c>
      <c r="C72" s="282">
        <v>0</v>
      </c>
      <c r="D72" s="283">
        <v>0.34100000000000003</v>
      </c>
      <c r="E72" s="203">
        <f>$D72*(E$64+E$68)</f>
        <v>3417.5020000000004</v>
      </c>
      <c r="F72" s="203">
        <f>$D72*(F$64+F$68)</f>
        <v>5672.6032000000005</v>
      </c>
      <c r="G72" s="203">
        <f>$D72*(G$64+G$68)</f>
        <v>-341</v>
      </c>
      <c r="H72" s="203">
        <f>$D72*(H$64+H$68)</f>
        <v>-341</v>
      </c>
      <c r="I72" s="203"/>
      <c r="J72" s="203"/>
      <c r="K72" s="203">
        <f>$D72*(K$64+K$68)</f>
        <v>5672.6032000000005</v>
      </c>
      <c r="L72" s="259"/>
      <c r="M72" s="228"/>
      <c r="N72" s="228"/>
      <c r="O72" s="186"/>
      <c r="P72" s="186"/>
      <c r="Q72" s="234"/>
    </row>
    <row r="73" spans="1:17" ht="15" outlineLevel="2" thickBot="1" x14ac:dyDescent="0.4">
      <c r="B73" s="216" t="s">
        <v>90</v>
      </c>
      <c r="C73" s="274">
        <v>0</v>
      </c>
      <c r="D73" s="275">
        <v>4.5400000000000003E-2</v>
      </c>
      <c r="E73" s="260">
        <f>$D73*(E$64+E$69+E72)</f>
        <v>610.15339080000001</v>
      </c>
      <c r="F73" s="260">
        <f>$D73*(F$64+F$69+F72)</f>
        <v>1012.7742652800001</v>
      </c>
      <c r="G73" s="260">
        <f>$D73*(G$64+G$69+G72)</f>
        <v>-60.881400000000006</v>
      </c>
      <c r="H73" s="260">
        <f>$D73*(H$64+H$69+H72)</f>
        <v>-60.881400000000006</v>
      </c>
      <c r="I73" s="260"/>
      <c r="J73" s="246"/>
      <c r="K73" s="260">
        <f>$D73*(K$64+K$69+K72)</f>
        <v>1012.7742652800001</v>
      </c>
      <c r="L73" s="250"/>
      <c r="M73" s="13"/>
      <c r="N73" s="186"/>
      <c r="O73" s="186"/>
      <c r="P73" s="186"/>
      <c r="Q73" s="186"/>
    </row>
    <row r="74" spans="1:17" s="212" customFormat="1" ht="15.5" outlineLevel="1" thickTop="1" thickBot="1" x14ac:dyDescent="0.4">
      <c r="A74" s="284"/>
      <c r="B74" s="276" t="s">
        <v>91</v>
      </c>
      <c r="C74" s="269">
        <f>SUM(C72:C73)</f>
        <v>0</v>
      </c>
      <c r="D74" s="285">
        <f>SUM(D72:D73)</f>
        <v>0.38640000000000002</v>
      </c>
      <c r="E74" s="286">
        <f t="shared" ref="E74:H74" si="28">SUM(E72:E73)</f>
        <v>4027.6553908000005</v>
      </c>
      <c r="F74" s="286">
        <f t="shared" si="28"/>
        <v>6685.3774652800003</v>
      </c>
      <c r="G74" s="286">
        <f t="shared" si="28"/>
        <v>-401.88139999999999</v>
      </c>
      <c r="H74" s="286">
        <f t="shared" si="28"/>
        <v>-401.88139999999999</v>
      </c>
      <c r="I74" s="287"/>
      <c r="J74" s="287"/>
      <c r="K74" s="286">
        <f t="shared" ref="K74" si="29">SUM(K72:K73)</f>
        <v>6685.3774652800003</v>
      </c>
      <c r="L74" s="289"/>
      <c r="M74" s="290"/>
      <c r="N74" s="228"/>
      <c r="O74" s="228"/>
      <c r="P74" s="228"/>
      <c r="Q74" s="228"/>
    </row>
    <row r="75" spans="1:17" ht="15" thickTop="1" x14ac:dyDescent="0.35">
      <c r="A75" s="291" t="s">
        <v>92</v>
      </c>
      <c r="B75" s="292"/>
      <c r="C75" s="292"/>
      <c r="D75" s="292"/>
      <c r="E75" s="293">
        <f>E$74+E$69</f>
        <v>12777.655390800001</v>
      </c>
      <c r="F75" s="293">
        <f>F$74+F$69</f>
        <v>20685.377465279998</v>
      </c>
      <c r="G75" s="293">
        <f>G$74+G$69</f>
        <v>-401.88139999999999</v>
      </c>
      <c r="H75" s="293">
        <f>H$74+H$69</f>
        <v>-401.88139999999999</v>
      </c>
      <c r="I75" s="292"/>
      <c r="J75" s="292"/>
      <c r="K75" s="293">
        <f>K$74+K$69</f>
        <v>20685.377465279998</v>
      </c>
      <c r="L75" s="295"/>
      <c r="M75" s="13"/>
      <c r="N75" s="186"/>
      <c r="O75" s="186"/>
    </row>
    <row r="76" spans="1:17" x14ac:dyDescent="0.35">
      <c r="B76" s="186"/>
      <c r="C76" s="296"/>
      <c r="D76" s="296"/>
      <c r="E76" s="296"/>
      <c r="F76" s="13"/>
      <c r="G76" s="13"/>
      <c r="H76" s="13"/>
      <c r="I76" s="13"/>
      <c r="J76" s="94"/>
      <c r="K76" s="13"/>
      <c r="L76" s="298"/>
      <c r="M76" s="299"/>
      <c r="N76" s="186"/>
      <c r="O76" s="186"/>
      <c r="P76" s="186"/>
      <c r="Q76" s="186"/>
    </row>
    <row r="77" spans="1:17" ht="15" thickBot="1" x14ac:dyDescent="0.4">
      <c r="A77" s="184" t="s">
        <v>93</v>
      </c>
      <c r="B77" s="231"/>
      <c r="C77" s="231"/>
      <c r="D77" s="231"/>
      <c r="E77" s="231" t="str">
        <f>_xlfn.CONCAT("Total Profit for ",E$7)</f>
        <v>Total Profit for 10</v>
      </c>
      <c r="F77" s="231" t="str">
        <f>_xlfn.CONCAT("Total Profit for ",F$7)</f>
        <v>Total Profit for 16</v>
      </c>
      <c r="G77" s="231" t="str">
        <f>_xlfn.CONCAT("Total Profit for ",G$7)</f>
        <v>Total Profit for 0</v>
      </c>
      <c r="H77" s="231" t="str">
        <f>_xlfn.CONCAT("Total Profit for ",H$7)</f>
        <v>Total Profit for 0</v>
      </c>
      <c r="I77" s="231"/>
      <c r="J77" s="231"/>
      <c r="K77" s="231" t="str">
        <f>_xlfn.CONCAT("Total Profit for ",K$7)</f>
        <v>Total Profit for 16</v>
      </c>
      <c r="L77" s="271"/>
      <c r="M77" s="13"/>
      <c r="N77" s="186"/>
      <c r="O77" s="186"/>
    </row>
    <row r="78" spans="1:17" outlineLevel="1" x14ac:dyDescent="0.35">
      <c r="A78" s="300"/>
      <c r="B78" s="301" t="s">
        <v>94</v>
      </c>
      <c r="C78" s="302"/>
      <c r="D78" s="303"/>
      <c r="E78" s="332">
        <f>E$9-E$59</f>
        <v>19588</v>
      </c>
      <c r="F78" s="332">
        <f>F$9-F$59</f>
        <v>33140.800000000003</v>
      </c>
      <c r="G78" s="332">
        <f>G$9-G$59</f>
        <v>-3000</v>
      </c>
      <c r="H78" s="332">
        <f>H$9-H$59</f>
        <v>-3000</v>
      </c>
      <c r="I78" s="304"/>
      <c r="J78" s="304"/>
      <c r="K78" s="332">
        <f>K$9-K$59</f>
        <v>33140.800000000003</v>
      </c>
      <c r="L78" s="306"/>
      <c r="M78" s="299"/>
      <c r="N78" s="186"/>
      <c r="O78" s="186"/>
      <c r="P78" s="186"/>
      <c r="Q78" s="186"/>
    </row>
    <row r="79" spans="1:17" ht="15" outlineLevel="1" thickBot="1" x14ac:dyDescent="0.4">
      <c r="A79" s="213"/>
      <c r="B79" s="245" t="s">
        <v>95</v>
      </c>
      <c r="C79" s="307"/>
      <c r="D79" s="307"/>
      <c r="E79" s="331">
        <f>E$9-E$59-E$69</f>
        <v>10838</v>
      </c>
      <c r="F79" s="331">
        <f>F$9-F$59-F$69</f>
        <v>19140.800000000003</v>
      </c>
      <c r="G79" s="331">
        <f>G$9-G$59-G$69</f>
        <v>-3000</v>
      </c>
      <c r="H79" s="331">
        <f>H$9-H$59-H$69</f>
        <v>-3000</v>
      </c>
      <c r="I79" s="308"/>
      <c r="J79" s="308"/>
      <c r="K79" s="331">
        <f>K$9-K$59-K$69</f>
        <v>19140.800000000003</v>
      </c>
      <c r="L79" s="310"/>
      <c r="M79" s="13"/>
      <c r="N79" s="186"/>
      <c r="O79" s="186"/>
      <c r="P79" s="186"/>
      <c r="Q79" s="186"/>
    </row>
    <row r="80" spans="1:17" s="212" customFormat="1" ht="15" thickTop="1" x14ac:dyDescent="0.35">
      <c r="A80" s="212" t="s">
        <v>11</v>
      </c>
      <c r="B80" s="228"/>
      <c r="C80" s="311"/>
      <c r="D80" s="311"/>
      <c r="E80" s="330">
        <f>E79-E74</f>
        <v>6810.3446091999995</v>
      </c>
      <c r="F80" s="330">
        <f t="shared" ref="F80" si="30">F78-F75</f>
        <v>12455.422534720004</v>
      </c>
      <c r="G80" s="330">
        <f>G78-G75</f>
        <v>-2598.1185999999998</v>
      </c>
      <c r="H80" s="330">
        <f t="shared" ref="H80" si="31">H78-H75</f>
        <v>-2598.1185999999998</v>
      </c>
      <c r="I80" s="313"/>
      <c r="J80" s="313"/>
      <c r="K80" s="330">
        <f t="shared" ref="K80" si="32">K78-K75</f>
        <v>12455.422534720004</v>
      </c>
      <c r="L80" s="315"/>
      <c r="M80" s="190"/>
      <c r="N80" s="190"/>
      <c r="O80" s="228"/>
      <c r="P80" s="228"/>
      <c r="Q80" s="228"/>
    </row>
    <row r="81" spans="1:18" s="212" customFormat="1" ht="15" thickBot="1" x14ac:dyDescent="0.4">
      <c r="A81" s="316"/>
      <c r="B81" s="228" t="s">
        <v>96</v>
      </c>
      <c r="C81" s="311"/>
      <c r="D81" s="311"/>
      <c r="E81" s="317">
        <f>E$80/E$9</f>
        <v>0.27241378436799996</v>
      </c>
      <c r="F81" s="317">
        <f>F$80/F$9</f>
        <v>0.31138556336800011</v>
      </c>
      <c r="G81" s="317" t="e">
        <f>G$80/G$9</f>
        <v>#DIV/0!</v>
      </c>
      <c r="H81" s="317" t="e">
        <f>H$80/H$9</f>
        <v>#DIV/0!</v>
      </c>
      <c r="I81" s="318"/>
      <c r="J81" s="185"/>
      <c r="K81" s="317">
        <f>K$80/K$9</f>
        <v>0.31138556336800011</v>
      </c>
      <c r="L81" s="320"/>
      <c r="M81" s="290"/>
      <c r="N81" s="228"/>
      <c r="O81" s="229"/>
      <c r="P81" s="228"/>
      <c r="Q81" s="228"/>
    </row>
    <row r="82" spans="1:18" ht="15" thickTop="1" x14ac:dyDescent="0.35">
      <c r="J82" s="13"/>
      <c r="K82" s="299"/>
      <c r="L82" s="299"/>
      <c r="M82" s="13"/>
      <c r="N82" s="186"/>
      <c r="O82" s="186"/>
      <c r="P82" s="186"/>
      <c r="Q82" s="186"/>
      <c r="R82" s="125"/>
    </row>
    <row r="83" spans="1:18" x14ac:dyDescent="0.35">
      <c r="B83" s="296"/>
      <c r="C83" s="296"/>
      <c r="D83" s="296"/>
      <c r="E83" s="296"/>
      <c r="F83" s="13"/>
      <c r="G83" s="13"/>
      <c r="H83" s="13"/>
      <c r="I83" s="13"/>
      <c r="J83" s="13"/>
      <c r="K83" s="13"/>
      <c r="L83" s="13"/>
      <c r="M83" s="299"/>
      <c r="N83" s="186"/>
      <c r="O83" s="186"/>
      <c r="P83" s="186"/>
      <c r="Q83" s="186"/>
      <c r="R83" s="125"/>
    </row>
    <row r="84" spans="1:18" x14ac:dyDescent="0.35">
      <c r="B84" s="186"/>
      <c r="C84" s="186"/>
      <c r="D84" s="186"/>
      <c r="E84" s="186"/>
      <c r="F84" s="186"/>
      <c r="G84" s="186"/>
      <c r="H84" s="186"/>
      <c r="I84" s="186"/>
      <c r="J84" s="186"/>
      <c r="K84" s="186"/>
      <c r="L84" s="186"/>
      <c r="M84" s="234"/>
      <c r="N84" s="186"/>
      <c r="O84" s="186"/>
      <c r="P84" s="186"/>
      <c r="Q84" s="186"/>
    </row>
    <row r="85" spans="1:18" x14ac:dyDescent="0.35">
      <c r="B85" s="186"/>
      <c r="C85" s="186"/>
      <c r="D85" s="321"/>
      <c r="E85" s="186"/>
      <c r="F85" s="186"/>
      <c r="G85" s="186"/>
      <c r="H85" s="186"/>
      <c r="I85" s="186"/>
      <c r="J85" s="186"/>
      <c r="K85" s="186"/>
      <c r="L85" s="186"/>
      <c r="M85" s="234"/>
      <c r="N85" s="186"/>
      <c r="O85" s="186"/>
      <c r="P85" s="186"/>
      <c r="Q85" s="186"/>
    </row>
    <row r="86" spans="1:18" x14ac:dyDescent="0.35">
      <c r="B86" s="186"/>
      <c r="C86" s="186"/>
      <c r="D86" s="186"/>
      <c r="E86" s="186"/>
      <c r="F86" s="186"/>
      <c r="G86" s="186"/>
      <c r="H86" s="186"/>
      <c r="I86" s="186"/>
      <c r="J86" s="186"/>
      <c r="K86" s="186"/>
      <c r="L86" s="186"/>
      <c r="M86" s="234"/>
      <c r="N86" s="186"/>
      <c r="O86" s="186"/>
      <c r="P86" s="186"/>
      <c r="Q86" s="186"/>
    </row>
    <row r="87" spans="1:18" x14ac:dyDescent="0.35">
      <c r="B87" s="186"/>
      <c r="C87" s="186"/>
      <c r="D87" s="234"/>
      <c r="E87" s="186"/>
      <c r="F87" s="186"/>
      <c r="G87" s="186"/>
      <c r="H87" s="186"/>
      <c r="I87" s="186"/>
      <c r="J87" s="186"/>
      <c r="K87" s="234"/>
      <c r="L87" s="234"/>
      <c r="M87" s="234"/>
      <c r="N87" s="186"/>
      <c r="O87" s="186"/>
      <c r="P87" s="186"/>
      <c r="Q87" s="186"/>
    </row>
    <row r="88" spans="1:18" x14ac:dyDescent="0.35">
      <c r="B88" s="186"/>
      <c r="C88" s="186"/>
      <c r="D88" s="234"/>
      <c r="E88" s="186"/>
      <c r="F88" s="186"/>
      <c r="G88" s="186"/>
      <c r="H88" s="186"/>
      <c r="I88" s="186"/>
      <c r="J88" s="186"/>
      <c r="K88" s="234"/>
      <c r="L88" s="234"/>
      <c r="M88" s="234"/>
      <c r="N88" s="186"/>
      <c r="O88" s="186"/>
      <c r="P88" s="186"/>
      <c r="Q88" s="186"/>
    </row>
    <row r="89" spans="1:18" x14ac:dyDescent="0.35">
      <c r="B89" s="186"/>
      <c r="C89" s="186"/>
      <c r="D89" s="234"/>
      <c r="E89" s="186"/>
      <c r="F89" s="186"/>
      <c r="G89" s="186"/>
      <c r="H89" s="186"/>
      <c r="I89" s="186"/>
      <c r="J89" s="186"/>
      <c r="K89" s="234"/>
      <c r="L89" s="234"/>
      <c r="M89" s="186"/>
      <c r="N89" s="186"/>
      <c r="O89" s="186"/>
      <c r="P89" s="186"/>
      <c r="Q89" s="186"/>
    </row>
    <row r="90" spans="1:18" x14ac:dyDescent="0.35">
      <c r="B90" s="186"/>
      <c r="C90" s="186"/>
      <c r="D90" s="186"/>
      <c r="E90" s="186"/>
      <c r="F90" s="186"/>
      <c r="G90" s="186"/>
      <c r="H90" s="186"/>
      <c r="I90" s="186"/>
      <c r="J90" s="186"/>
      <c r="K90" s="234"/>
      <c r="L90" s="234"/>
      <c r="M90" s="186"/>
      <c r="N90" s="186"/>
      <c r="O90" s="186"/>
      <c r="P90" s="186"/>
      <c r="Q90" s="186"/>
    </row>
    <row r="91" spans="1:18" x14ac:dyDescent="0.35">
      <c r="B91" s="186"/>
      <c r="C91" s="186"/>
      <c r="D91" s="186"/>
      <c r="E91" s="186"/>
      <c r="F91" s="186"/>
      <c r="G91" s="186"/>
      <c r="H91" s="186"/>
      <c r="I91" s="186"/>
      <c r="J91" s="186"/>
      <c r="K91" s="234"/>
      <c r="L91" s="234"/>
      <c r="M91" s="186"/>
      <c r="N91" s="186"/>
      <c r="O91" s="186"/>
      <c r="P91" s="186"/>
      <c r="Q91" s="186"/>
    </row>
    <row r="92" spans="1:18" x14ac:dyDescent="0.35">
      <c r="B92" s="186"/>
      <c r="C92" s="186"/>
      <c r="D92" s="186"/>
      <c r="E92" s="186"/>
      <c r="F92" s="186"/>
      <c r="G92" s="186"/>
      <c r="H92" s="186"/>
      <c r="I92" s="186"/>
      <c r="J92" s="186"/>
      <c r="K92" s="234"/>
      <c r="L92" s="234"/>
      <c r="M92" s="186"/>
      <c r="N92" s="186"/>
      <c r="O92" s="186"/>
      <c r="P92" s="186"/>
      <c r="Q92" s="186"/>
    </row>
    <row r="93" spans="1:18" x14ac:dyDescent="0.35">
      <c r="B93" s="186"/>
      <c r="C93" s="186"/>
      <c r="D93" s="186"/>
      <c r="E93" s="186"/>
      <c r="F93" s="186"/>
      <c r="G93" s="186"/>
      <c r="H93" s="186"/>
      <c r="I93" s="186"/>
      <c r="J93" s="186"/>
      <c r="K93" s="234"/>
      <c r="L93" s="234"/>
      <c r="M93" s="186"/>
      <c r="N93" s="186"/>
      <c r="O93" s="186"/>
      <c r="P93" s="186"/>
      <c r="Q93" s="186"/>
    </row>
    <row r="94" spans="1:18" x14ac:dyDescent="0.35">
      <c r="B94" s="186"/>
      <c r="C94" s="186"/>
      <c r="D94" s="186"/>
      <c r="E94" s="186"/>
      <c r="F94" s="186"/>
      <c r="G94" s="186"/>
      <c r="H94" s="186"/>
      <c r="I94" s="186"/>
      <c r="J94" s="186"/>
      <c r="K94" s="186"/>
      <c r="L94" s="186"/>
      <c r="M94" s="186"/>
      <c r="N94" s="186"/>
      <c r="O94" s="186"/>
      <c r="P94" s="186"/>
      <c r="Q94" s="186"/>
    </row>
    <row r="95" spans="1:18" x14ac:dyDescent="0.35">
      <c r="B95" s="186"/>
      <c r="C95" s="186"/>
      <c r="D95" s="186"/>
      <c r="E95" s="186"/>
      <c r="F95" s="186"/>
      <c r="G95" s="186"/>
      <c r="H95" s="186"/>
      <c r="I95" s="186"/>
      <c r="J95" s="186"/>
      <c r="K95" s="186"/>
      <c r="L95" s="186"/>
      <c r="M95" s="186"/>
      <c r="N95" s="186"/>
      <c r="O95" s="186"/>
      <c r="P95" s="186"/>
      <c r="Q95" s="186"/>
    </row>
    <row r="96" spans="1:18" x14ac:dyDescent="0.35">
      <c r="B96" s="186"/>
      <c r="C96" s="186"/>
      <c r="D96" s="186"/>
      <c r="E96" s="186"/>
      <c r="F96" s="186"/>
      <c r="G96" s="186"/>
      <c r="H96" s="186"/>
      <c r="I96" s="186"/>
      <c r="J96" s="186"/>
      <c r="K96" s="186"/>
      <c r="L96" s="186"/>
      <c r="M96" s="186"/>
      <c r="N96" s="186"/>
      <c r="O96" s="186"/>
      <c r="P96" s="186"/>
      <c r="Q96" s="186"/>
    </row>
    <row r="97" spans="2:17" x14ac:dyDescent="0.35">
      <c r="B97" s="186"/>
      <c r="C97" s="186"/>
      <c r="D97" s="186"/>
      <c r="E97" s="186"/>
      <c r="F97" s="186"/>
      <c r="G97" s="186"/>
      <c r="H97" s="186"/>
      <c r="I97" s="186"/>
      <c r="J97" s="186"/>
      <c r="K97" s="186"/>
      <c r="L97" s="186"/>
      <c r="M97" s="186"/>
      <c r="N97" s="186"/>
      <c r="O97" s="186"/>
      <c r="P97" s="186"/>
      <c r="Q97" s="186"/>
    </row>
    <row r="98" spans="2:17" x14ac:dyDescent="0.35">
      <c r="B98" s="186"/>
      <c r="C98" s="186"/>
      <c r="D98" s="186"/>
      <c r="E98" s="186"/>
      <c r="F98" s="186"/>
      <c r="G98" s="186"/>
      <c r="H98" s="186"/>
      <c r="I98" s="186"/>
      <c r="J98" s="186"/>
      <c r="K98" s="186"/>
      <c r="L98" s="186"/>
      <c r="M98" s="186"/>
      <c r="N98" s="186"/>
      <c r="O98" s="186"/>
      <c r="P98" s="186"/>
      <c r="Q98" s="186"/>
    </row>
    <row r="99" spans="2:17" x14ac:dyDescent="0.35">
      <c r="B99" s="186"/>
      <c r="C99" s="186"/>
      <c r="D99" s="186"/>
      <c r="E99" s="186"/>
      <c r="F99" s="186"/>
      <c r="G99" s="186"/>
      <c r="H99" s="186"/>
      <c r="I99" s="186"/>
      <c r="J99" s="186"/>
      <c r="K99" s="186"/>
      <c r="L99" s="186"/>
      <c r="M99" s="186"/>
      <c r="N99" s="186"/>
      <c r="O99" s="186"/>
      <c r="P99" s="186"/>
      <c r="Q99" s="186"/>
    </row>
    <row r="100" spans="2:17" x14ac:dyDescent="0.35">
      <c r="B100" s="186"/>
      <c r="C100" s="186"/>
      <c r="D100" s="186"/>
      <c r="E100" s="186"/>
      <c r="F100" s="186"/>
      <c r="G100" s="186"/>
      <c r="H100" s="186"/>
      <c r="I100" s="186"/>
      <c r="J100" s="186"/>
      <c r="K100" s="186"/>
      <c r="L100" s="186"/>
      <c r="M100" s="186"/>
      <c r="N100" s="186"/>
      <c r="O100" s="186"/>
      <c r="P100" s="186"/>
      <c r="Q100" s="186"/>
    </row>
    <row r="101" spans="2:17" x14ac:dyDescent="0.35">
      <c r="B101" s="186"/>
      <c r="C101" s="186"/>
      <c r="D101" s="186"/>
      <c r="E101" s="186"/>
      <c r="F101" s="186"/>
      <c r="G101" s="186"/>
      <c r="H101" s="186"/>
      <c r="I101" s="186"/>
      <c r="J101" s="186"/>
      <c r="K101" s="186"/>
      <c r="L101" s="186"/>
      <c r="M101" s="186"/>
      <c r="N101" s="186"/>
      <c r="O101" s="186"/>
      <c r="P101" s="186"/>
      <c r="Q101" s="186"/>
    </row>
    <row r="102" spans="2:17" x14ac:dyDescent="0.35">
      <c r="B102" s="186"/>
      <c r="C102" s="186"/>
      <c r="D102" s="186"/>
      <c r="E102" s="186"/>
      <c r="F102" s="186"/>
      <c r="G102" s="186"/>
      <c r="H102" s="186"/>
      <c r="I102" s="186"/>
      <c r="J102" s="186"/>
      <c r="K102" s="186"/>
      <c r="L102" s="186"/>
      <c r="M102" s="186"/>
      <c r="N102" s="186"/>
      <c r="O102" s="186"/>
      <c r="P102" s="186"/>
      <c r="Q102" s="186"/>
    </row>
    <row r="103" spans="2:17" x14ac:dyDescent="0.35">
      <c r="B103" s="186"/>
      <c r="C103" s="186"/>
      <c r="D103" s="186"/>
      <c r="E103" s="186"/>
      <c r="F103" s="186"/>
      <c r="G103" s="186"/>
      <c r="H103" s="186"/>
      <c r="I103" s="186"/>
      <c r="J103" s="186"/>
      <c r="K103" s="186"/>
      <c r="L103" s="186"/>
      <c r="M103" s="186"/>
      <c r="N103" s="186"/>
      <c r="O103" s="186"/>
      <c r="P103" s="186"/>
      <c r="Q103" s="186"/>
    </row>
    <row r="104" spans="2:17" x14ac:dyDescent="0.35">
      <c r="B104" s="186"/>
      <c r="C104" s="186"/>
      <c r="D104" s="186"/>
      <c r="E104" s="186"/>
      <c r="F104" s="186"/>
      <c r="G104" s="186"/>
      <c r="H104" s="186"/>
      <c r="I104" s="186"/>
      <c r="J104" s="186"/>
      <c r="K104" s="186"/>
      <c r="L104" s="186"/>
      <c r="M104" s="186"/>
      <c r="N104" s="186"/>
      <c r="O104" s="186"/>
      <c r="P104" s="186"/>
      <c r="Q104" s="186"/>
    </row>
    <row r="105" spans="2:17" x14ac:dyDescent="0.35">
      <c r="B105" s="186"/>
      <c r="C105" s="186"/>
      <c r="D105" s="186"/>
      <c r="E105" s="186"/>
      <c r="F105" s="186"/>
      <c r="G105" s="186"/>
      <c r="H105" s="186"/>
      <c r="I105" s="186"/>
      <c r="J105" s="186"/>
      <c r="K105" s="186"/>
      <c r="L105" s="186"/>
      <c r="M105" s="186"/>
      <c r="N105" s="186"/>
      <c r="O105" s="186"/>
      <c r="P105" s="186"/>
      <c r="Q105" s="186"/>
    </row>
    <row r="106" spans="2:17" x14ac:dyDescent="0.35">
      <c r="B106" s="186"/>
      <c r="C106" s="186"/>
      <c r="D106" s="186"/>
      <c r="E106" s="186"/>
      <c r="F106" s="186"/>
      <c r="G106" s="186"/>
      <c r="H106" s="186"/>
      <c r="I106" s="186"/>
      <c r="J106" s="186"/>
      <c r="K106" s="186"/>
      <c r="L106" s="186"/>
      <c r="M106" s="186"/>
      <c r="N106" s="186"/>
      <c r="O106" s="186"/>
      <c r="P106" s="186"/>
      <c r="Q106" s="186"/>
    </row>
    <row r="107" spans="2:17" x14ac:dyDescent="0.35">
      <c r="B107" s="186"/>
      <c r="C107" s="186"/>
      <c r="D107" s="186"/>
      <c r="E107" s="186"/>
      <c r="F107" s="186"/>
      <c r="G107" s="186"/>
      <c r="H107" s="186"/>
      <c r="I107" s="186"/>
      <c r="J107" s="186"/>
      <c r="K107" s="186"/>
      <c r="L107" s="186"/>
      <c r="M107" s="186"/>
      <c r="N107" s="186"/>
      <c r="O107" s="186"/>
      <c r="P107" s="186"/>
      <c r="Q107" s="186"/>
    </row>
    <row r="108" spans="2:17" x14ac:dyDescent="0.35">
      <c r="B108" s="186"/>
      <c r="C108" s="186"/>
      <c r="D108" s="186"/>
      <c r="E108" s="186"/>
      <c r="F108" s="186"/>
      <c r="G108" s="186"/>
      <c r="H108" s="186"/>
      <c r="I108" s="186"/>
      <c r="J108" s="186"/>
      <c r="K108" s="186"/>
      <c r="L108" s="186"/>
      <c r="M108" s="186"/>
      <c r="N108" s="186"/>
      <c r="O108" s="186"/>
      <c r="P108" s="186"/>
      <c r="Q108" s="186"/>
    </row>
    <row r="109" spans="2:17" x14ac:dyDescent="0.35">
      <c r="B109" s="186"/>
      <c r="C109" s="186"/>
      <c r="D109" s="186"/>
      <c r="E109" s="186"/>
      <c r="F109" s="186"/>
      <c r="G109" s="186"/>
      <c r="H109" s="186"/>
      <c r="I109" s="186"/>
      <c r="J109" s="186"/>
      <c r="K109" s="186"/>
      <c r="L109" s="186"/>
      <c r="M109" s="186"/>
      <c r="N109" s="186"/>
      <c r="O109" s="186"/>
      <c r="P109" s="186"/>
      <c r="Q109" s="186"/>
    </row>
    <row r="110" spans="2:17" x14ac:dyDescent="0.35">
      <c r="B110" s="186"/>
      <c r="C110" s="186"/>
      <c r="D110" s="186"/>
      <c r="E110" s="186"/>
      <c r="F110" s="186"/>
      <c r="G110" s="186"/>
      <c r="H110" s="186"/>
      <c r="I110" s="186"/>
      <c r="J110" s="186"/>
      <c r="K110" s="186"/>
      <c r="L110" s="186"/>
      <c r="M110" s="186"/>
      <c r="N110" s="186"/>
      <c r="O110" s="186"/>
      <c r="P110" s="186"/>
      <c r="Q110" s="186"/>
    </row>
    <row r="111" spans="2:17" x14ac:dyDescent="0.35">
      <c r="B111" s="186"/>
      <c r="C111" s="186"/>
      <c r="D111" s="186"/>
      <c r="E111" s="186"/>
      <c r="F111" s="186"/>
      <c r="G111" s="186"/>
      <c r="H111" s="186"/>
      <c r="I111" s="186"/>
      <c r="J111" s="186"/>
      <c r="K111" s="186"/>
      <c r="L111" s="186"/>
      <c r="M111" s="186"/>
      <c r="N111" s="186"/>
      <c r="O111" s="186"/>
      <c r="P111" s="186"/>
      <c r="Q111" s="186"/>
    </row>
    <row r="112" spans="2:17" x14ac:dyDescent="0.35">
      <c r="B112" s="186"/>
      <c r="C112" s="186"/>
      <c r="D112" s="186"/>
      <c r="E112" s="186"/>
      <c r="F112" s="186"/>
      <c r="G112" s="186"/>
      <c r="H112" s="186"/>
      <c r="I112" s="186"/>
      <c r="J112" s="186"/>
      <c r="K112" s="186"/>
      <c r="L112" s="186"/>
      <c r="M112" s="186"/>
      <c r="N112" s="186"/>
      <c r="O112" s="186"/>
      <c r="P112" s="186"/>
      <c r="Q112" s="186"/>
    </row>
    <row r="113" spans="2:17" x14ac:dyDescent="0.35">
      <c r="B113" s="186"/>
      <c r="C113" s="186"/>
      <c r="D113" s="186"/>
      <c r="E113" s="186"/>
      <c r="F113" s="186"/>
      <c r="G113" s="186"/>
      <c r="H113" s="186"/>
      <c r="I113" s="186"/>
      <c r="J113" s="186"/>
      <c r="K113" s="186"/>
      <c r="L113" s="186"/>
      <c r="M113" s="186"/>
      <c r="N113" s="186"/>
      <c r="O113" s="186"/>
      <c r="P113" s="186"/>
      <c r="Q113" s="186"/>
    </row>
    <row r="114" spans="2:17" x14ac:dyDescent="0.35">
      <c r="B114" s="186"/>
      <c r="C114" s="186"/>
      <c r="D114" s="186"/>
      <c r="E114" s="186"/>
      <c r="F114" s="186"/>
      <c r="G114" s="186"/>
      <c r="H114" s="186"/>
      <c r="I114" s="186"/>
      <c r="J114" s="186"/>
      <c r="K114" s="186"/>
      <c r="L114" s="186"/>
      <c r="M114" s="186"/>
      <c r="N114" s="186"/>
      <c r="O114" s="186"/>
      <c r="P114" s="186"/>
      <c r="Q114" s="186"/>
    </row>
    <row r="115" spans="2:17" x14ac:dyDescent="0.35">
      <c r="B115" s="186"/>
      <c r="C115" s="186"/>
      <c r="D115" s="186"/>
      <c r="E115" s="186"/>
      <c r="F115" s="186"/>
      <c r="G115" s="186"/>
      <c r="H115" s="186"/>
      <c r="I115" s="186"/>
      <c r="J115" s="186"/>
      <c r="K115" s="186"/>
      <c r="L115" s="186"/>
      <c r="M115" s="186"/>
      <c r="N115" s="186"/>
      <c r="O115" s="186"/>
      <c r="P115" s="186"/>
      <c r="Q115" s="186"/>
    </row>
    <row r="116" spans="2:17" x14ac:dyDescent="0.35">
      <c r="B116" s="186"/>
      <c r="C116" s="186"/>
      <c r="D116" s="186"/>
      <c r="E116" s="186"/>
      <c r="F116" s="186"/>
      <c r="G116" s="186"/>
      <c r="H116" s="186"/>
      <c r="I116" s="186"/>
      <c r="J116" s="186"/>
      <c r="K116" s="186"/>
      <c r="L116" s="186"/>
      <c r="M116" s="186"/>
      <c r="N116" s="186"/>
      <c r="O116" s="186"/>
      <c r="P116" s="186"/>
      <c r="Q116" s="186"/>
    </row>
    <row r="117" spans="2:17" x14ac:dyDescent="0.35">
      <c r="B117" s="186"/>
      <c r="C117" s="186"/>
      <c r="D117" s="186"/>
      <c r="E117" s="186"/>
      <c r="F117" s="186"/>
      <c r="G117" s="186"/>
      <c r="H117" s="186"/>
      <c r="I117" s="186"/>
      <c r="J117" s="186"/>
      <c r="K117" s="186"/>
      <c r="L117" s="186"/>
      <c r="M117" s="186"/>
      <c r="N117" s="186"/>
      <c r="O117" s="186"/>
      <c r="P117" s="186"/>
      <c r="Q117" s="186"/>
    </row>
    <row r="118" spans="2:17" x14ac:dyDescent="0.35">
      <c r="B118" s="186"/>
      <c r="C118" s="186"/>
      <c r="D118" s="186"/>
      <c r="E118" s="186"/>
      <c r="F118" s="186"/>
      <c r="G118" s="186"/>
      <c r="H118" s="186"/>
      <c r="I118" s="186"/>
      <c r="J118" s="186"/>
      <c r="K118" s="186"/>
      <c r="L118" s="186"/>
      <c r="M118" s="186"/>
      <c r="N118" s="186"/>
      <c r="O118" s="186"/>
      <c r="P118" s="186"/>
      <c r="Q118" s="186"/>
    </row>
    <row r="119" spans="2:17" x14ac:dyDescent="0.35">
      <c r="B119" s="186"/>
      <c r="C119" s="186"/>
      <c r="D119" s="186"/>
      <c r="E119" s="186"/>
      <c r="F119" s="186"/>
      <c r="G119" s="186"/>
      <c r="H119" s="186"/>
      <c r="I119" s="186"/>
      <c r="J119" s="186"/>
      <c r="K119" s="186"/>
      <c r="L119" s="186"/>
      <c r="M119" s="186"/>
      <c r="N119" s="186"/>
      <c r="O119" s="186"/>
      <c r="P119" s="186"/>
      <c r="Q119" s="186"/>
    </row>
    <row r="120" spans="2:17" x14ac:dyDescent="0.35">
      <c r="B120" s="186"/>
      <c r="C120" s="186"/>
      <c r="D120" s="186"/>
      <c r="E120" s="186"/>
      <c r="F120" s="186"/>
      <c r="G120" s="186"/>
      <c r="H120" s="186"/>
      <c r="I120" s="186"/>
      <c r="J120" s="186"/>
      <c r="K120" s="186"/>
      <c r="L120" s="186"/>
      <c r="M120" s="186"/>
      <c r="N120" s="186"/>
      <c r="O120" s="186"/>
      <c r="P120" s="186"/>
      <c r="Q120" s="186"/>
    </row>
    <row r="121" spans="2:17" x14ac:dyDescent="0.35">
      <c r="B121" s="186"/>
      <c r="C121" s="186"/>
      <c r="D121" s="186"/>
      <c r="E121" s="186"/>
      <c r="F121" s="186"/>
      <c r="G121" s="186"/>
      <c r="H121" s="186"/>
      <c r="I121" s="186"/>
      <c r="J121" s="186"/>
      <c r="K121" s="186"/>
      <c r="L121" s="186"/>
      <c r="M121" s="186"/>
      <c r="N121" s="186"/>
      <c r="O121" s="186"/>
      <c r="P121" s="186"/>
      <c r="Q121" s="186"/>
    </row>
    <row r="122" spans="2:17" x14ac:dyDescent="0.35">
      <c r="B122" s="186"/>
      <c r="C122" s="186"/>
      <c r="D122" s="186"/>
      <c r="E122" s="186"/>
      <c r="F122" s="186"/>
      <c r="G122" s="186"/>
      <c r="H122" s="186"/>
      <c r="I122" s="186"/>
      <c r="J122" s="186"/>
      <c r="K122" s="186"/>
      <c r="L122" s="186"/>
      <c r="M122" s="186"/>
      <c r="N122" s="186"/>
      <c r="O122" s="186"/>
      <c r="P122" s="186"/>
      <c r="Q122" s="186"/>
    </row>
    <row r="123" spans="2:17" x14ac:dyDescent="0.35">
      <c r="B123" s="186"/>
      <c r="C123" s="186"/>
      <c r="D123" s="186"/>
      <c r="E123" s="186"/>
      <c r="F123" s="186"/>
      <c r="G123" s="186"/>
      <c r="H123" s="186"/>
      <c r="I123" s="186"/>
      <c r="J123" s="186"/>
      <c r="K123" s="186"/>
      <c r="L123" s="186"/>
      <c r="M123" s="186"/>
      <c r="N123" s="186"/>
      <c r="O123" s="186"/>
      <c r="P123" s="186"/>
      <c r="Q123" s="186"/>
    </row>
    <row r="124" spans="2:17" x14ac:dyDescent="0.35">
      <c r="B124" s="186"/>
      <c r="C124" s="186"/>
      <c r="D124" s="186"/>
      <c r="E124" s="186"/>
      <c r="F124" s="186"/>
      <c r="G124" s="186"/>
      <c r="H124" s="186"/>
      <c r="I124" s="186"/>
      <c r="J124" s="186"/>
      <c r="K124" s="186"/>
      <c r="L124" s="186"/>
      <c r="M124" s="186"/>
      <c r="N124" s="186"/>
      <c r="O124" s="186"/>
      <c r="P124" s="186"/>
      <c r="Q124" s="186"/>
    </row>
    <row r="125" spans="2:17" x14ac:dyDescent="0.35">
      <c r="B125" s="186"/>
      <c r="C125" s="186"/>
      <c r="D125" s="186"/>
      <c r="E125" s="186"/>
      <c r="F125" s="186"/>
      <c r="G125" s="186"/>
      <c r="H125" s="186"/>
      <c r="I125" s="186"/>
      <c r="J125" s="186"/>
      <c r="K125" s="186"/>
      <c r="L125" s="186"/>
      <c r="M125" s="186"/>
      <c r="N125" s="186"/>
      <c r="O125" s="186"/>
      <c r="P125" s="186"/>
      <c r="Q125" s="186"/>
    </row>
    <row r="126" spans="2:17" x14ac:dyDescent="0.35">
      <c r="B126" s="186"/>
      <c r="C126" s="186"/>
      <c r="D126" s="186"/>
      <c r="E126" s="186"/>
      <c r="F126" s="186"/>
      <c r="G126" s="186"/>
      <c r="H126" s="186"/>
      <c r="I126" s="186"/>
      <c r="J126" s="186"/>
      <c r="K126" s="186"/>
      <c r="L126" s="186"/>
      <c r="M126" s="186"/>
      <c r="N126" s="186"/>
      <c r="O126" s="186"/>
      <c r="P126" s="186"/>
      <c r="Q126" s="186"/>
    </row>
    <row r="127" spans="2:17" x14ac:dyDescent="0.35">
      <c r="B127" s="186"/>
      <c r="C127" s="186"/>
      <c r="D127" s="186"/>
      <c r="E127" s="186"/>
      <c r="F127" s="186"/>
      <c r="G127" s="186"/>
      <c r="H127" s="186"/>
      <c r="I127" s="186"/>
      <c r="J127" s="186"/>
      <c r="K127" s="186"/>
      <c r="L127" s="186"/>
      <c r="M127" s="186"/>
      <c r="N127" s="186"/>
      <c r="O127" s="186"/>
      <c r="P127" s="186"/>
      <c r="Q127" s="186"/>
    </row>
    <row r="128" spans="2:17" x14ac:dyDescent="0.35">
      <c r="B128" s="186"/>
      <c r="C128" s="186"/>
      <c r="D128" s="186"/>
      <c r="E128" s="186"/>
      <c r="F128" s="186"/>
      <c r="G128" s="186"/>
      <c r="H128" s="186"/>
      <c r="I128" s="186"/>
      <c r="J128" s="186"/>
      <c r="K128" s="186"/>
      <c r="L128" s="186"/>
      <c r="M128" s="186"/>
      <c r="N128" s="186"/>
      <c r="O128" s="186"/>
      <c r="P128" s="186"/>
      <c r="Q128" s="186"/>
    </row>
    <row r="129" spans="2:17" x14ac:dyDescent="0.35">
      <c r="B129" s="186"/>
      <c r="C129" s="186"/>
      <c r="D129" s="186"/>
      <c r="E129" s="186"/>
      <c r="F129" s="186"/>
      <c r="G129" s="186"/>
      <c r="H129" s="186"/>
      <c r="I129" s="186"/>
      <c r="J129" s="186"/>
      <c r="K129" s="186"/>
      <c r="L129" s="186"/>
      <c r="M129" s="186"/>
      <c r="N129" s="186"/>
      <c r="O129" s="186"/>
      <c r="P129" s="186"/>
      <c r="Q129" s="186"/>
    </row>
    <row r="130" spans="2:17" x14ac:dyDescent="0.35">
      <c r="B130" s="186"/>
      <c r="C130" s="186"/>
      <c r="D130" s="186"/>
      <c r="E130" s="186"/>
      <c r="F130" s="186"/>
      <c r="G130" s="186"/>
      <c r="H130" s="186"/>
      <c r="I130" s="186"/>
      <c r="J130" s="186"/>
      <c r="K130" s="186"/>
      <c r="L130" s="186"/>
      <c r="M130" s="186"/>
      <c r="N130" s="186"/>
      <c r="O130" s="186"/>
      <c r="P130" s="186"/>
      <c r="Q130" s="186"/>
    </row>
    <row r="131" spans="2:17" x14ac:dyDescent="0.35">
      <c r="B131" s="186"/>
      <c r="C131" s="186"/>
      <c r="D131" s="186"/>
      <c r="E131" s="186"/>
      <c r="F131" s="186"/>
      <c r="G131" s="186"/>
      <c r="H131" s="186"/>
      <c r="I131" s="186"/>
      <c r="J131" s="186"/>
      <c r="K131" s="186"/>
      <c r="L131" s="186"/>
      <c r="M131" s="186"/>
      <c r="N131" s="186"/>
      <c r="O131" s="186"/>
      <c r="P131" s="186"/>
      <c r="Q131" s="186"/>
    </row>
    <row r="132" spans="2:17" x14ac:dyDescent="0.35">
      <c r="B132" s="186"/>
      <c r="C132" s="186"/>
      <c r="D132" s="186"/>
      <c r="E132" s="186"/>
      <c r="F132" s="186"/>
      <c r="G132" s="186"/>
      <c r="H132" s="186"/>
      <c r="I132" s="186"/>
      <c r="J132" s="186"/>
      <c r="K132" s="186"/>
      <c r="L132" s="186"/>
      <c r="M132" s="186"/>
      <c r="N132" s="186"/>
      <c r="O132" s="186"/>
      <c r="P132" s="186"/>
      <c r="Q132" s="186"/>
    </row>
    <row r="133" spans="2:17" x14ac:dyDescent="0.35">
      <c r="B133" s="186"/>
      <c r="C133" s="186"/>
      <c r="D133" s="186"/>
      <c r="E133" s="186"/>
      <c r="F133" s="186"/>
      <c r="G133" s="186"/>
      <c r="H133" s="186"/>
      <c r="I133" s="186"/>
      <c r="J133" s="186"/>
      <c r="K133" s="186"/>
      <c r="L133" s="186"/>
      <c r="M133" s="186"/>
      <c r="N133" s="186"/>
      <c r="O133" s="186"/>
      <c r="P133" s="186"/>
      <c r="Q133" s="186"/>
    </row>
    <row r="134" spans="2:17" x14ac:dyDescent="0.35">
      <c r="B134" s="186"/>
      <c r="C134" s="186"/>
      <c r="D134" s="186"/>
      <c r="E134" s="186"/>
      <c r="F134" s="186"/>
      <c r="G134" s="186"/>
      <c r="H134" s="186"/>
      <c r="I134" s="186"/>
      <c r="J134" s="186"/>
      <c r="K134" s="186"/>
      <c r="L134" s="186"/>
      <c r="M134" s="186"/>
      <c r="N134" s="186"/>
      <c r="O134" s="186"/>
      <c r="P134" s="186"/>
      <c r="Q134" s="186"/>
    </row>
    <row r="135" spans="2:17" x14ac:dyDescent="0.35">
      <c r="B135" s="186"/>
      <c r="C135" s="186"/>
      <c r="D135" s="186"/>
      <c r="E135" s="186"/>
      <c r="F135" s="186"/>
      <c r="G135" s="186"/>
      <c r="H135" s="186"/>
      <c r="I135" s="186"/>
      <c r="J135" s="186"/>
      <c r="K135" s="186"/>
      <c r="L135" s="186"/>
      <c r="M135" s="186"/>
      <c r="N135" s="186"/>
      <c r="O135" s="186"/>
      <c r="P135" s="186"/>
      <c r="Q135" s="186"/>
    </row>
    <row r="136" spans="2:17" x14ac:dyDescent="0.35">
      <c r="B136" s="186"/>
      <c r="C136" s="186"/>
      <c r="D136" s="186"/>
      <c r="E136" s="186"/>
      <c r="F136" s="186"/>
      <c r="G136" s="186"/>
      <c r="H136" s="186"/>
      <c r="I136" s="186"/>
      <c r="J136" s="186"/>
      <c r="K136" s="186"/>
      <c r="L136" s="186"/>
      <c r="M136" s="186"/>
      <c r="N136" s="186"/>
      <c r="O136" s="186"/>
      <c r="P136" s="186"/>
      <c r="Q136" s="186"/>
    </row>
    <row r="137" spans="2:17" x14ac:dyDescent="0.35">
      <c r="B137" s="186"/>
      <c r="C137" s="186"/>
      <c r="D137" s="186"/>
      <c r="E137" s="186"/>
      <c r="F137" s="186"/>
      <c r="G137" s="186"/>
      <c r="H137" s="186"/>
      <c r="I137" s="186"/>
      <c r="J137" s="186"/>
      <c r="K137" s="186"/>
      <c r="L137" s="186"/>
      <c r="M137" s="186"/>
      <c r="N137" s="186"/>
      <c r="O137" s="186"/>
      <c r="P137" s="186"/>
      <c r="Q137" s="186"/>
    </row>
    <row r="138" spans="2:17" x14ac:dyDescent="0.35">
      <c r="B138" s="186"/>
      <c r="C138" s="186"/>
      <c r="D138" s="186"/>
      <c r="E138" s="186"/>
      <c r="F138" s="186"/>
      <c r="G138" s="186"/>
      <c r="H138" s="186"/>
      <c r="I138" s="186"/>
      <c r="J138" s="186"/>
      <c r="K138" s="186"/>
      <c r="L138" s="186"/>
      <c r="M138" s="186"/>
      <c r="N138" s="186"/>
      <c r="O138" s="186"/>
      <c r="P138" s="186"/>
      <c r="Q138" s="186"/>
    </row>
    <row r="139" spans="2:17" x14ac:dyDescent="0.35">
      <c r="B139" s="186"/>
      <c r="C139" s="186"/>
      <c r="D139" s="186"/>
      <c r="E139" s="186"/>
      <c r="F139" s="186"/>
      <c r="G139" s="186"/>
      <c r="H139" s="186"/>
      <c r="I139" s="186"/>
      <c r="J139" s="186"/>
      <c r="K139" s="186"/>
      <c r="L139" s="186"/>
      <c r="M139" s="186"/>
      <c r="N139" s="186"/>
      <c r="O139" s="186"/>
      <c r="P139" s="186"/>
      <c r="Q139" s="186"/>
    </row>
    <row r="140" spans="2:17" x14ac:dyDescent="0.35">
      <c r="B140" s="186"/>
      <c r="C140" s="186"/>
      <c r="D140" s="186"/>
      <c r="E140" s="186"/>
      <c r="F140" s="186"/>
      <c r="G140" s="186"/>
      <c r="H140" s="186"/>
      <c r="I140" s="186"/>
      <c r="J140" s="186"/>
      <c r="K140" s="186"/>
      <c r="L140" s="186"/>
      <c r="M140" s="186"/>
      <c r="N140" s="186"/>
      <c r="O140" s="186"/>
      <c r="P140" s="186"/>
      <c r="Q140" s="186"/>
    </row>
    <row r="141" spans="2:17" x14ac:dyDescent="0.35">
      <c r="B141" s="186"/>
      <c r="C141" s="186"/>
      <c r="D141" s="186"/>
      <c r="E141" s="186"/>
      <c r="F141" s="186"/>
      <c r="G141" s="186"/>
      <c r="H141" s="186"/>
      <c r="I141" s="186"/>
      <c r="J141" s="186"/>
      <c r="K141" s="186"/>
      <c r="L141" s="186"/>
      <c r="M141" s="186"/>
      <c r="N141" s="186"/>
      <c r="O141" s="186"/>
      <c r="P141" s="186"/>
      <c r="Q141" s="186"/>
    </row>
    <row r="142" spans="2:17" x14ac:dyDescent="0.35">
      <c r="B142" s="186"/>
      <c r="C142" s="186"/>
      <c r="D142" s="186"/>
      <c r="E142" s="186"/>
      <c r="F142" s="186"/>
      <c r="G142" s="186"/>
      <c r="H142" s="186"/>
      <c r="I142" s="186"/>
      <c r="J142" s="186"/>
      <c r="K142" s="186"/>
      <c r="L142" s="186"/>
      <c r="M142" s="186"/>
      <c r="N142" s="186"/>
      <c r="O142" s="186"/>
      <c r="P142" s="186"/>
      <c r="Q142" s="186"/>
    </row>
    <row r="143" spans="2:17" x14ac:dyDescent="0.35">
      <c r="B143" s="186"/>
      <c r="C143" s="186"/>
      <c r="D143" s="186"/>
      <c r="E143" s="186"/>
      <c r="F143" s="186"/>
      <c r="G143" s="186"/>
      <c r="H143" s="186"/>
      <c r="I143" s="186"/>
      <c r="J143" s="186"/>
      <c r="K143" s="186"/>
      <c r="L143" s="186"/>
      <c r="M143" s="186"/>
      <c r="N143" s="186"/>
      <c r="O143" s="186"/>
      <c r="P143" s="186"/>
      <c r="Q143" s="186"/>
    </row>
    <row r="144" spans="2:17" x14ac:dyDescent="0.35">
      <c r="B144" s="186"/>
      <c r="C144" s="186"/>
      <c r="D144" s="186"/>
      <c r="E144" s="186"/>
      <c r="F144" s="186"/>
      <c r="G144" s="186"/>
      <c r="H144" s="186"/>
      <c r="I144" s="186"/>
      <c r="J144" s="186"/>
      <c r="K144" s="186"/>
      <c r="L144" s="186"/>
      <c r="M144" s="186"/>
      <c r="N144" s="186"/>
      <c r="O144" s="186"/>
      <c r="P144" s="186"/>
      <c r="Q144" s="186"/>
    </row>
    <row r="145" spans="2:17" x14ac:dyDescent="0.35">
      <c r="B145" s="186"/>
      <c r="C145" s="186"/>
      <c r="D145" s="186"/>
      <c r="E145" s="186"/>
      <c r="F145" s="186"/>
      <c r="G145" s="186"/>
      <c r="H145" s="186"/>
      <c r="I145" s="186"/>
      <c r="J145" s="186"/>
      <c r="K145" s="186"/>
      <c r="L145" s="186"/>
      <c r="M145" s="186"/>
      <c r="N145" s="186"/>
      <c r="O145" s="186"/>
      <c r="P145" s="186"/>
      <c r="Q145" s="186"/>
    </row>
    <row r="146" spans="2:17" x14ac:dyDescent="0.35">
      <c r="B146" s="186"/>
      <c r="C146" s="186"/>
      <c r="D146" s="186"/>
      <c r="E146" s="186"/>
      <c r="F146" s="186"/>
      <c r="G146" s="186"/>
      <c r="H146" s="186"/>
      <c r="I146" s="186"/>
      <c r="J146" s="186"/>
      <c r="K146" s="186"/>
      <c r="L146" s="186"/>
      <c r="M146" s="186"/>
      <c r="N146" s="186"/>
      <c r="O146" s="186"/>
      <c r="P146" s="186"/>
      <c r="Q146" s="186"/>
    </row>
    <row r="147" spans="2:17" x14ac:dyDescent="0.35">
      <c r="B147" s="186"/>
      <c r="C147" s="186"/>
      <c r="D147" s="186"/>
      <c r="E147" s="186"/>
      <c r="F147" s="186"/>
      <c r="G147" s="186"/>
      <c r="H147" s="186"/>
      <c r="I147" s="186"/>
      <c r="J147" s="186"/>
      <c r="K147" s="186"/>
      <c r="L147" s="186"/>
      <c r="M147" s="186"/>
      <c r="N147" s="186"/>
      <c r="O147" s="186"/>
      <c r="P147" s="186"/>
      <c r="Q147" s="186"/>
    </row>
    <row r="148" spans="2:17" x14ac:dyDescent="0.35">
      <c r="B148" s="186"/>
      <c r="C148" s="186"/>
      <c r="D148" s="186"/>
      <c r="E148" s="186"/>
      <c r="F148" s="186"/>
      <c r="G148" s="186"/>
      <c r="H148" s="186"/>
      <c r="I148" s="186"/>
      <c r="J148" s="186"/>
      <c r="K148" s="186"/>
      <c r="L148" s="186"/>
      <c r="M148" s="186"/>
      <c r="N148" s="186"/>
      <c r="O148" s="186"/>
      <c r="P148" s="186"/>
      <c r="Q148" s="186"/>
    </row>
    <row r="149" spans="2:17" x14ac:dyDescent="0.35">
      <c r="B149" s="186"/>
      <c r="C149" s="186"/>
      <c r="D149" s="186"/>
      <c r="E149" s="186"/>
      <c r="F149" s="186"/>
      <c r="G149" s="186"/>
      <c r="H149" s="186"/>
      <c r="I149" s="186"/>
      <c r="J149" s="186"/>
      <c r="K149" s="186"/>
      <c r="L149" s="186"/>
      <c r="M149" s="186"/>
      <c r="N149" s="186"/>
      <c r="O149" s="186"/>
      <c r="P149" s="186"/>
      <c r="Q149" s="186"/>
    </row>
    <row r="150" spans="2:17" x14ac:dyDescent="0.35">
      <c r="B150" s="186"/>
      <c r="C150" s="186"/>
      <c r="D150" s="186"/>
      <c r="E150" s="186"/>
      <c r="F150" s="186"/>
      <c r="G150" s="186"/>
      <c r="H150" s="186"/>
      <c r="I150" s="186"/>
      <c r="J150" s="186"/>
      <c r="K150" s="186"/>
      <c r="L150" s="186"/>
      <c r="M150" s="186"/>
      <c r="N150" s="186"/>
      <c r="O150" s="186"/>
      <c r="P150" s="186"/>
      <c r="Q150" s="186"/>
    </row>
    <row r="151" spans="2:17" x14ac:dyDescent="0.35">
      <c r="B151" s="186"/>
      <c r="C151" s="186"/>
      <c r="D151" s="186"/>
      <c r="E151" s="186"/>
      <c r="F151" s="186"/>
      <c r="G151" s="186"/>
      <c r="H151" s="186"/>
      <c r="I151" s="186"/>
      <c r="J151" s="186"/>
      <c r="K151" s="186"/>
      <c r="L151" s="186"/>
      <c r="M151" s="186"/>
      <c r="N151" s="186"/>
      <c r="O151" s="186"/>
      <c r="P151" s="186"/>
      <c r="Q151" s="186"/>
    </row>
    <row r="152" spans="2:17" x14ac:dyDescent="0.35">
      <c r="B152" s="186"/>
      <c r="C152" s="186"/>
      <c r="D152" s="186"/>
      <c r="E152" s="186"/>
      <c r="F152" s="186"/>
      <c r="G152" s="186"/>
      <c r="H152" s="186"/>
      <c r="I152" s="186"/>
      <c r="J152" s="186"/>
      <c r="K152" s="186"/>
      <c r="L152" s="186"/>
      <c r="M152" s="186"/>
      <c r="N152" s="186"/>
      <c r="O152" s="186"/>
      <c r="P152" s="186"/>
      <c r="Q152" s="186"/>
    </row>
    <row r="153" spans="2:17" x14ac:dyDescent="0.35">
      <c r="B153" s="186"/>
      <c r="C153" s="186"/>
      <c r="D153" s="186"/>
      <c r="E153" s="186"/>
      <c r="F153" s="186"/>
      <c r="G153" s="186"/>
      <c r="H153" s="186"/>
      <c r="I153" s="186"/>
      <c r="J153" s="186"/>
      <c r="K153" s="186"/>
      <c r="L153" s="186"/>
      <c r="M153" s="186"/>
      <c r="N153" s="186"/>
      <c r="O153" s="186"/>
      <c r="P153" s="186"/>
      <c r="Q153" s="186"/>
    </row>
    <row r="154" spans="2:17" x14ac:dyDescent="0.35">
      <c r="B154" s="186"/>
      <c r="C154" s="186"/>
      <c r="D154" s="186"/>
      <c r="E154" s="186"/>
      <c r="F154" s="186"/>
      <c r="G154" s="186"/>
      <c r="H154" s="186"/>
      <c r="I154" s="186"/>
      <c r="J154" s="186"/>
      <c r="K154" s="186"/>
      <c r="L154" s="186"/>
      <c r="M154" s="186"/>
      <c r="N154" s="186"/>
      <c r="O154" s="186"/>
      <c r="P154" s="186"/>
      <c r="Q154" s="186"/>
    </row>
    <row r="155" spans="2:17" x14ac:dyDescent="0.35">
      <c r="B155" s="186"/>
      <c r="C155" s="186"/>
      <c r="D155" s="186"/>
      <c r="E155" s="186"/>
      <c r="F155" s="186"/>
      <c r="G155" s="186"/>
      <c r="H155" s="186"/>
      <c r="I155" s="186"/>
      <c r="J155" s="186"/>
      <c r="K155" s="186"/>
      <c r="L155" s="186"/>
      <c r="M155" s="186"/>
      <c r="N155" s="186"/>
      <c r="O155" s="186"/>
      <c r="P155" s="186"/>
      <c r="Q155" s="186"/>
    </row>
    <row r="156" spans="2:17" x14ac:dyDescent="0.35">
      <c r="B156" s="186"/>
      <c r="C156" s="186"/>
      <c r="D156" s="186"/>
      <c r="E156" s="186"/>
      <c r="F156" s="186"/>
      <c r="G156" s="186"/>
      <c r="H156" s="186"/>
      <c r="I156" s="186"/>
      <c r="J156" s="186"/>
      <c r="K156" s="186"/>
      <c r="L156" s="186"/>
      <c r="M156" s="186"/>
      <c r="N156" s="186"/>
      <c r="O156" s="186"/>
      <c r="P156" s="186"/>
      <c r="Q156" s="186"/>
    </row>
    <row r="157" spans="2:17" x14ac:dyDescent="0.35">
      <c r="B157" s="186"/>
      <c r="C157" s="186"/>
      <c r="D157" s="186"/>
      <c r="E157" s="186"/>
      <c r="F157" s="186"/>
      <c r="G157" s="186"/>
      <c r="H157" s="186"/>
      <c r="I157" s="186"/>
      <c r="J157" s="186"/>
      <c r="K157" s="186"/>
      <c r="L157" s="186"/>
      <c r="M157" s="186"/>
      <c r="N157" s="186"/>
      <c r="O157" s="186"/>
      <c r="P157" s="186"/>
      <c r="Q157" s="186"/>
    </row>
    <row r="158" spans="2:17" x14ac:dyDescent="0.35">
      <c r="B158" s="186"/>
      <c r="C158" s="186"/>
      <c r="D158" s="186"/>
      <c r="E158" s="186"/>
      <c r="F158" s="186"/>
      <c r="G158" s="186"/>
      <c r="H158" s="186"/>
      <c r="I158" s="186"/>
      <c r="J158" s="186"/>
      <c r="K158" s="186"/>
      <c r="L158" s="186"/>
      <c r="M158" s="186"/>
      <c r="N158" s="186"/>
      <c r="O158" s="186"/>
      <c r="P158" s="186"/>
      <c r="Q158" s="186"/>
    </row>
    <row r="159" spans="2:17" x14ac:dyDescent="0.35">
      <c r="B159" s="186"/>
      <c r="C159" s="186"/>
      <c r="D159" s="186"/>
      <c r="E159" s="186"/>
      <c r="F159" s="186"/>
      <c r="G159" s="186"/>
      <c r="H159" s="186"/>
      <c r="I159" s="186"/>
      <c r="J159" s="186"/>
      <c r="K159" s="186"/>
      <c r="L159" s="186"/>
      <c r="M159" s="186"/>
      <c r="N159" s="186"/>
      <c r="O159" s="186"/>
      <c r="P159" s="186"/>
      <c r="Q159" s="186"/>
    </row>
    <row r="160" spans="2:17" x14ac:dyDescent="0.35">
      <c r="B160" s="186"/>
      <c r="C160" s="186"/>
      <c r="D160" s="186"/>
      <c r="E160" s="186"/>
      <c r="F160" s="186"/>
      <c r="G160" s="186"/>
      <c r="H160" s="186"/>
      <c r="I160" s="186"/>
      <c r="J160" s="186"/>
      <c r="K160" s="186"/>
      <c r="L160" s="186"/>
      <c r="M160" s="186"/>
      <c r="N160" s="186"/>
      <c r="O160" s="186"/>
      <c r="P160" s="186"/>
      <c r="Q160" s="186"/>
    </row>
    <row r="161" spans="2:17" x14ac:dyDescent="0.35">
      <c r="B161" s="186"/>
      <c r="C161" s="186"/>
      <c r="D161" s="186"/>
      <c r="E161" s="186"/>
      <c r="F161" s="186"/>
      <c r="G161" s="186"/>
      <c r="H161" s="186"/>
      <c r="I161" s="186"/>
      <c r="J161" s="186"/>
      <c r="K161" s="186"/>
      <c r="L161" s="186"/>
      <c r="M161" s="186"/>
      <c r="N161" s="186"/>
      <c r="O161" s="186"/>
      <c r="P161" s="186"/>
      <c r="Q161" s="186"/>
    </row>
    <row r="162" spans="2:17" x14ac:dyDescent="0.35">
      <c r="B162" s="186"/>
      <c r="C162" s="186"/>
      <c r="D162" s="186"/>
      <c r="E162" s="186"/>
      <c r="F162" s="186"/>
      <c r="G162" s="186"/>
      <c r="H162" s="186"/>
      <c r="I162" s="186"/>
      <c r="J162" s="186"/>
      <c r="K162" s="186"/>
      <c r="L162" s="186"/>
      <c r="M162" s="186"/>
      <c r="N162" s="186"/>
      <c r="O162" s="186"/>
      <c r="P162" s="186"/>
      <c r="Q162" s="186"/>
    </row>
    <row r="163" spans="2:17" x14ac:dyDescent="0.35">
      <c r="B163" s="186"/>
      <c r="C163" s="186"/>
      <c r="D163" s="186"/>
      <c r="E163" s="186"/>
      <c r="F163" s="186"/>
      <c r="G163" s="186"/>
      <c r="H163" s="186"/>
      <c r="I163" s="186"/>
      <c r="J163" s="186"/>
      <c r="K163" s="186"/>
      <c r="L163" s="186"/>
      <c r="M163" s="186"/>
      <c r="N163" s="186"/>
      <c r="O163" s="186"/>
      <c r="P163" s="186"/>
      <c r="Q163" s="186"/>
    </row>
    <row r="164" spans="2:17" x14ac:dyDescent="0.35">
      <c r="B164" s="186"/>
      <c r="C164" s="186"/>
      <c r="D164" s="186"/>
      <c r="E164" s="186"/>
      <c r="F164" s="186"/>
      <c r="G164" s="186"/>
      <c r="H164" s="186"/>
      <c r="I164" s="186"/>
      <c r="J164" s="186"/>
      <c r="K164" s="186"/>
      <c r="L164" s="186"/>
      <c r="M164" s="186"/>
      <c r="N164" s="186"/>
      <c r="O164" s="186"/>
      <c r="P164" s="186"/>
      <c r="Q164" s="186"/>
    </row>
    <row r="165" spans="2:17" x14ac:dyDescent="0.35">
      <c r="B165" s="186"/>
      <c r="C165" s="186"/>
      <c r="D165" s="186"/>
      <c r="E165" s="186"/>
      <c r="F165" s="186"/>
      <c r="G165" s="186"/>
      <c r="H165" s="186"/>
      <c r="I165" s="186"/>
      <c r="J165" s="186"/>
      <c r="K165" s="186"/>
      <c r="L165" s="186"/>
      <c r="M165" s="186"/>
      <c r="N165" s="186"/>
      <c r="O165" s="186"/>
      <c r="P165" s="186"/>
      <c r="Q165" s="186"/>
    </row>
    <row r="166" spans="2:17" x14ac:dyDescent="0.35">
      <c r="B166" s="186"/>
      <c r="C166" s="186"/>
      <c r="D166" s="186"/>
      <c r="E166" s="186"/>
      <c r="F166" s="186"/>
      <c r="G166" s="186"/>
      <c r="H166" s="186"/>
      <c r="I166" s="186"/>
      <c r="J166" s="186"/>
      <c r="K166" s="186"/>
      <c r="L166" s="186"/>
      <c r="M166" s="186"/>
      <c r="N166" s="186"/>
      <c r="O166" s="186"/>
      <c r="P166" s="186"/>
      <c r="Q166" s="186"/>
    </row>
    <row r="167" spans="2:17" x14ac:dyDescent="0.35">
      <c r="B167" s="186"/>
      <c r="C167" s="186"/>
      <c r="D167" s="186"/>
      <c r="E167" s="186"/>
      <c r="F167" s="186"/>
      <c r="G167" s="186"/>
      <c r="H167" s="186"/>
      <c r="I167" s="186"/>
      <c r="J167" s="186"/>
      <c r="K167" s="186"/>
      <c r="L167" s="186"/>
      <c r="M167" s="186"/>
      <c r="N167" s="186"/>
      <c r="O167" s="186"/>
      <c r="P167" s="186"/>
      <c r="Q167" s="186"/>
    </row>
    <row r="168" spans="2:17" x14ac:dyDescent="0.35">
      <c r="B168" s="186"/>
      <c r="C168" s="186"/>
      <c r="D168" s="186"/>
      <c r="E168" s="186"/>
      <c r="F168" s="186"/>
      <c r="G168" s="186"/>
      <c r="H168" s="186"/>
      <c r="I168" s="186"/>
      <c r="J168" s="186"/>
      <c r="K168" s="186"/>
      <c r="L168" s="186"/>
      <c r="M168" s="186"/>
      <c r="N168" s="186"/>
      <c r="O168" s="186"/>
      <c r="P168" s="186"/>
      <c r="Q168" s="186"/>
    </row>
    <row r="169" spans="2:17" x14ac:dyDescent="0.35">
      <c r="B169" s="186"/>
      <c r="C169" s="186"/>
      <c r="D169" s="186"/>
      <c r="E169" s="186"/>
      <c r="F169" s="186"/>
      <c r="G169" s="186"/>
      <c r="H169" s="186"/>
      <c r="I169" s="186"/>
      <c r="J169" s="186"/>
      <c r="K169" s="186"/>
      <c r="L169" s="186"/>
      <c r="M169" s="186"/>
      <c r="N169" s="186"/>
      <c r="O169" s="186"/>
      <c r="P169" s="186"/>
      <c r="Q169" s="186"/>
    </row>
    <row r="170" spans="2:17" x14ac:dyDescent="0.35">
      <c r="B170" s="186"/>
      <c r="C170" s="186"/>
      <c r="D170" s="186"/>
      <c r="E170" s="186"/>
      <c r="F170" s="186"/>
      <c r="G170" s="186"/>
      <c r="H170" s="186"/>
      <c r="I170" s="186"/>
      <c r="J170" s="186"/>
      <c r="K170" s="186"/>
      <c r="L170" s="186"/>
      <c r="M170" s="186"/>
      <c r="N170" s="186"/>
      <c r="O170" s="186"/>
      <c r="P170" s="186"/>
      <c r="Q170" s="186"/>
    </row>
    <row r="171" spans="2:17" x14ac:dyDescent="0.35">
      <c r="B171" s="186"/>
      <c r="C171" s="186"/>
      <c r="D171" s="186"/>
      <c r="E171" s="186"/>
      <c r="F171" s="186"/>
      <c r="G171" s="186"/>
      <c r="H171" s="186"/>
      <c r="I171" s="186"/>
      <c r="J171" s="186"/>
      <c r="K171" s="186"/>
      <c r="L171" s="186"/>
      <c r="M171" s="186"/>
      <c r="N171" s="186"/>
      <c r="O171" s="186"/>
      <c r="P171" s="186"/>
      <c r="Q171" s="186"/>
    </row>
    <row r="172" spans="2:17" x14ac:dyDescent="0.35">
      <c r="B172" s="186"/>
      <c r="C172" s="186"/>
      <c r="D172" s="186"/>
      <c r="E172" s="186"/>
      <c r="F172" s="186"/>
      <c r="G172" s="186"/>
      <c r="H172" s="186"/>
      <c r="I172" s="186"/>
      <c r="J172" s="186"/>
      <c r="K172" s="186"/>
      <c r="L172" s="186"/>
      <c r="M172" s="186"/>
      <c r="N172" s="186"/>
      <c r="O172" s="186"/>
      <c r="P172" s="186"/>
      <c r="Q172" s="186"/>
    </row>
    <row r="173" spans="2:17" x14ac:dyDescent="0.35">
      <c r="B173" s="186"/>
      <c r="C173" s="186"/>
      <c r="D173" s="186"/>
      <c r="E173" s="186"/>
      <c r="F173" s="186"/>
      <c r="G173" s="186"/>
      <c r="H173" s="186"/>
      <c r="I173" s="186"/>
      <c r="J173" s="186"/>
      <c r="K173" s="186"/>
      <c r="L173" s="186"/>
      <c r="M173" s="186"/>
      <c r="N173" s="186"/>
      <c r="O173" s="186"/>
      <c r="P173" s="186"/>
      <c r="Q173" s="186"/>
    </row>
    <row r="174" spans="2:17" x14ac:dyDescent="0.35">
      <c r="B174" s="186"/>
      <c r="C174" s="186"/>
      <c r="D174" s="186"/>
      <c r="E174" s="186"/>
      <c r="F174" s="186"/>
      <c r="G174" s="186"/>
      <c r="H174" s="186"/>
      <c r="I174" s="186"/>
      <c r="J174" s="186"/>
      <c r="K174" s="186"/>
      <c r="L174" s="186"/>
      <c r="M174" s="186"/>
      <c r="N174" s="186"/>
      <c r="O174" s="186"/>
      <c r="P174" s="186"/>
      <c r="Q174" s="186"/>
    </row>
    <row r="175" spans="2:17" x14ac:dyDescent="0.35">
      <c r="B175" s="186"/>
      <c r="C175" s="186"/>
      <c r="D175" s="186"/>
      <c r="E175" s="186"/>
      <c r="F175" s="186"/>
      <c r="G175" s="186"/>
      <c r="H175" s="186"/>
      <c r="I175" s="186"/>
      <c r="J175" s="186"/>
      <c r="K175" s="186"/>
      <c r="L175" s="186"/>
      <c r="M175" s="186"/>
      <c r="N175" s="186"/>
      <c r="O175" s="186"/>
      <c r="P175" s="186"/>
      <c r="Q175" s="186"/>
    </row>
    <row r="176" spans="2:17" x14ac:dyDescent="0.35">
      <c r="B176" s="186"/>
      <c r="C176" s="186"/>
      <c r="D176" s="186"/>
      <c r="E176" s="186"/>
      <c r="F176" s="186"/>
      <c r="G176" s="186"/>
      <c r="H176" s="186"/>
      <c r="I176" s="186"/>
      <c r="J176" s="186"/>
      <c r="K176" s="186"/>
      <c r="L176" s="186"/>
      <c r="M176" s="186"/>
      <c r="N176" s="186"/>
      <c r="O176" s="186"/>
      <c r="P176" s="186"/>
      <c r="Q176" s="186"/>
    </row>
    <row r="177" spans="2:17" x14ac:dyDescent="0.35">
      <c r="B177" s="186"/>
      <c r="C177" s="186"/>
      <c r="D177" s="186"/>
      <c r="E177" s="186"/>
      <c r="F177" s="186"/>
      <c r="G177" s="186"/>
      <c r="H177" s="186"/>
      <c r="I177" s="186"/>
      <c r="J177" s="186"/>
      <c r="K177" s="186"/>
      <c r="L177" s="186"/>
      <c r="M177" s="186"/>
      <c r="N177" s="186"/>
      <c r="O177" s="186"/>
      <c r="P177" s="186"/>
      <c r="Q177" s="186"/>
    </row>
    <row r="178" spans="2:17" x14ac:dyDescent="0.35">
      <c r="B178" s="186"/>
      <c r="C178" s="186"/>
      <c r="D178" s="186"/>
      <c r="E178" s="186"/>
      <c r="F178" s="186"/>
      <c r="G178" s="186"/>
      <c r="H178" s="186"/>
      <c r="I178" s="186"/>
      <c r="J178" s="186"/>
      <c r="K178" s="186"/>
      <c r="L178" s="186"/>
      <c r="M178" s="186"/>
      <c r="N178" s="186"/>
      <c r="O178" s="186"/>
      <c r="P178" s="186"/>
      <c r="Q178" s="186"/>
    </row>
    <row r="179" spans="2:17" x14ac:dyDescent="0.35">
      <c r="B179" s="186"/>
      <c r="C179" s="186"/>
      <c r="D179" s="186"/>
      <c r="E179" s="186"/>
      <c r="F179" s="186"/>
      <c r="G179" s="186"/>
      <c r="H179" s="186"/>
      <c r="I179" s="186"/>
      <c r="J179" s="186"/>
      <c r="K179" s="186"/>
      <c r="L179" s="186"/>
      <c r="M179" s="186"/>
      <c r="N179" s="186"/>
      <c r="O179" s="186"/>
      <c r="P179" s="186"/>
      <c r="Q179" s="186"/>
    </row>
    <row r="180" spans="2:17" x14ac:dyDescent="0.35">
      <c r="B180" s="186"/>
      <c r="C180" s="186"/>
      <c r="D180" s="186"/>
      <c r="E180" s="186"/>
      <c r="F180" s="186"/>
      <c r="G180" s="186"/>
      <c r="H180" s="186"/>
      <c r="I180" s="186"/>
      <c r="J180" s="186"/>
      <c r="K180" s="186"/>
      <c r="L180" s="186"/>
      <c r="M180" s="186"/>
      <c r="N180" s="186"/>
      <c r="O180" s="186"/>
      <c r="P180" s="186"/>
      <c r="Q180" s="186"/>
    </row>
    <row r="181" spans="2:17" x14ac:dyDescent="0.35">
      <c r="B181" s="186"/>
      <c r="C181" s="186"/>
      <c r="D181" s="186"/>
      <c r="E181" s="186"/>
      <c r="F181" s="186"/>
      <c r="G181" s="186"/>
      <c r="H181" s="186"/>
      <c r="I181" s="186"/>
      <c r="J181" s="186"/>
      <c r="K181" s="186"/>
      <c r="L181" s="186"/>
      <c r="M181" s="186"/>
      <c r="N181" s="186"/>
      <c r="O181" s="186"/>
      <c r="P181" s="186"/>
      <c r="Q181" s="186"/>
    </row>
    <row r="182" spans="2:17" x14ac:dyDescent="0.35">
      <c r="B182" s="186"/>
      <c r="C182" s="186"/>
      <c r="D182" s="186"/>
      <c r="E182" s="186"/>
      <c r="F182" s="186"/>
      <c r="G182" s="186"/>
      <c r="H182" s="186"/>
      <c r="I182" s="186"/>
      <c r="J182" s="186"/>
      <c r="K182" s="186"/>
      <c r="L182" s="186"/>
      <c r="M182" s="186"/>
      <c r="N182" s="186"/>
      <c r="O182" s="186"/>
      <c r="P182" s="186"/>
      <c r="Q182" s="186"/>
    </row>
    <row r="183" spans="2:17" x14ac:dyDescent="0.35">
      <c r="B183" s="186"/>
      <c r="C183" s="186"/>
      <c r="D183" s="186"/>
      <c r="E183" s="186"/>
      <c r="F183" s="186"/>
      <c r="G183" s="186"/>
      <c r="H183" s="186"/>
      <c r="I183" s="186"/>
      <c r="J183" s="186"/>
      <c r="K183" s="186"/>
      <c r="L183" s="186"/>
      <c r="M183" s="186"/>
      <c r="N183" s="186"/>
      <c r="O183" s="186"/>
      <c r="P183" s="186"/>
      <c r="Q183" s="186"/>
    </row>
    <row r="184" spans="2:17" x14ac:dyDescent="0.35">
      <c r="B184" s="186"/>
      <c r="C184" s="186"/>
      <c r="D184" s="186"/>
      <c r="E184" s="186"/>
      <c r="F184" s="186"/>
      <c r="G184" s="186"/>
      <c r="H184" s="186"/>
      <c r="I184" s="186"/>
      <c r="J184" s="186"/>
      <c r="K184" s="186"/>
      <c r="L184" s="186"/>
      <c r="M184" s="186"/>
      <c r="N184" s="186"/>
      <c r="O184" s="186"/>
      <c r="P184" s="186"/>
      <c r="Q184" s="186"/>
    </row>
    <row r="185" spans="2:17" x14ac:dyDescent="0.35">
      <c r="B185" s="186"/>
      <c r="C185" s="186"/>
      <c r="D185" s="186"/>
      <c r="E185" s="186"/>
      <c r="F185" s="186"/>
      <c r="G185" s="186"/>
      <c r="H185" s="186"/>
      <c r="I185" s="186"/>
      <c r="J185" s="186"/>
      <c r="K185" s="186"/>
      <c r="L185" s="186"/>
      <c r="M185" s="186"/>
      <c r="N185" s="186"/>
      <c r="O185" s="186"/>
      <c r="P185" s="186"/>
      <c r="Q185" s="186"/>
    </row>
    <row r="186" spans="2:17" x14ac:dyDescent="0.35">
      <c r="B186" s="186"/>
      <c r="C186" s="186"/>
      <c r="D186" s="186"/>
      <c r="E186" s="186"/>
      <c r="F186" s="186"/>
      <c r="G186" s="186"/>
      <c r="H186" s="186"/>
      <c r="I186" s="186"/>
      <c r="J186" s="186"/>
      <c r="K186" s="186"/>
      <c r="L186" s="186"/>
      <c r="M186" s="186"/>
      <c r="N186" s="186"/>
      <c r="O186" s="186"/>
      <c r="P186" s="186"/>
      <c r="Q186" s="186"/>
    </row>
    <row r="187" spans="2:17" x14ac:dyDescent="0.35">
      <c r="B187" s="186"/>
      <c r="C187" s="186"/>
      <c r="D187" s="186"/>
      <c r="E187" s="186"/>
      <c r="F187" s="186"/>
      <c r="G187" s="186"/>
      <c r="H187" s="186"/>
      <c r="I187" s="186"/>
      <c r="J187" s="186"/>
      <c r="K187" s="186"/>
      <c r="L187" s="186"/>
      <c r="M187" s="186"/>
      <c r="N187" s="186"/>
      <c r="O187" s="186"/>
      <c r="P187" s="186"/>
      <c r="Q187" s="186"/>
    </row>
    <row r="188" spans="2:17" x14ac:dyDescent="0.35">
      <c r="B188" s="186"/>
      <c r="C188" s="186"/>
      <c r="D188" s="186"/>
      <c r="E188" s="186"/>
      <c r="F188" s="186"/>
      <c r="G188" s="186"/>
      <c r="H188" s="186"/>
      <c r="I188" s="186"/>
      <c r="J188" s="186"/>
      <c r="K188" s="186"/>
      <c r="L188" s="186"/>
      <c r="M188" s="186"/>
      <c r="N188" s="186"/>
      <c r="O188" s="186"/>
      <c r="P188" s="186"/>
      <c r="Q188" s="186"/>
    </row>
    <row r="189" spans="2:17" x14ac:dyDescent="0.35">
      <c r="B189" s="186"/>
      <c r="C189" s="186"/>
      <c r="D189" s="186"/>
      <c r="E189" s="186"/>
      <c r="F189" s="186"/>
      <c r="G189" s="186"/>
      <c r="H189" s="186"/>
      <c r="I189" s="186"/>
      <c r="J189" s="186"/>
      <c r="K189" s="186"/>
      <c r="L189" s="186"/>
      <c r="M189" s="186"/>
      <c r="N189" s="186"/>
      <c r="O189" s="186"/>
      <c r="P189" s="186"/>
      <c r="Q189" s="186"/>
    </row>
    <row r="190" spans="2:17" x14ac:dyDescent="0.35">
      <c r="B190" s="186"/>
      <c r="C190" s="186"/>
      <c r="D190" s="186"/>
      <c r="E190" s="186"/>
      <c r="F190" s="186"/>
      <c r="G190" s="186"/>
      <c r="H190" s="186"/>
      <c r="I190" s="186"/>
      <c r="J190" s="186"/>
      <c r="K190" s="186"/>
      <c r="L190" s="186"/>
      <c r="M190" s="186"/>
      <c r="N190" s="186"/>
      <c r="O190" s="186"/>
      <c r="P190" s="186"/>
      <c r="Q190" s="186"/>
    </row>
    <row r="191" spans="2:17" x14ac:dyDescent="0.35">
      <c r="B191" s="186"/>
      <c r="C191" s="186"/>
      <c r="D191" s="186"/>
      <c r="E191" s="186"/>
      <c r="F191" s="186"/>
      <c r="G191" s="186"/>
      <c r="H191" s="186"/>
      <c r="I191" s="186"/>
      <c r="J191" s="186"/>
      <c r="K191" s="186"/>
      <c r="L191" s="186"/>
      <c r="M191" s="186"/>
      <c r="N191" s="186"/>
      <c r="O191" s="186"/>
      <c r="P191" s="186"/>
      <c r="Q191" s="186"/>
    </row>
    <row r="192" spans="2:17" x14ac:dyDescent="0.35">
      <c r="B192" s="186"/>
      <c r="C192" s="186"/>
      <c r="D192" s="186"/>
      <c r="E192" s="186"/>
      <c r="F192" s="186"/>
      <c r="G192" s="186"/>
      <c r="H192" s="186"/>
      <c r="I192" s="186"/>
      <c r="J192" s="186"/>
      <c r="K192" s="186"/>
      <c r="L192" s="186"/>
      <c r="M192" s="186"/>
      <c r="N192" s="186"/>
      <c r="O192" s="186"/>
      <c r="P192" s="186"/>
      <c r="Q192" s="186"/>
    </row>
    <row r="193" spans="2:17" x14ac:dyDescent="0.35">
      <c r="B193" s="186"/>
      <c r="C193" s="186"/>
      <c r="D193" s="186"/>
      <c r="E193" s="186"/>
      <c r="F193" s="186"/>
      <c r="G193" s="186"/>
      <c r="H193" s="186"/>
      <c r="I193" s="186"/>
      <c r="J193" s="186"/>
      <c r="K193" s="186"/>
      <c r="L193" s="186"/>
      <c r="M193" s="186"/>
      <c r="N193" s="186"/>
      <c r="O193" s="186"/>
      <c r="P193" s="186"/>
      <c r="Q193" s="186"/>
    </row>
    <row r="194" spans="2:17" x14ac:dyDescent="0.35">
      <c r="B194" s="186"/>
      <c r="C194" s="186"/>
      <c r="D194" s="186"/>
      <c r="E194" s="186"/>
      <c r="F194" s="186"/>
      <c r="G194" s="186"/>
      <c r="H194" s="186"/>
      <c r="I194" s="186"/>
      <c r="J194" s="186"/>
      <c r="K194" s="186"/>
      <c r="L194" s="186"/>
      <c r="M194" s="186"/>
      <c r="N194" s="186"/>
      <c r="O194" s="186"/>
      <c r="P194" s="186"/>
      <c r="Q194" s="186"/>
    </row>
    <row r="195" spans="2:17" x14ac:dyDescent="0.35">
      <c r="B195" s="186"/>
      <c r="C195" s="186"/>
      <c r="D195" s="186"/>
      <c r="E195" s="186"/>
      <c r="F195" s="186"/>
      <c r="G195" s="186"/>
      <c r="H195" s="186"/>
      <c r="I195" s="186"/>
      <c r="J195" s="186"/>
      <c r="K195" s="186"/>
      <c r="L195" s="186"/>
      <c r="M195" s="186"/>
      <c r="N195" s="186"/>
      <c r="O195" s="186"/>
      <c r="P195" s="186"/>
      <c r="Q195" s="186"/>
    </row>
    <row r="196" spans="2:17" x14ac:dyDescent="0.35">
      <c r="B196" s="186"/>
      <c r="C196" s="186"/>
      <c r="D196" s="186"/>
      <c r="E196" s="186"/>
      <c r="F196" s="186"/>
      <c r="G196" s="186"/>
      <c r="H196" s="186"/>
      <c r="I196" s="186"/>
      <c r="J196" s="186"/>
      <c r="K196" s="186"/>
      <c r="L196" s="186"/>
      <c r="M196" s="186"/>
      <c r="N196" s="186"/>
      <c r="O196" s="186"/>
      <c r="P196" s="186"/>
      <c r="Q196" s="186"/>
    </row>
    <row r="197" spans="2:17" x14ac:dyDescent="0.35">
      <c r="B197" s="186"/>
      <c r="C197" s="186"/>
      <c r="D197" s="186"/>
      <c r="E197" s="186"/>
      <c r="F197" s="186"/>
      <c r="G197" s="186"/>
      <c r="H197" s="186"/>
      <c r="I197" s="186"/>
      <c r="J197" s="186"/>
      <c r="K197" s="186"/>
      <c r="L197" s="186"/>
      <c r="M197" s="186"/>
      <c r="N197" s="186"/>
      <c r="O197" s="186"/>
      <c r="P197" s="186"/>
      <c r="Q197" s="186"/>
    </row>
    <row r="198" spans="2:17" x14ac:dyDescent="0.35">
      <c r="B198" s="186"/>
      <c r="C198" s="186"/>
      <c r="D198" s="186"/>
      <c r="E198" s="186"/>
      <c r="F198" s="186"/>
      <c r="G198" s="186"/>
      <c r="H198" s="186"/>
      <c r="I198" s="186"/>
      <c r="J198" s="186"/>
      <c r="K198" s="186"/>
      <c r="L198" s="186"/>
      <c r="M198" s="186"/>
      <c r="N198" s="186"/>
      <c r="O198" s="186"/>
      <c r="P198" s="186"/>
      <c r="Q198" s="186"/>
    </row>
    <row r="199" spans="2:17" x14ac:dyDescent="0.35">
      <c r="B199" s="186"/>
      <c r="C199" s="186"/>
      <c r="D199" s="186"/>
      <c r="E199" s="186"/>
      <c r="F199" s="186"/>
      <c r="G199" s="186"/>
      <c r="H199" s="186"/>
      <c r="I199" s="186"/>
      <c r="J199" s="186"/>
      <c r="K199" s="186"/>
      <c r="L199" s="186"/>
      <c r="M199" s="186"/>
      <c r="N199" s="186"/>
      <c r="O199" s="186"/>
      <c r="P199" s="186"/>
      <c r="Q199" s="186"/>
    </row>
    <row r="200" spans="2:17" x14ac:dyDescent="0.35">
      <c r="B200" s="186"/>
      <c r="C200" s="186"/>
      <c r="D200" s="186"/>
      <c r="E200" s="186"/>
      <c r="F200" s="186"/>
      <c r="G200" s="186"/>
      <c r="H200" s="186"/>
      <c r="I200" s="186"/>
      <c r="J200" s="186"/>
      <c r="K200" s="186"/>
      <c r="L200" s="186"/>
      <c r="M200" s="186"/>
      <c r="N200" s="186"/>
      <c r="O200" s="186"/>
      <c r="P200" s="186"/>
      <c r="Q200" s="186"/>
    </row>
    <row r="201" spans="2:17" x14ac:dyDescent="0.35">
      <c r="B201" s="186"/>
      <c r="C201" s="186"/>
      <c r="D201" s="186"/>
      <c r="E201" s="186"/>
      <c r="F201" s="186"/>
      <c r="G201" s="186"/>
      <c r="H201" s="186"/>
      <c r="I201" s="186"/>
      <c r="J201" s="186"/>
      <c r="K201" s="186"/>
      <c r="L201" s="186"/>
      <c r="M201" s="186"/>
      <c r="N201" s="186"/>
      <c r="O201" s="186"/>
      <c r="P201" s="186"/>
      <c r="Q201" s="186"/>
    </row>
    <row r="202" spans="2:17" x14ac:dyDescent="0.35">
      <c r="B202" s="186"/>
      <c r="C202" s="186"/>
      <c r="D202" s="186"/>
      <c r="E202" s="186"/>
      <c r="F202" s="186"/>
      <c r="G202" s="186"/>
      <c r="H202" s="186"/>
      <c r="I202" s="186"/>
      <c r="J202" s="186"/>
      <c r="K202" s="186"/>
      <c r="L202" s="186"/>
      <c r="M202" s="186"/>
      <c r="N202" s="186"/>
      <c r="O202" s="186"/>
      <c r="P202" s="186"/>
      <c r="Q202" s="186"/>
    </row>
    <row r="203" spans="2:17" x14ac:dyDescent="0.35">
      <c r="B203" s="186"/>
      <c r="C203" s="186"/>
      <c r="D203" s="186"/>
      <c r="E203" s="186"/>
      <c r="F203" s="186"/>
      <c r="G203" s="186"/>
      <c r="H203" s="186"/>
      <c r="I203" s="186"/>
      <c r="J203" s="186"/>
      <c r="K203" s="186"/>
      <c r="L203" s="186"/>
      <c r="M203" s="186"/>
      <c r="N203" s="186"/>
      <c r="O203" s="186"/>
      <c r="P203" s="186"/>
      <c r="Q203" s="186"/>
    </row>
    <row r="204" spans="2:17" x14ac:dyDescent="0.35">
      <c r="B204" s="186"/>
      <c r="C204" s="186"/>
      <c r="D204" s="186"/>
      <c r="E204" s="186"/>
      <c r="F204" s="186"/>
      <c r="G204" s="186"/>
      <c r="H204" s="186"/>
      <c r="I204" s="186"/>
      <c r="J204" s="186"/>
      <c r="K204" s="186"/>
      <c r="L204" s="186"/>
      <c r="M204" s="186"/>
      <c r="N204" s="186"/>
      <c r="O204" s="186"/>
      <c r="P204" s="186"/>
      <c r="Q204" s="186"/>
    </row>
    <row r="205" spans="2:17" x14ac:dyDescent="0.35">
      <c r="B205" s="186"/>
      <c r="C205" s="186"/>
      <c r="D205" s="186"/>
      <c r="E205" s="186"/>
      <c r="F205" s="186"/>
      <c r="G205" s="186"/>
      <c r="H205" s="186"/>
      <c r="I205" s="186"/>
      <c r="J205" s="186"/>
      <c r="K205" s="186"/>
      <c r="L205" s="186"/>
      <c r="M205" s="186"/>
      <c r="N205" s="186"/>
      <c r="O205" s="186"/>
      <c r="P205" s="186"/>
      <c r="Q205" s="186"/>
    </row>
    <row r="206" spans="2:17" x14ac:dyDescent="0.35">
      <c r="B206" s="186"/>
      <c r="C206" s="186"/>
      <c r="D206" s="186"/>
      <c r="E206" s="186"/>
      <c r="F206" s="186"/>
      <c r="G206" s="186"/>
      <c r="H206" s="186"/>
      <c r="I206" s="186"/>
      <c r="J206" s="186"/>
      <c r="K206" s="186"/>
      <c r="L206" s="186"/>
      <c r="M206" s="186"/>
      <c r="N206" s="186"/>
      <c r="O206" s="186"/>
      <c r="P206" s="186"/>
      <c r="Q206" s="186"/>
    </row>
    <row r="207" spans="2:17" x14ac:dyDescent="0.35">
      <c r="B207" s="186"/>
      <c r="C207" s="186"/>
      <c r="D207" s="186"/>
      <c r="E207" s="186"/>
      <c r="F207" s="186"/>
      <c r="G207" s="186"/>
      <c r="H207" s="186"/>
      <c r="I207" s="186"/>
      <c r="J207" s="186"/>
      <c r="K207" s="186"/>
      <c r="L207" s="186"/>
      <c r="M207" s="186"/>
      <c r="N207" s="186"/>
      <c r="O207" s="186"/>
      <c r="P207" s="186"/>
      <c r="Q207" s="186"/>
    </row>
    <row r="208" spans="2:17" x14ac:dyDescent="0.35">
      <c r="B208" s="186"/>
      <c r="C208" s="186"/>
      <c r="D208" s="186"/>
      <c r="E208" s="186"/>
      <c r="F208" s="186"/>
      <c r="G208" s="186"/>
      <c r="H208" s="186"/>
      <c r="I208" s="186"/>
      <c r="J208" s="186"/>
      <c r="K208" s="186"/>
      <c r="L208" s="186"/>
      <c r="M208" s="186"/>
      <c r="N208" s="186"/>
      <c r="O208" s="186"/>
      <c r="P208" s="186"/>
      <c r="Q208" s="186"/>
    </row>
    <row r="209" spans="2:17" x14ac:dyDescent="0.35">
      <c r="B209" s="186"/>
      <c r="C209" s="186"/>
      <c r="D209" s="186"/>
      <c r="E209" s="186"/>
      <c r="F209" s="186"/>
      <c r="G209" s="186"/>
      <c r="H209" s="186"/>
      <c r="I209" s="186"/>
      <c r="J209" s="186"/>
      <c r="K209" s="186"/>
      <c r="L209" s="186"/>
      <c r="M209" s="186"/>
      <c r="N209" s="186"/>
      <c r="O209" s="186"/>
      <c r="P209" s="186"/>
      <c r="Q209" s="186"/>
    </row>
    <row r="210" spans="2:17" x14ac:dyDescent="0.35">
      <c r="B210" s="186"/>
      <c r="C210" s="186"/>
      <c r="D210" s="186"/>
      <c r="E210" s="186"/>
      <c r="F210" s="186"/>
      <c r="G210" s="186"/>
      <c r="H210" s="186"/>
      <c r="I210" s="186"/>
      <c r="J210" s="186"/>
      <c r="K210" s="186"/>
      <c r="L210" s="186"/>
      <c r="M210" s="186"/>
      <c r="N210" s="186"/>
      <c r="O210" s="186"/>
      <c r="P210" s="186"/>
      <c r="Q210" s="186"/>
    </row>
    <row r="211" spans="2:17" x14ac:dyDescent="0.35">
      <c r="B211" s="186"/>
      <c r="C211" s="186"/>
      <c r="D211" s="186"/>
      <c r="E211" s="186"/>
      <c r="F211" s="186"/>
      <c r="G211" s="186"/>
      <c r="H211" s="186"/>
      <c r="I211" s="186"/>
      <c r="J211" s="186"/>
      <c r="K211" s="186"/>
      <c r="L211" s="186"/>
      <c r="M211" s="186"/>
      <c r="N211" s="186"/>
      <c r="O211" s="186"/>
      <c r="P211" s="186"/>
      <c r="Q211" s="186"/>
    </row>
    <row r="212" spans="2:17" x14ac:dyDescent="0.35">
      <c r="B212" s="186"/>
      <c r="C212" s="186"/>
      <c r="D212" s="186"/>
      <c r="E212" s="186"/>
      <c r="F212" s="186"/>
      <c r="G212" s="186"/>
      <c r="H212" s="186"/>
      <c r="I212" s="186"/>
      <c r="J212" s="186"/>
      <c r="K212" s="186"/>
      <c r="L212" s="186"/>
      <c r="M212" s="186"/>
      <c r="N212" s="186"/>
      <c r="O212" s="186"/>
      <c r="P212" s="186"/>
      <c r="Q212" s="186"/>
    </row>
    <row r="213" spans="2:17" x14ac:dyDescent="0.35">
      <c r="B213" s="186"/>
      <c r="C213" s="186"/>
      <c r="D213" s="186"/>
      <c r="E213" s="186"/>
      <c r="F213" s="186"/>
      <c r="G213" s="186"/>
      <c r="H213" s="186"/>
      <c r="I213" s="186"/>
      <c r="J213" s="186"/>
      <c r="K213" s="186"/>
      <c r="L213" s="186"/>
      <c r="M213" s="186"/>
      <c r="N213" s="186"/>
      <c r="O213" s="186"/>
      <c r="P213" s="186"/>
      <c r="Q213" s="186"/>
    </row>
    <row r="214" spans="2:17" x14ac:dyDescent="0.35">
      <c r="B214" s="186"/>
      <c r="C214" s="186"/>
      <c r="D214" s="186"/>
      <c r="E214" s="186"/>
      <c r="F214" s="186"/>
      <c r="G214" s="186"/>
      <c r="H214" s="186"/>
      <c r="I214" s="186"/>
      <c r="J214" s="186"/>
      <c r="K214" s="186"/>
      <c r="L214" s="186"/>
      <c r="M214" s="186"/>
      <c r="N214" s="186"/>
      <c r="O214" s="186"/>
      <c r="P214" s="186"/>
      <c r="Q214" s="186"/>
    </row>
    <row r="215" spans="2:17" x14ac:dyDescent="0.35">
      <c r="B215" s="186"/>
      <c r="C215" s="186"/>
      <c r="D215" s="186"/>
      <c r="E215" s="186"/>
      <c r="F215" s="186"/>
      <c r="G215" s="186"/>
      <c r="H215" s="186"/>
      <c r="I215" s="186"/>
      <c r="J215" s="186"/>
      <c r="K215" s="186"/>
      <c r="L215" s="186"/>
      <c r="M215" s="186"/>
      <c r="N215" s="186"/>
      <c r="O215" s="186"/>
      <c r="P215" s="186"/>
      <c r="Q215" s="186"/>
    </row>
    <row r="216" spans="2:17" x14ac:dyDescent="0.35">
      <c r="B216" s="186"/>
      <c r="C216" s="186"/>
      <c r="D216" s="186"/>
      <c r="E216" s="186"/>
      <c r="F216" s="186"/>
      <c r="G216" s="186"/>
      <c r="H216" s="186"/>
      <c r="I216" s="186"/>
      <c r="J216" s="186"/>
      <c r="K216" s="186"/>
      <c r="L216" s="186"/>
      <c r="M216" s="186"/>
      <c r="N216" s="186"/>
      <c r="O216" s="186"/>
      <c r="P216" s="186"/>
      <c r="Q216" s="186"/>
    </row>
    <row r="217" spans="2:17" x14ac:dyDescent="0.35">
      <c r="B217" s="186"/>
      <c r="C217" s="186"/>
      <c r="D217" s="186"/>
      <c r="E217" s="186"/>
      <c r="F217" s="186"/>
      <c r="G217" s="186"/>
      <c r="H217" s="186"/>
      <c r="I217" s="186"/>
      <c r="J217" s="186"/>
      <c r="K217" s="186"/>
      <c r="L217" s="186"/>
      <c r="M217" s="186"/>
      <c r="N217" s="186"/>
      <c r="O217" s="186"/>
      <c r="P217" s="186"/>
      <c r="Q217" s="186"/>
    </row>
    <row r="218" spans="2:17" x14ac:dyDescent="0.35">
      <c r="B218" s="186"/>
      <c r="C218" s="186"/>
      <c r="D218" s="186"/>
      <c r="E218" s="186"/>
      <c r="F218" s="186"/>
      <c r="G218" s="186"/>
      <c r="H218" s="186"/>
      <c r="I218" s="186"/>
      <c r="J218" s="186"/>
      <c r="K218" s="186"/>
      <c r="L218" s="186"/>
      <c r="M218" s="186"/>
      <c r="N218" s="186"/>
      <c r="O218" s="186"/>
      <c r="P218" s="186"/>
      <c r="Q218" s="186"/>
    </row>
    <row r="219" spans="2:17" x14ac:dyDescent="0.35">
      <c r="B219" s="186"/>
      <c r="C219" s="186"/>
      <c r="D219" s="186"/>
      <c r="E219" s="186"/>
      <c r="F219" s="186"/>
      <c r="G219" s="186"/>
      <c r="H219" s="186"/>
      <c r="I219" s="186"/>
      <c r="J219" s="186"/>
      <c r="K219" s="186"/>
      <c r="L219" s="186"/>
      <c r="M219" s="186"/>
      <c r="N219" s="186"/>
      <c r="O219" s="186"/>
      <c r="P219" s="186"/>
      <c r="Q219" s="186"/>
    </row>
    <row r="220" spans="2:17" x14ac:dyDescent="0.35">
      <c r="B220" s="186"/>
      <c r="C220" s="186"/>
      <c r="D220" s="186"/>
      <c r="E220" s="186"/>
      <c r="F220" s="186"/>
      <c r="G220" s="186"/>
      <c r="H220" s="186"/>
      <c r="I220" s="186"/>
      <c r="J220" s="186"/>
      <c r="K220" s="186"/>
      <c r="L220" s="186"/>
      <c r="M220" s="186"/>
      <c r="N220" s="186"/>
      <c r="O220" s="186"/>
      <c r="P220" s="186"/>
      <c r="Q220" s="186"/>
    </row>
    <row r="221" spans="2:17" x14ac:dyDescent="0.35">
      <c r="B221" s="186"/>
      <c r="C221" s="186"/>
      <c r="D221" s="186"/>
      <c r="E221" s="186"/>
      <c r="F221" s="186"/>
      <c r="G221" s="186"/>
      <c r="H221" s="186"/>
      <c r="I221" s="186"/>
      <c r="J221" s="186"/>
      <c r="K221" s="186"/>
      <c r="L221" s="186"/>
      <c r="M221" s="186"/>
      <c r="N221" s="186"/>
      <c r="O221" s="186"/>
      <c r="P221" s="186"/>
      <c r="Q221" s="186"/>
    </row>
    <row r="222" spans="2:17" x14ac:dyDescent="0.35">
      <c r="B222" s="186"/>
      <c r="C222" s="186"/>
      <c r="D222" s="186"/>
      <c r="E222" s="186"/>
      <c r="F222" s="186"/>
      <c r="G222" s="186"/>
      <c r="H222" s="186"/>
      <c r="I222" s="186"/>
      <c r="J222" s="186"/>
      <c r="K222" s="186"/>
      <c r="L222" s="186"/>
      <c r="M222" s="186"/>
      <c r="N222" s="186"/>
      <c r="O222" s="186"/>
      <c r="P222" s="186"/>
      <c r="Q222" s="186"/>
    </row>
    <row r="223" spans="2:17" x14ac:dyDescent="0.35">
      <c r="B223" s="186"/>
      <c r="C223" s="186"/>
      <c r="D223" s="186"/>
      <c r="E223" s="186"/>
      <c r="F223" s="186"/>
      <c r="G223" s="186"/>
      <c r="H223" s="186"/>
      <c r="I223" s="186"/>
      <c r="J223" s="186"/>
      <c r="K223" s="186"/>
      <c r="L223" s="186"/>
      <c r="M223" s="186"/>
      <c r="N223" s="186"/>
      <c r="O223" s="186"/>
      <c r="P223" s="186"/>
      <c r="Q223" s="186"/>
    </row>
    <row r="224" spans="2:17" x14ac:dyDescent="0.35">
      <c r="B224" s="186"/>
      <c r="C224" s="186"/>
      <c r="D224" s="186"/>
      <c r="E224" s="186"/>
      <c r="F224" s="186"/>
      <c r="G224" s="186"/>
      <c r="H224" s="186"/>
      <c r="I224" s="186"/>
      <c r="J224" s="186"/>
      <c r="K224" s="186"/>
      <c r="L224" s="186"/>
      <c r="M224" s="186"/>
      <c r="N224" s="186"/>
      <c r="O224" s="186"/>
      <c r="P224" s="186"/>
      <c r="Q224" s="186"/>
    </row>
    <row r="225" spans="2:17" x14ac:dyDescent="0.35">
      <c r="B225" s="186"/>
      <c r="C225" s="186"/>
      <c r="D225" s="186"/>
      <c r="E225" s="186"/>
      <c r="F225" s="186"/>
      <c r="G225" s="186"/>
      <c r="H225" s="186"/>
      <c r="I225" s="186"/>
      <c r="J225" s="186"/>
      <c r="K225" s="186"/>
      <c r="L225" s="186"/>
      <c r="M225" s="186"/>
      <c r="N225" s="186"/>
      <c r="O225" s="186"/>
      <c r="P225" s="186"/>
      <c r="Q225" s="186"/>
    </row>
    <row r="226" spans="2:17" x14ac:dyDescent="0.35">
      <c r="B226" s="186"/>
      <c r="C226" s="186"/>
      <c r="D226" s="186"/>
      <c r="E226" s="186"/>
      <c r="F226" s="186"/>
      <c r="G226" s="186"/>
      <c r="H226" s="186"/>
      <c r="I226" s="186"/>
      <c r="J226" s="186"/>
      <c r="K226" s="186"/>
      <c r="L226" s="186"/>
      <c r="M226" s="186"/>
      <c r="N226" s="186"/>
      <c r="O226" s="186"/>
      <c r="P226" s="186"/>
      <c r="Q226" s="186"/>
    </row>
    <row r="227" spans="2:17" x14ac:dyDescent="0.35">
      <c r="B227" s="186"/>
      <c r="C227" s="186"/>
      <c r="D227" s="186"/>
      <c r="E227" s="186"/>
      <c r="F227" s="186"/>
      <c r="G227" s="186"/>
      <c r="H227" s="186"/>
      <c r="I227" s="186"/>
      <c r="J227" s="186"/>
      <c r="K227" s="186"/>
      <c r="L227" s="186"/>
      <c r="M227" s="186"/>
      <c r="N227" s="186"/>
      <c r="O227" s="186"/>
      <c r="P227" s="186"/>
      <c r="Q227" s="186"/>
    </row>
    <row r="228" spans="2:17" x14ac:dyDescent="0.35">
      <c r="B228" s="186"/>
      <c r="C228" s="186"/>
      <c r="D228" s="186"/>
      <c r="E228" s="186"/>
      <c r="F228" s="186"/>
      <c r="G228" s="186"/>
      <c r="H228" s="186"/>
      <c r="I228" s="186"/>
      <c r="J228" s="186"/>
      <c r="K228" s="186"/>
      <c r="L228" s="186"/>
      <c r="M228" s="186"/>
      <c r="N228" s="186"/>
      <c r="O228" s="186"/>
      <c r="P228" s="186"/>
      <c r="Q228" s="186"/>
    </row>
    <row r="229" spans="2:17" x14ac:dyDescent="0.35">
      <c r="B229" s="186"/>
      <c r="C229" s="186"/>
      <c r="D229" s="186"/>
      <c r="E229" s="186"/>
      <c r="F229" s="186"/>
      <c r="G229" s="186"/>
      <c r="H229" s="186"/>
      <c r="I229" s="186"/>
      <c r="J229" s="186"/>
      <c r="K229" s="186"/>
      <c r="L229" s="186"/>
      <c r="M229" s="186"/>
      <c r="N229" s="186"/>
      <c r="O229" s="186"/>
      <c r="P229" s="186"/>
      <c r="Q229" s="186"/>
    </row>
    <row r="230" spans="2:17" x14ac:dyDescent="0.35">
      <c r="B230" s="186"/>
      <c r="C230" s="186"/>
      <c r="D230" s="186"/>
      <c r="E230" s="186"/>
      <c r="F230" s="186"/>
      <c r="G230" s="186"/>
      <c r="H230" s="186"/>
      <c r="I230" s="186"/>
      <c r="J230" s="186"/>
      <c r="K230" s="186"/>
      <c r="L230" s="186"/>
      <c r="M230" s="186"/>
      <c r="N230" s="186"/>
      <c r="O230" s="186"/>
      <c r="P230" s="186"/>
      <c r="Q230" s="186"/>
    </row>
    <row r="231" spans="2:17" x14ac:dyDescent="0.35">
      <c r="B231" s="186"/>
      <c r="C231" s="186"/>
      <c r="D231" s="186"/>
      <c r="E231" s="186"/>
      <c r="F231" s="186"/>
      <c r="G231" s="186"/>
      <c r="H231" s="186"/>
      <c r="I231" s="186"/>
      <c r="J231" s="186"/>
      <c r="K231" s="186"/>
      <c r="L231" s="186"/>
      <c r="M231" s="186"/>
      <c r="N231" s="186"/>
      <c r="O231" s="186"/>
      <c r="P231" s="186"/>
      <c r="Q231" s="186"/>
    </row>
    <row r="232" spans="2:17" x14ac:dyDescent="0.35">
      <c r="B232" s="186"/>
      <c r="C232" s="186"/>
      <c r="D232" s="186"/>
      <c r="E232" s="186"/>
      <c r="F232" s="186"/>
      <c r="G232" s="186"/>
      <c r="H232" s="186"/>
      <c r="I232" s="186"/>
      <c r="J232" s="186"/>
      <c r="K232" s="186"/>
      <c r="L232" s="186"/>
      <c r="M232" s="186"/>
      <c r="N232" s="186"/>
      <c r="O232" s="186"/>
      <c r="P232" s="186"/>
      <c r="Q232" s="186"/>
    </row>
    <row r="233" spans="2:17" x14ac:dyDescent="0.35">
      <c r="B233" s="186"/>
      <c r="C233" s="186"/>
      <c r="D233" s="186"/>
      <c r="E233" s="186"/>
      <c r="F233" s="186"/>
      <c r="G233" s="186"/>
      <c r="H233" s="186"/>
      <c r="I233" s="186"/>
      <c r="J233" s="186"/>
      <c r="K233" s="186"/>
      <c r="L233" s="186"/>
      <c r="M233" s="186"/>
      <c r="N233" s="186"/>
      <c r="O233" s="186"/>
      <c r="P233" s="186"/>
      <c r="Q233" s="186"/>
    </row>
    <row r="234" spans="2:17" x14ac:dyDescent="0.35">
      <c r="B234" s="186"/>
      <c r="C234" s="186"/>
      <c r="D234" s="186"/>
      <c r="E234" s="186"/>
      <c r="F234" s="186"/>
      <c r="G234" s="186"/>
      <c r="H234" s="186"/>
      <c r="I234" s="186"/>
      <c r="J234" s="186"/>
      <c r="K234" s="186"/>
      <c r="L234" s="186"/>
      <c r="M234" s="186"/>
      <c r="N234" s="186"/>
      <c r="O234" s="186"/>
      <c r="P234" s="186"/>
      <c r="Q234" s="186"/>
    </row>
    <row r="235" spans="2:17" x14ac:dyDescent="0.35">
      <c r="B235" s="186"/>
      <c r="C235" s="186"/>
      <c r="D235" s="186"/>
      <c r="E235" s="186"/>
      <c r="F235" s="186"/>
      <c r="G235" s="186"/>
      <c r="H235" s="186"/>
      <c r="I235" s="186"/>
      <c r="J235" s="186"/>
      <c r="K235" s="186"/>
      <c r="L235" s="186"/>
      <c r="M235" s="186"/>
      <c r="N235" s="186"/>
      <c r="O235" s="186"/>
      <c r="P235" s="186"/>
      <c r="Q235" s="186"/>
    </row>
    <row r="236" spans="2:17" x14ac:dyDescent="0.35">
      <c r="B236" s="186"/>
      <c r="C236" s="186"/>
      <c r="D236" s="186"/>
      <c r="E236" s="186"/>
      <c r="F236" s="186"/>
      <c r="G236" s="186"/>
      <c r="H236" s="186"/>
      <c r="I236" s="186"/>
      <c r="J236" s="186"/>
      <c r="K236" s="186"/>
      <c r="L236" s="186"/>
      <c r="M236" s="186"/>
      <c r="N236" s="186"/>
      <c r="O236" s="186"/>
      <c r="P236" s="186"/>
      <c r="Q236" s="186"/>
    </row>
    <row r="237" spans="2:17" x14ac:dyDescent="0.35">
      <c r="B237" s="186"/>
      <c r="C237" s="186"/>
      <c r="D237" s="186"/>
      <c r="E237" s="186"/>
      <c r="F237" s="186"/>
      <c r="G237" s="186"/>
      <c r="H237" s="186"/>
      <c r="I237" s="186"/>
      <c r="J237" s="186"/>
      <c r="K237" s="186"/>
      <c r="L237" s="186"/>
      <c r="M237" s="186"/>
      <c r="N237" s="186"/>
      <c r="O237" s="186"/>
      <c r="P237" s="186"/>
      <c r="Q237" s="186"/>
    </row>
    <row r="238" spans="2:17" x14ac:dyDescent="0.35">
      <c r="B238" s="186"/>
      <c r="C238" s="186"/>
      <c r="D238" s="186"/>
      <c r="E238" s="186"/>
      <c r="F238" s="186"/>
      <c r="G238" s="186"/>
      <c r="H238" s="186"/>
      <c r="I238" s="186"/>
      <c r="J238" s="186"/>
      <c r="K238" s="186"/>
      <c r="L238" s="186"/>
      <c r="M238" s="186"/>
      <c r="N238" s="186"/>
      <c r="O238" s="186"/>
      <c r="P238" s="186"/>
      <c r="Q238" s="186"/>
    </row>
    <row r="239" spans="2:17" x14ac:dyDescent="0.35">
      <c r="B239" s="186"/>
      <c r="C239" s="186"/>
      <c r="D239" s="186"/>
      <c r="E239" s="186"/>
      <c r="F239" s="186"/>
      <c r="G239" s="186"/>
      <c r="H239" s="186"/>
      <c r="I239" s="186"/>
      <c r="J239" s="186"/>
      <c r="K239" s="186"/>
      <c r="L239" s="186"/>
      <c r="M239" s="186"/>
      <c r="N239" s="186"/>
      <c r="O239" s="186"/>
      <c r="P239" s="186"/>
      <c r="Q239" s="186"/>
    </row>
    <row r="240" spans="2:17" x14ac:dyDescent="0.35">
      <c r="B240" s="186"/>
      <c r="C240" s="186"/>
      <c r="D240" s="186"/>
      <c r="E240" s="186"/>
      <c r="F240" s="186"/>
      <c r="G240" s="186"/>
      <c r="H240" s="186"/>
      <c r="I240" s="186"/>
      <c r="J240" s="186"/>
      <c r="K240" s="186"/>
      <c r="L240" s="186"/>
      <c r="M240" s="186"/>
      <c r="N240" s="186"/>
      <c r="O240" s="186"/>
      <c r="P240" s="186"/>
      <c r="Q240" s="186"/>
    </row>
    <row r="241" spans="2:17" x14ac:dyDescent="0.35">
      <c r="B241" s="186"/>
      <c r="C241" s="186"/>
      <c r="D241" s="186"/>
      <c r="E241" s="186"/>
      <c r="F241" s="186"/>
      <c r="G241" s="186"/>
      <c r="H241" s="186"/>
      <c r="I241" s="186"/>
      <c r="J241" s="186"/>
      <c r="K241" s="186"/>
      <c r="L241" s="186"/>
      <c r="M241" s="186"/>
      <c r="N241" s="186"/>
      <c r="O241" s="186"/>
      <c r="P241" s="186"/>
      <c r="Q241" s="186"/>
    </row>
    <row r="242" spans="2:17" x14ac:dyDescent="0.35">
      <c r="B242" s="186"/>
      <c r="C242" s="186"/>
      <c r="D242" s="186"/>
      <c r="E242" s="186"/>
      <c r="F242" s="186"/>
      <c r="G242" s="186"/>
      <c r="H242" s="186"/>
      <c r="I242" s="186"/>
      <c r="J242" s="186"/>
      <c r="K242" s="186"/>
      <c r="L242" s="186"/>
      <c r="M242" s="186"/>
      <c r="N242" s="186"/>
      <c r="O242" s="186"/>
      <c r="P242" s="186"/>
      <c r="Q242" s="186"/>
    </row>
    <row r="243" spans="2:17" x14ac:dyDescent="0.35">
      <c r="B243" s="186"/>
      <c r="C243" s="186"/>
      <c r="D243" s="186"/>
      <c r="E243" s="186"/>
      <c r="F243" s="186"/>
      <c r="G243" s="186"/>
      <c r="H243" s="186"/>
      <c r="I243" s="186"/>
      <c r="J243" s="186"/>
      <c r="K243" s="186"/>
      <c r="L243" s="186"/>
      <c r="M243" s="186"/>
      <c r="N243" s="186"/>
      <c r="O243" s="186"/>
      <c r="P243" s="186"/>
      <c r="Q243" s="186"/>
    </row>
    <row r="244" spans="2:17" x14ac:dyDescent="0.35">
      <c r="B244" s="186"/>
      <c r="C244" s="186"/>
      <c r="D244" s="186"/>
      <c r="E244" s="186"/>
      <c r="F244" s="186"/>
      <c r="G244" s="186"/>
      <c r="H244" s="186"/>
      <c r="I244" s="186"/>
      <c r="J244" s="186"/>
      <c r="K244" s="186"/>
      <c r="L244" s="186"/>
      <c r="M244" s="186"/>
      <c r="N244" s="186"/>
      <c r="O244" s="186"/>
      <c r="P244" s="186"/>
      <c r="Q244" s="186"/>
    </row>
    <row r="245" spans="2:17" x14ac:dyDescent="0.35">
      <c r="B245" s="186"/>
      <c r="C245" s="186"/>
      <c r="D245" s="186"/>
      <c r="E245" s="186"/>
      <c r="F245" s="186"/>
      <c r="G245" s="186"/>
      <c r="H245" s="186"/>
      <c r="I245" s="186"/>
      <c r="J245" s="186"/>
      <c r="K245" s="186"/>
      <c r="L245" s="186"/>
      <c r="M245" s="186"/>
      <c r="N245" s="186"/>
      <c r="O245" s="186"/>
      <c r="P245" s="186"/>
      <c r="Q245" s="186"/>
    </row>
    <row r="246" spans="2:17" x14ac:dyDescent="0.35">
      <c r="B246" s="186"/>
      <c r="C246" s="186"/>
      <c r="D246" s="186"/>
      <c r="E246" s="186"/>
      <c r="F246" s="186"/>
      <c r="G246" s="186"/>
      <c r="H246" s="186"/>
      <c r="I246" s="186"/>
      <c r="J246" s="186"/>
      <c r="K246" s="186"/>
      <c r="L246" s="186"/>
      <c r="M246" s="186"/>
      <c r="N246" s="186"/>
      <c r="O246" s="186"/>
      <c r="P246" s="186"/>
      <c r="Q246" s="186"/>
    </row>
    <row r="247" spans="2:17" x14ac:dyDescent="0.35">
      <c r="B247" s="186"/>
      <c r="C247" s="186"/>
      <c r="D247" s="186"/>
      <c r="E247" s="186"/>
      <c r="F247" s="186"/>
      <c r="G247" s="186"/>
      <c r="H247" s="186"/>
      <c r="I247" s="186"/>
      <c r="J247" s="186"/>
      <c r="K247" s="186"/>
      <c r="L247" s="186"/>
      <c r="M247" s="186"/>
      <c r="N247" s="186"/>
      <c r="O247" s="186"/>
      <c r="P247" s="186"/>
      <c r="Q247" s="186"/>
    </row>
    <row r="248" spans="2:17" x14ac:dyDescent="0.35">
      <c r="B248" s="186"/>
      <c r="C248" s="186"/>
      <c r="D248" s="186"/>
      <c r="E248" s="186"/>
      <c r="F248" s="186"/>
      <c r="G248" s="186"/>
      <c r="H248" s="186"/>
      <c r="I248" s="186"/>
      <c r="J248" s="186"/>
      <c r="K248" s="186"/>
      <c r="L248" s="186"/>
      <c r="M248" s="186"/>
      <c r="N248" s="186"/>
      <c r="O248" s="186"/>
      <c r="P248" s="186"/>
      <c r="Q248" s="186"/>
    </row>
    <row r="249" spans="2:17" x14ac:dyDescent="0.35">
      <c r="B249" s="186"/>
      <c r="C249" s="186"/>
      <c r="D249" s="186"/>
      <c r="E249" s="186"/>
      <c r="F249" s="186"/>
      <c r="G249" s="186"/>
      <c r="H249" s="186"/>
      <c r="I249" s="186"/>
      <c r="J249" s="186"/>
      <c r="K249" s="186"/>
      <c r="L249" s="186"/>
      <c r="M249" s="186"/>
      <c r="N249" s="186"/>
      <c r="O249" s="186"/>
      <c r="P249" s="186"/>
      <c r="Q249" s="186"/>
    </row>
    <row r="250" spans="2:17" x14ac:dyDescent="0.35">
      <c r="B250" s="186"/>
      <c r="C250" s="186"/>
      <c r="D250" s="186"/>
      <c r="E250" s="186"/>
      <c r="F250" s="186"/>
      <c r="G250" s="186"/>
      <c r="H250" s="186"/>
      <c r="I250" s="186"/>
      <c r="J250" s="186"/>
      <c r="K250" s="186"/>
      <c r="L250" s="186"/>
      <c r="M250" s="186"/>
      <c r="N250" s="186"/>
      <c r="O250" s="186"/>
      <c r="P250" s="186"/>
      <c r="Q250" s="186"/>
    </row>
    <row r="251" spans="2:17" x14ac:dyDescent="0.35">
      <c r="B251" s="186"/>
      <c r="C251" s="186"/>
      <c r="D251" s="186"/>
      <c r="E251" s="186"/>
      <c r="F251" s="186"/>
      <c r="G251" s="186"/>
      <c r="H251" s="186"/>
      <c r="I251" s="186"/>
      <c r="J251" s="186"/>
      <c r="K251" s="186"/>
      <c r="L251" s="186"/>
      <c r="M251" s="186"/>
      <c r="N251" s="186"/>
      <c r="O251" s="186"/>
      <c r="P251" s="186"/>
      <c r="Q251" s="186"/>
    </row>
    <row r="252" spans="2:17" x14ac:dyDescent="0.35">
      <c r="B252" s="186"/>
      <c r="C252" s="186"/>
      <c r="D252" s="186"/>
      <c r="E252" s="186"/>
      <c r="F252" s="186"/>
      <c r="G252" s="186"/>
      <c r="H252" s="186"/>
      <c r="I252" s="186"/>
      <c r="J252" s="186"/>
      <c r="K252" s="186"/>
      <c r="L252" s="186"/>
      <c r="M252" s="186"/>
      <c r="N252" s="186"/>
      <c r="O252" s="186"/>
      <c r="P252" s="186"/>
      <c r="Q252" s="186"/>
    </row>
    <row r="253" spans="2:17" x14ac:dyDescent="0.35">
      <c r="B253" s="186"/>
      <c r="C253" s="186"/>
      <c r="D253" s="186"/>
      <c r="E253" s="186"/>
      <c r="F253" s="186"/>
      <c r="G253" s="186"/>
      <c r="H253" s="186"/>
      <c r="I253" s="186"/>
      <c r="J253" s="186"/>
      <c r="K253" s="186"/>
      <c r="L253" s="186"/>
      <c r="M253" s="186"/>
      <c r="N253" s="186"/>
      <c r="O253" s="186"/>
      <c r="P253" s="186"/>
      <c r="Q253" s="186"/>
    </row>
    <row r="254" spans="2:17" x14ac:dyDescent="0.35">
      <c r="B254" s="186"/>
      <c r="C254" s="186"/>
      <c r="D254" s="186"/>
      <c r="E254" s="186"/>
      <c r="F254" s="186"/>
      <c r="G254" s="186"/>
      <c r="H254" s="186"/>
      <c r="I254" s="186"/>
      <c r="J254" s="186"/>
      <c r="K254" s="186"/>
      <c r="L254" s="186"/>
      <c r="M254" s="186"/>
      <c r="N254" s="186"/>
      <c r="O254" s="186"/>
      <c r="P254" s="186"/>
      <c r="Q254" s="186"/>
    </row>
    <row r="255" spans="2:17" x14ac:dyDescent="0.35">
      <c r="B255" s="186"/>
      <c r="C255" s="186"/>
      <c r="D255" s="186"/>
      <c r="E255" s="186"/>
      <c r="F255" s="186"/>
      <c r="G255" s="186"/>
      <c r="H255" s="186"/>
      <c r="I255" s="186"/>
      <c r="J255" s="186"/>
      <c r="K255" s="186"/>
      <c r="L255" s="186"/>
      <c r="M255" s="186"/>
      <c r="N255" s="186"/>
      <c r="O255" s="186"/>
      <c r="P255" s="186"/>
      <c r="Q255" s="186"/>
    </row>
    <row r="256" spans="2:17" x14ac:dyDescent="0.35">
      <c r="B256" s="186"/>
      <c r="C256" s="186"/>
      <c r="D256" s="186"/>
      <c r="E256" s="186"/>
      <c r="F256" s="186"/>
      <c r="G256" s="186"/>
      <c r="H256" s="186"/>
      <c r="I256" s="186"/>
      <c r="J256" s="186"/>
      <c r="K256" s="186"/>
      <c r="L256" s="186"/>
      <c r="M256" s="186"/>
      <c r="N256" s="186"/>
      <c r="O256" s="186"/>
      <c r="P256" s="186"/>
      <c r="Q256" s="186"/>
    </row>
    <row r="257" spans="2:17" x14ac:dyDescent="0.35">
      <c r="B257" s="186"/>
      <c r="C257" s="186"/>
      <c r="D257" s="186"/>
      <c r="E257" s="186"/>
      <c r="F257" s="186"/>
      <c r="G257" s="186"/>
      <c r="H257" s="186"/>
      <c r="I257" s="186"/>
      <c r="J257" s="186"/>
      <c r="K257" s="186"/>
      <c r="L257" s="186"/>
      <c r="M257" s="186"/>
      <c r="N257" s="186"/>
      <c r="O257" s="186"/>
      <c r="P257" s="186"/>
      <c r="Q257" s="186"/>
    </row>
    <row r="258" spans="2:17" x14ac:dyDescent="0.35">
      <c r="B258" s="186"/>
      <c r="C258" s="186"/>
      <c r="D258" s="186"/>
      <c r="E258" s="186"/>
      <c r="F258" s="186"/>
      <c r="G258" s="186"/>
      <c r="H258" s="186"/>
      <c r="I258" s="186"/>
      <c r="J258" s="186"/>
      <c r="K258" s="186"/>
      <c r="L258" s="186"/>
      <c r="M258" s="186"/>
      <c r="N258" s="186"/>
      <c r="O258" s="186"/>
      <c r="P258" s="186"/>
      <c r="Q258" s="186"/>
    </row>
    <row r="259" spans="2:17" x14ac:dyDescent="0.35">
      <c r="B259" s="186"/>
      <c r="C259" s="186"/>
      <c r="D259" s="186"/>
      <c r="E259" s="186"/>
      <c r="F259" s="186"/>
      <c r="G259" s="186"/>
      <c r="H259" s="186"/>
      <c r="I259" s="186"/>
      <c r="J259" s="186"/>
      <c r="K259" s="186"/>
      <c r="L259" s="186"/>
      <c r="M259" s="186"/>
      <c r="N259" s="186"/>
      <c r="O259" s="186"/>
      <c r="P259" s="186"/>
      <c r="Q259" s="186"/>
    </row>
    <row r="260" spans="2:17" x14ac:dyDescent="0.35">
      <c r="B260" s="186"/>
      <c r="C260" s="186"/>
      <c r="D260" s="186"/>
      <c r="E260" s="186"/>
      <c r="F260" s="186"/>
      <c r="G260" s="186"/>
      <c r="H260" s="186"/>
      <c r="I260" s="186"/>
      <c r="J260" s="186"/>
      <c r="K260" s="186"/>
      <c r="L260" s="186"/>
      <c r="M260" s="186"/>
      <c r="N260" s="186"/>
      <c r="O260" s="186"/>
      <c r="P260" s="186"/>
      <c r="Q260" s="186"/>
    </row>
    <row r="261" spans="2:17" x14ac:dyDescent="0.35">
      <c r="B261" s="186"/>
      <c r="C261" s="186"/>
      <c r="D261" s="186"/>
      <c r="E261" s="186"/>
      <c r="F261" s="186"/>
      <c r="G261" s="186"/>
      <c r="H261" s="186"/>
      <c r="I261" s="186"/>
      <c r="J261" s="186"/>
      <c r="K261" s="186"/>
      <c r="L261" s="186"/>
      <c r="M261" s="186"/>
      <c r="N261" s="186"/>
      <c r="O261" s="186"/>
      <c r="P261" s="186"/>
      <c r="Q261" s="186"/>
    </row>
    <row r="262" spans="2:17" x14ac:dyDescent="0.35">
      <c r="B262" s="186"/>
      <c r="C262" s="186"/>
      <c r="D262" s="186"/>
      <c r="E262" s="186"/>
      <c r="F262" s="186"/>
      <c r="G262" s="186"/>
      <c r="H262" s="186"/>
      <c r="I262" s="186"/>
      <c r="J262" s="186"/>
      <c r="K262" s="186"/>
      <c r="L262" s="186"/>
      <c r="M262" s="186"/>
      <c r="N262" s="186"/>
      <c r="O262" s="186"/>
      <c r="P262" s="186"/>
      <c r="Q262" s="186"/>
    </row>
    <row r="263" spans="2:17" x14ac:dyDescent="0.35">
      <c r="B263" s="186"/>
      <c r="C263" s="186"/>
      <c r="D263" s="186"/>
      <c r="E263" s="186"/>
      <c r="F263" s="186"/>
      <c r="G263" s="186"/>
      <c r="H263" s="186"/>
      <c r="I263" s="186"/>
      <c r="J263" s="186"/>
      <c r="K263" s="186"/>
      <c r="L263" s="186"/>
      <c r="M263" s="186"/>
      <c r="N263" s="186"/>
      <c r="O263" s="186"/>
      <c r="P263" s="186"/>
      <c r="Q263" s="186"/>
    </row>
    <row r="264" spans="2:17" x14ac:dyDescent="0.35">
      <c r="B264" s="186"/>
      <c r="C264" s="186"/>
      <c r="D264" s="186"/>
      <c r="E264" s="186"/>
      <c r="F264" s="186"/>
      <c r="G264" s="186"/>
      <c r="H264" s="186"/>
      <c r="I264" s="186"/>
      <c r="J264" s="186"/>
      <c r="K264" s="186"/>
      <c r="L264" s="186"/>
      <c r="M264" s="186"/>
      <c r="N264" s="186"/>
      <c r="O264" s="186"/>
      <c r="P264" s="186"/>
      <c r="Q264" s="186"/>
    </row>
    <row r="265" spans="2:17" x14ac:dyDescent="0.35">
      <c r="B265" s="186"/>
      <c r="C265" s="186"/>
      <c r="D265" s="186"/>
      <c r="E265" s="186"/>
      <c r="F265" s="186"/>
      <c r="G265" s="186"/>
      <c r="H265" s="186"/>
      <c r="I265" s="186"/>
      <c r="J265" s="186"/>
      <c r="K265" s="186"/>
      <c r="L265" s="186"/>
      <c r="M265" s="186"/>
      <c r="N265" s="186"/>
      <c r="O265" s="186"/>
      <c r="P265" s="186"/>
      <c r="Q265" s="186"/>
    </row>
    <row r="266" spans="2:17" x14ac:dyDescent="0.35">
      <c r="B266" s="186"/>
      <c r="C266" s="186"/>
      <c r="D266" s="186"/>
      <c r="E266" s="186"/>
      <c r="F266" s="186"/>
      <c r="G266" s="186"/>
      <c r="H266" s="186"/>
      <c r="I266" s="186"/>
      <c r="J266" s="186"/>
      <c r="K266" s="186"/>
      <c r="L266" s="186"/>
      <c r="M266" s="186"/>
      <c r="N266" s="186"/>
      <c r="O266" s="186"/>
      <c r="P266" s="186"/>
      <c r="Q266" s="186"/>
    </row>
    <row r="267" spans="2:17" x14ac:dyDescent="0.35">
      <c r="B267" s="186"/>
      <c r="C267" s="186"/>
      <c r="D267" s="186"/>
      <c r="E267" s="186"/>
      <c r="F267" s="186"/>
      <c r="G267" s="186"/>
      <c r="H267" s="186"/>
      <c r="I267" s="186"/>
      <c r="J267" s="186"/>
      <c r="K267" s="186"/>
      <c r="L267" s="186"/>
      <c r="M267" s="186"/>
      <c r="N267" s="186"/>
      <c r="O267" s="186"/>
      <c r="P267" s="186"/>
      <c r="Q267" s="186"/>
    </row>
    <row r="268" spans="2:17" x14ac:dyDescent="0.35">
      <c r="B268" s="186"/>
      <c r="C268" s="186"/>
      <c r="D268" s="186"/>
      <c r="E268" s="186"/>
      <c r="F268" s="186"/>
      <c r="G268" s="186"/>
      <c r="H268" s="186"/>
      <c r="I268" s="186"/>
      <c r="J268" s="186"/>
      <c r="K268" s="186"/>
      <c r="L268" s="186"/>
      <c r="M268" s="186"/>
      <c r="N268" s="186"/>
      <c r="O268" s="186"/>
      <c r="P268" s="186"/>
      <c r="Q268" s="186"/>
    </row>
    <row r="269" spans="2:17" x14ac:dyDescent="0.35">
      <c r="B269" s="186"/>
      <c r="C269" s="186"/>
      <c r="D269" s="186"/>
      <c r="E269" s="186"/>
      <c r="F269" s="186"/>
      <c r="G269" s="186"/>
      <c r="H269" s="186"/>
      <c r="I269" s="186"/>
      <c r="J269" s="186"/>
      <c r="K269" s="186"/>
      <c r="L269" s="186"/>
      <c r="M269" s="186"/>
      <c r="N269" s="186"/>
      <c r="O269" s="186"/>
      <c r="P269" s="186"/>
      <c r="Q269" s="186"/>
    </row>
    <row r="270" spans="2:17" x14ac:dyDescent="0.35">
      <c r="B270" s="186"/>
      <c r="C270" s="186"/>
      <c r="D270" s="186"/>
      <c r="E270" s="186"/>
      <c r="F270" s="186"/>
      <c r="G270" s="186"/>
      <c r="H270" s="186"/>
      <c r="I270" s="186"/>
      <c r="J270" s="186"/>
      <c r="K270" s="186"/>
      <c r="L270" s="186"/>
      <c r="M270" s="186"/>
      <c r="N270" s="186"/>
      <c r="O270" s="186"/>
      <c r="P270" s="186"/>
      <c r="Q270" s="186"/>
    </row>
    <row r="271" spans="2:17" x14ac:dyDescent="0.35">
      <c r="B271" s="186"/>
      <c r="C271" s="186"/>
      <c r="D271" s="186"/>
      <c r="E271" s="186"/>
      <c r="F271" s="186"/>
      <c r="G271" s="186"/>
      <c r="H271" s="186"/>
      <c r="I271" s="186"/>
      <c r="J271" s="186"/>
      <c r="K271" s="186"/>
      <c r="L271" s="186"/>
      <c r="M271" s="186"/>
      <c r="N271" s="186"/>
      <c r="O271" s="186"/>
      <c r="P271" s="186"/>
      <c r="Q271" s="186"/>
    </row>
    <row r="272" spans="2:17" x14ac:dyDescent="0.35">
      <c r="B272" s="186"/>
      <c r="C272" s="186"/>
      <c r="D272" s="186"/>
      <c r="E272" s="186"/>
      <c r="F272" s="186"/>
      <c r="G272" s="186"/>
      <c r="H272" s="186"/>
      <c r="I272" s="186"/>
      <c r="J272" s="186"/>
      <c r="K272" s="186"/>
      <c r="L272" s="186"/>
      <c r="M272" s="186"/>
      <c r="N272" s="186"/>
      <c r="O272" s="186"/>
      <c r="P272" s="186"/>
      <c r="Q272" s="186"/>
    </row>
    <row r="273" spans="2:17" x14ac:dyDescent="0.35">
      <c r="B273" s="186"/>
      <c r="C273" s="186"/>
      <c r="D273" s="186"/>
      <c r="E273" s="186"/>
      <c r="F273" s="186"/>
      <c r="G273" s="186"/>
      <c r="H273" s="186"/>
      <c r="I273" s="186"/>
      <c r="J273" s="186"/>
      <c r="K273" s="186"/>
      <c r="L273" s="186"/>
      <c r="M273" s="186"/>
      <c r="N273" s="186"/>
      <c r="O273" s="186"/>
      <c r="P273" s="186"/>
      <c r="Q273" s="186"/>
    </row>
    <row r="274" spans="2:17" x14ac:dyDescent="0.35">
      <c r="B274" s="186"/>
      <c r="C274" s="186"/>
      <c r="D274" s="186"/>
      <c r="E274" s="186"/>
      <c r="F274" s="186"/>
      <c r="G274" s="186"/>
      <c r="H274" s="186"/>
      <c r="I274" s="186"/>
      <c r="J274" s="186"/>
      <c r="K274" s="186"/>
      <c r="L274" s="186"/>
      <c r="M274" s="186"/>
      <c r="N274" s="186"/>
      <c r="O274" s="186"/>
      <c r="P274" s="186"/>
      <c r="Q274" s="186"/>
    </row>
    <row r="275" spans="2:17" x14ac:dyDescent="0.35">
      <c r="B275" s="186"/>
      <c r="C275" s="186"/>
      <c r="D275" s="186"/>
      <c r="E275" s="186"/>
      <c r="F275" s="186"/>
      <c r="G275" s="186"/>
      <c r="H275" s="186"/>
      <c r="I275" s="186"/>
      <c r="J275" s="186"/>
      <c r="K275" s="186"/>
      <c r="L275" s="186"/>
      <c r="M275" s="186"/>
      <c r="N275" s="186"/>
      <c r="O275" s="186"/>
      <c r="P275" s="186"/>
      <c r="Q275" s="186"/>
    </row>
    <row r="276" spans="2:17" x14ac:dyDescent="0.35">
      <c r="B276" s="186"/>
      <c r="C276" s="186"/>
      <c r="D276" s="186"/>
      <c r="E276" s="186"/>
      <c r="F276" s="186"/>
      <c r="G276" s="186"/>
      <c r="H276" s="186"/>
      <c r="I276" s="186"/>
      <c r="J276" s="186"/>
      <c r="K276" s="186"/>
      <c r="L276" s="186"/>
      <c r="M276" s="186"/>
      <c r="N276" s="186"/>
      <c r="O276" s="186"/>
      <c r="P276" s="186"/>
      <c r="Q276" s="186"/>
    </row>
    <row r="277" spans="2:17" x14ac:dyDescent="0.35">
      <c r="B277" s="186"/>
      <c r="C277" s="186"/>
      <c r="D277" s="186"/>
      <c r="E277" s="186"/>
      <c r="F277" s="186"/>
      <c r="G277" s="186"/>
      <c r="H277" s="186"/>
      <c r="I277" s="186"/>
      <c r="J277" s="186"/>
      <c r="K277" s="186"/>
      <c r="L277" s="186"/>
      <c r="M277" s="186"/>
      <c r="N277" s="186"/>
      <c r="O277" s="186"/>
      <c r="P277" s="186"/>
      <c r="Q277" s="186"/>
    </row>
    <row r="278" spans="2:17" x14ac:dyDescent="0.35">
      <c r="B278" s="186"/>
      <c r="C278" s="186"/>
      <c r="D278" s="186"/>
      <c r="E278" s="186"/>
      <c r="F278" s="186"/>
      <c r="G278" s="186"/>
      <c r="H278" s="186"/>
      <c r="I278" s="186"/>
      <c r="J278" s="186"/>
      <c r="K278" s="186"/>
      <c r="L278" s="186"/>
      <c r="M278" s="186"/>
      <c r="N278" s="186"/>
      <c r="O278" s="186"/>
      <c r="P278" s="186"/>
      <c r="Q278" s="186"/>
    </row>
    <row r="279" spans="2:17" x14ac:dyDescent="0.35">
      <c r="B279" s="186"/>
      <c r="C279" s="186"/>
      <c r="D279" s="186"/>
      <c r="E279" s="186"/>
      <c r="F279" s="186"/>
      <c r="G279" s="186"/>
      <c r="H279" s="186"/>
      <c r="I279" s="186"/>
      <c r="J279" s="186"/>
      <c r="K279" s="186"/>
      <c r="L279" s="186"/>
      <c r="M279" s="186"/>
      <c r="N279" s="186"/>
      <c r="O279" s="186"/>
      <c r="P279" s="186"/>
      <c r="Q279" s="186"/>
    </row>
    <row r="280" spans="2:17" x14ac:dyDescent="0.35">
      <c r="B280" s="186"/>
      <c r="C280" s="186"/>
      <c r="D280" s="186"/>
      <c r="E280" s="186"/>
      <c r="F280" s="186"/>
      <c r="G280" s="186"/>
      <c r="H280" s="186"/>
      <c r="I280" s="186"/>
      <c r="J280" s="186"/>
      <c r="K280" s="186"/>
      <c r="L280" s="186"/>
      <c r="M280" s="186"/>
      <c r="N280" s="186"/>
      <c r="O280" s="186"/>
      <c r="P280" s="186"/>
      <c r="Q280" s="186"/>
    </row>
    <row r="281" spans="2:17" x14ac:dyDescent="0.35">
      <c r="B281" s="186"/>
      <c r="C281" s="186"/>
      <c r="D281" s="186"/>
      <c r="E281" s="186"/>
      <c r="F281" s="186"/>
      <c r="G281" s="186"/>
      <c r="H281" s="186"/>
      <c r="I281" s="186"/>
      <c r="J281" s="186"/>
      <c r="K281" s="186"/>
      <c r="L281" s="186"/>
      <c r="M281" s="186"/>
      <c r="N281" s="186"/>
      <c r="O281" s="186"/>
      <c r="P281" s="186"/>
      <c r="Q281" s="186"/>
    </row>
    <row r="282" spans="2:17" x14ac:dyDescent="0.35">
      <c r="B282" s="186"/>
      <c r="C282" s="186"/>
      <c r="D282" s="186"/>
      <c r="E282" s="186"/>
      <c r="F282" s="186"/>
      <c r="G282" s="186"/>
      <c r="H282" s="186"/>
      <c r="I282" s="186"/>
      <c r="J282" s="186"/>
      <c r="K282" s="186"/>
      <c r="L282" s="186"/>
      <c r="M282" s="186"/>
      <c r="N282" s="186"/>
      <c r="O282" s="186"/>
      <c r="P282" s="186"/>
      <c r="Q282" s="186"/>
    </row>
    <row r="283" spans="2:17" x14ac:dyDescent="0.35">
      <c r="B283" s="186"/>
      <c r="C283" s="186"/>
      <c r="D283" s="186"/>
      <c r="E283" s="186"/>
      <c r="F283" s="186"/>
      <c r="G283" s="186"/>
      <c r="H283" s="186"/>
      <c r="I283" s="186"/>
      <c r="J283" s="186"/>
      <c r="K283" s="186"/>
      <c r="L283" s="186"/>
      <c r="M283" s="186"/>
      <c r="N283" s="186"/>
      <c r="O283" s="186"/>
      <c r="P283" s="186"/>
      <c r="Q283" s="186"/>
    </row>
    <row r="284" spans="2:17" x14ac:dyDescent="0.35">
      <c r="B284" s="186"/>
      <c r="C284" s="186"/>
      <c r="D284" s="186"/>
      <c r="E284" s="186"/>
      <c r="F284" s="186"/>
      <c r="G284" s="186"/>
      <c r="H284" s="186"/>
      <c r="I284" s="186"/>
      <c r="J284" s="186"/>
      <c r="K284" s="186"/>
      <c r="L284" s="186"/>
      <c r="M284" s="186"/>
      <c r="N284" s="186"/>
      <c r="O284" s="186"/>
      <c r="P284" s="186"/>
      <c r="Q284" s="186"/>
    </row>
    <row r="285" spans="2:17" x14ac:dyDescent="0.35">
      <c r="B285" s="186"/>
      <c r="C285" s="186"/>
      <c r="D285" s="186"/>
      <c r="E285" s="186"/>
      <c r="F285" s="186"/>
      <c r="G285" s="186"/>
      <c r="H285" s="186"/>
      <c r="I285" s="186"/>
      <c r="J285" s="186"/>
      <c r="K285" s="186"/>
      <c r="L285" s="186"/>
      <c r="M285" s="186"/>
      <c r="N285" s="186"/>
      <c r="O285" s="186"/>
      <c r="P285" s="186"/>
      <c r="Q285" s="186"/>
    </row>
    <row r="286" spans="2:17" x14ac:dyDescent="0.35">
      <c r="B286" s="186"/>
      <c r="C286" s="186"/>
      <c r="D286" s="186"/>
      <c r="E286" s="186"/>
      <c r="F286" s="186"/>
      <c r="G286" s="186"/>
      <c r="H286" s="186"/>
      <c r="I286" s="186"/>
      <c r="J286" s="186"/>
      <c r="K286" s="186"/>
      <c r="L286" s="186"/>
      <c r="M286" s="186"/>
      <c r="N286" s="186"/>
      <c r="O286" s="186"/>
      <c r="P286" s="186"/>
      <c r="Q286" s="186"/>
    </row>
    <row r="287" spans="2:17" x14ac:dyDescent="0.35">
      <c r="B287" s="186"/>
      <c r="C287" s="186"/>
      <c r="D287" s="186"/>
      <c r="E287" s="186"/>
      <c r="F287" s="186"/>
      <c r="G287" s="186"/>
      <c r="H287" s="186"/>
      <c r="I287" s="186"/>
      <c r="J287" s="186"/>
      <c r="K287" s="186"/>
      <c r="L287" s="186"/>
      <c r="M287" s="186"/>
      <c r="N287" s="186"/>
      <c r="O287" s="186"/>
      <c r="P287" s="186"/>
      <c r="Q287" s="186"/>
    </row>
    <row r="288" spans="2:17" x14ac:dyDescent="0.35">
      <c r="B288" s="186"/>
      <c r="C288" s="186"/>
      <c r="D288" s="186"/>
      <c r="E288" s="186"/>
      <c r="F288" s="186"/>
      <c r="G288" s="186"/>
      <c r="H288" s="186"/>
      <c r="I288" s="186"/>
      <c r="J288" s="186"/>
      <c r="K288" s="186"/>
      <c r="L288" s="186"/>
      <c r="M288" s="186"/>
      <c r="N288" s="186"/>
      <c r="O288" s="186"/>
      <c r="P288" s="186"/>
      <c r="Q288" s="186"/>
    </row>
    <row r="289" spans="2:17" x14ac:dyDescent="0.35">
      <c r="B289" s="186"/>
      <c r="C289" s="186"/>
      <c r="D289" s="186"/>
      <c r="E289" s="186"/>
      <c r="F289" s="186"/>
      <c r="G289" s="186"/>
      <c r="H289" s="186"/>
      <c r="I289" s="186"/>
      <c r="J289" s="186"/>
      <c r="K289" s="186"/>
      <c r="L289" s="186"/>
      <c r="M289" s="186"/>
      <c r="N289" s="186"/>
      <c r="O289" s="186"/>
      <c r="P289" s="186"/>
      <c r="Q289" s="186"/>
    </row>
    <row r="290" spans="2:17" x14ac:dyDescent="0.35">
      <c r="B290" s="186"/>
      <c r="C290" s="186"/>
      <c r="D290" s="186"/>
      <c r="E290" s="186"/>
      <c r="F290" s="186"/>
      <c r="G290" s="186"/>
      <c r="H290" s="186"/>
      <c r="I290" s="186"/>
      <c r="J290" s="186"/>
      <c r="K290" s="186"/>
      <c r="L290" s="186"/>
      <c r="M290" s="186"/>
      <c r="N290" s="186"/>
      <c r="O290" s="186"/>
      <c r="P290" s="186"/>
      <c r="Q290" s="186"/>
    </row>
    <row r="291" spans="2:17" x14ac:dyDescent="0.35">
      <c r="B291" s="186"/>
      <c r="C291" s="186"/>
      <c r="D291" s="186"/>
      <c r="E291" s="186"/>
      <c r="F291" s="186"/>
      <c r="G291" s="186"/>
      <c r="H291" s="186"/>
      <c r="I291" s="186"/>
      <c r="J291" s="186"/>
      <c r="K291" s="186"/>
      <c r="L291" s="186"/>
      <c r="M291" s="186"/>
      <c r="N291" s="186"/>
      <c r="O291" s="186"/>
      <c r="P291" s="186"/>
      <c r="Q291" s="186"/>
    </row>
    <row r="292" spans="2:17" x14ac:dyDescent="0.35">
      <c r="B292" s="186"/>
      <c r="C292" s="186"/>
      <c r="D292" s="186"/>
      <c r="E292" s="186"/>
      <c r="F292" s="186"/>
      <c r="G292" s="186"/>
      <c r="H292" s="186"/>
      <c r="I292" s="186"/>
      <c r="J292" s="186"/>
      <c r="K292" s="186"/>
      <c r="L292" s="186"/>
      <c r="M292" s="186"/>
      <c r="N292" s="186"/>
      <c r="O292" s="186"/>
      <c r="P292" s="186"/>
      <c r="Q292" s="186"/>
    </row>
    <row r="293" spans="2:17" x14ac:dyDescent="0.35">
      <c r="B293" s="186"/>
      <c r="C293" s="186"/>
      <c r="D293" s="186"/>
      <c r="E293" s="186"/>
      <c r="F293" s="186"/>
      <c r="G293" s="186"/>
      <c r="H293" s="186"/>
      <c r="I293" s="186"/>
      <c r="J293" s="186"/>
      <c r="K293" s="186"/>
      <c r="L293" s="186"/>
      <c r="M293" s="186"/>
      <c r="N293" s="186"/>
      <c r="O293" s="186"/>
      <c r="P293" s="186"/>
      <c r="Q293" s="186"/>
    </row>
    <row r="294" spans="2:17" x14ac:dyDescent="0.35">
      <c r="B294" s="186"/>
      <c r="C294" s="186"/>
      <c r="D294" s="186"/>
      <c r="E294" s="186"/>
      <c r="F294" s="186"/>
      <c r="G294" s="186"/>
      <c r="H294" s="186"/>
      <c r="I294" s="186"/>
      <c r="J294" s="186"/>
      <c r="K294" s="186"/>
      <c r="L294" s="186"/>
      <c r="M294" s="186"/>
      <c r="N294" s="186"/>
      <c r="O294" s="186"/>
      <c r="P294" s="186"/>
      <c r="Q294" s="186"/>
    </row>
    <row r="295" spans="2:17" x14ac:dyDescent="0.35">
      <c r="B295" s="186"/>
      <c r="C295" s="186"/>
      <c r="D295" s="186"/>
      <c r="E295" s="186"/>
      <c r="F295" s="186"/>
      <c r="G295" s="186"/>
      <c r="H295" s="186"/>
      <c r="I295" s="186"/>
      <c r="J295" s="186"/>
      <c r="K295" s="186"/>
      <c r="L295" s="186"/>
      <c r="M295" s="186"/>
      <c r="N295" s="186"/>
      <c r="O295" s="186"/>
      <c r="P295" s="186"/>
      <c r="Q295" s="186"/>
    </row>
    <row r="296" spans="2:17" x14ac:dyDescent="0.35">
      <c r="B296" s="186"/>
      <c r="C296" s="186"/>
      <c r="D296" s="186"/>
      <c r="E296" s="186"/>
      <c r="F296" s="186"/>
      <c r="G296" s="186"/>
      <c r="H296" s="186"/>
      <c r="I296" s="186"/>
      <c r="J296" s="186"/>
      <c r="K296" s="186"/>
      <c r="L296" s="186"/>
      <c r="M296" s="186"/>
      <c r="N296" s="186"/>
      <c r="O296" s="186"/>
      <c r="P296" s="186"/>
      <c r="Q296" s="186"/>
    </row>
    <row r="297" spans="2:17" x14ac:dyDescent="0.35">
      <c r="B297" s="186"/>
      <c r="C297" s="186"/>
      <c r="D297" s="186"/>
      <c r="E297" s="186"/>
      <c r="F297" s="186"/>
      <c r="G297" s="186"/>
      <c r="H297" s="186"/>
      <c r="I297" s="186"/>
      <c r="J297" s="186"/>
      <c r="K297" s="186"/>
      <c r="L297" s="186"/>
      <c r="M297" s="186"/>
      <c r="N297" s="186"/>
      <c r="O297" s="186"/>
      <c r="P297" s="186"/>
      <c r="Q297" s="186"/>
    </row>
    <row r="298" spans="2:17" x14ac:dyDescent="0.35">
      <c r="B298" s="186"/>
      <c r="C298" s="186"/>
      <c r="D298" s="186"/>
      <c r="E298" s="186"/>
      <c r="F298" s="186"/>
      <c r="G298" s="186"/>
      <c r="H298" s="186"/>
      <c r="I298" s="186"/>
      <c r="J298" s="186"/>
      <c r="K298" s="186"/>
      <c r="L298" s="186"/>
      <c r="M298" s="186"/>
      <c r="N298" s="186"/>
      <c r="O298" s="186"/>
      <c r="P298" s="186"/>
      <c r="Q298" s="186"/>
    </row>
    <row r="299" spans="2:17" x14ac:dyDescent="0.35">
      <c r="B299" s="186"/>
      <c r="C299" s="186"/>
      <c r="D299" s="186"/>
      <c r="E299" s="186"/>
      <c r="F299" s="186"/>
      <c r="G299" s="186"/>
      <c r="H299" s="186"/>
      <c r="I299" s="186"/>
      <c r="J299" s="186"/>
      <c r="K299" s="186"/>
      <c r="L299" s="186"/>
      <c r="M299" s="186"/>
      <c r="N299" s="186"/>
      <c r="O299" s="186"/>
      <c r="P299" s="186"/>
      <c r="Q299" s="186"/>
    </row>
    <row r="300" spans="2:17" x14ac:dyDescent="0.35">
      <c r="B300" s="186"/>
      <c r="C300" s="186"/>
      <c r="D300" s="186"/>
      <c r="E300" s="186"/>
      <c r="F300" s="186"/>
      <c r="G300" s="186"/>
      <c r="H300" s="186"/>
      <c r="I300" s="186"/>
      <c r="J300" s="186"/>
      <c r="K300" s="186"/>
      <c r="L300" s="186"/>
      <c r="M300" s="186"/>
      <c r="N300" s="186"/>
      <c r="O300" s="186"/>
      <c r="P300" s="186"/>
      <c r="Q300" s="186"/>
    </row>
    <row r="301" spans="2:17" x14ac:dyDescent="0.35">
      <c r="B301" s="186"/>
      <c r="C301" s="186"/>
      <c r="D301" s="186"/>
      <c r="E301" s="186"/>
      <c r="F301" s="186"/>
      <c r="G301" s="186"/>
      <c r="H301" s="186"/>
      <c r="I301" s="186"/>
      <c r="J301" s="186"/>
      <c r="K301" s="186"/>
      <c r="L301" s="186"/>
      <c r="M301" s="186"/>
      <c r="N301" s="186"/>
      <c r="O301" s="186"/>
      <c r="P301" s="186"/>
      <c r="Q301" s="186"/>
    </row>
    <row r="302" spans="2:17" x14ac:dyDescent="0.35">
      <c r="B302" s="186"/>
      <c r="C302" s="186"/>
      <c r="D302" s="186"/>
      <c r="E302" s="186"/>
      <c r="F302" s="186"/>
      <c r="G302" s="186"/>
      <c r="H302" s="186"/>
      <c r="I302" s="186"/>
      <c r="J302" s="186"/>
      <c r="K302" s="186"/>
      <c r="L302" s="186"/>
      <c r="M302" s="186"/>
      <c r="N302" s="186"/>
      <c r="O302" s="186"/>
      <c r="P302" s="186"/>
      <c r="Q302" s="186"/>
    </row>
    <row r="303" spans="2:17" x14ac:dyDescent="0.35">
      <c r="B303" s="186"/>
      <c r="C303" s="186"/>
      <c r="D303" s="186"/>
      <c r="E303" s="186"/>
      <c r="F303" s="186"/>
      <c r="G303" s="186"/>
      <c r="H303" s="186"/>
      <c r="I303" s="186"/>
      <c r="J303" s="186"/>
      <c r="K303" s="186"/>
      <c r="L303" s="186"/>
      <c r="M303" s="186"/>
      <c r="N303" s="186"/>
      <c r="O303" s="186"/>
      <c r="P303" s="186"/>
      <c r="Q303" s="186"/>
    </row>
    <row r="304" spans="2:17" x14ac:dyDescent="0.35">
      <c r="B304" s="186"/>
      <c r="C304" s="186"/>
      <c r="D304" s="186"/>
      <c r="E304" s="186"/>
      <c r="F304" s="186"/>
      <c r="G304" s="186"/>
      <c r="H304" s="186"/>
      <c r="I304" s="186"/>
      <c r="J304" s="186"/>
      <c r="K304" s="186"/>
      <c r="L304" s="186"/>
      <c r="M304" s="186"/>
      <c r="N304" s="186"/>
      <c r="O304" s="186"/>
      <c r="P304" s="186"/>
      <c r="Q304" s="186"/>
    </row>
    <row r="305" spans="2:17" x14ac:dyDescent="0.35">
      <c r="B305" s="186"/>
      <c r="C305" s="186"/>
      <c r="D305" s="186"/>
      <c r="E305" s="186"/>
      <c r="F305" s="186"/>
      <c r="G305" s="186"/>
      <c r="H305" s="186"/>
      <c r="I305" s="186"/>
      <c r="J305" s="186"/>
      <c r="K305" s="186"/>
      <c r="L305" s="186"/>
      <c r="M305" s="186"/>
      <c r="N305" s="186"/>
      <c r="O305" s="186"/>
      <c r="P305" s="186"/>
      <c r="Q305" s="186"/>
    </row>
    <row r="306" spans="2:17" x14ac:dyDescent="0.35">
      <c r="B306" s="186"/>
      <c r="C306" s="186"/>
      <c r="D306" s="186"/>
      <c r="E306" s="186"/>
      <c r="F306" s="186"/>
      <c r="G306" s="186"/>
      <c r="H306" s="186"/>
      <c r="I306" s="186"/>
      <c r="J306" s="186"/>
      <c r="K306" s="186"/>
      <c r="L306" s="186"/>
      <c r="M306" s="186"/>
      <c r="N306" s="186"/>
      <c r="O306" s="186"/>
      <c r="P306" s="186"/>
      <c r="Q306" s="186"/>
    </row>
    <row r="307" spans="2:17" x14ac:dyDescent="0.35">
      <c r="B307" s="186"/>
      <c r="C307" s="186"/>
      <c r="D307" s="186"/>
      <c r="E307" s="186"/>
      <c r="F307" s="186"/>
      <c r="G307" s="186"/>
      <c r="H307" s="186"/>
      <c r="I307" s="186"/>
      <c r="J307" s="186"/>
      <c r="K307" s="186"/>
      <c r="L307" s="186"/>
      <c r="M307" s="186"/>
      <c r="N307" s="186"/>
      <c r="O307" s="186"/>
      <c r="P307" s="186"/>
      <c r="Q307" s="186"/>
    </row>
    <row r="308" spans="2:17" x14ac:dyDescent="0.35">
      <c r="B308" s="186"/>
      <c r="C308" s="186"/>
      <c r="D308" s="186"/>
      <c r="E308" s="186"/>
      <c r="F308" s="186"/>
      <c r="G308" s="186"/>
      <c r="H308" s="186"/>
      <c r="I308" s="186"/>
      <c r="J308" s="186"/>
      <c r="K308" s="186"/>
      <c r="L308" s="186"/>
      <c r="M308" s="186"/>
      <c r="N308" s="186"/>
      <c r="O308" s="186"/>
      <c r="P308" s="186"/>
      <c r="Q308" s="186"/>
    </row>
    <row r="309" spans="2:17" x14ac:dyDescent="0.35">
      <c r="B309" s="186"/>
      <c r="C309" s="186"/>
      <c r="D309" s="186"/>
      <c r="E309" s="186"/>
      <c r="F309" s="186"/>
      <c r="G309" s="186"/>
      <c r="H309" s="186"/>
      <c r="I309" s="186"/>
      <c r="J309" s="186"/>
      <c r="K309" s="186"/>
      <c r="L309" s="186"/>
      <c r="M309" s="186"/>
      <c r="N309" s="186"/>
      <c r="O309" s="186"/>
      <c r="P309" s="186"/>
      <c r="Q309" s="186"/>
    </row>
    <row r="310" spans="2:17" x14ac:dyDescent="0.35">
      <c r="B310" s="186"/>
      <c r="C310" s="186"/>
      <c r="D310" s="186"/>
      <c r="E310" s="186"/>
      <c r="F310" s="186"/>
      <c r="G310" s="186"/>
      <c r="H310" s="186"/>
      <c r="I310" s="186"/>
      <c r="J310" s="186"/>
      <c r="K310" s="186"/>
      <c r="L310" s="186"/>
      <c r="M310" s="186"/>
      <c r="N310" s="186"/>
      <c r="O310" s="186"/>
      <c r="P310" s="186"/>
      <c r="Q310" s="186"/>
    </row>
    <row r="311" spans="2:17" x14ac:dyDescent="0.35">
      <c r="B311" s="186"/>
      <c r="C311" s="186"/>
      <c r="D311" s="186"/>
      <c r="E311" s="186"/>
      <c r="F311" s="186"/>
      <c r="G311" s="186"/>
      <c r="H311" s="186"/>
      <c r="I311" s="186"/>
      <c r="J311" s="186"/>
      <c r="K311" s="186"/>
      <c r="L311" s="186"/>
      <c r="M311" s="186"/>
      <c r="N311" s="186"/>
      <c r="O311" s="186"/>
      <c r="P311" s="186"/>
      <c r="Q311" s="186"/>
    </row>
    <row r="312" spans="2:17" x14ac:dyDescent="0.35">
      <c r="B312" s="186"/>
      <c r="C312" s="186"/>
      <c r="D312" s="186"/>
      <c r="E312" s="186"/>
      <c r="F312" s="186"/>
      <c r="G312" s="186"/>
      <c r="H312" s="186"/>
      <c r="I312" s="186"/>
      <c r="J312" s="186"/>
      <c r="K312" s="186"/>
      <c r="L312" s="186"/>
      <c r="M312" s="186"/>
      <c r="N312" s="186"/>
      <c r="O312" s="186"/>
      <c r="P312" s="186"/>
      <c r="Q312" s="186"/>
    </row>
    <row r="313" spans="2:17" x14ac:dyDescent="0.35">
      <c r="B313" s="186"/>
      <c r="C313" s="186"/>
      <c r="D313" s="186"/>
      <c r="E313" s="186"/>
      <c r="F313" s="186"/>
      <c r="G313" s="186"/>
      <c r="H313" s="186"/>
      <c r="I313" s="186"/>
      <c r="J313" s="186"/>
      <c r="K313" s="186"/>
      <c r="L313" s="186"/>
      <c r="M313" s="186"/>
      <c r="N313" s="186"/>
      <c r="O313" s="186"/>
      <c r="P313" s="186"/>
      <c r="Q313" s="186"/>
    </row>
    <row r="314" spans="2:17" x14ac:dyDescent="0.35">
      <c r="B314" s="186"/>
      <c r="C314" s="186"/>
      <c r="D314" s="186"/>
      <c r="E314" s="186"/>
      <c r="F314" s="186"/>
      <c r="G314" s="186"/>
      <c r="H314" s="186"/>
      <c r="I314" s="186"/>
      <c r="J314" s="186"/>
      <c r="K314" s="186"/>
      <c r="L314" s="186"/>
      <c r="M314" s="186"/>
      <c r="N314" s="186"/>
      <c r="O314" s="186"/>
      <c r="P314" s="186"/>
      <c r="Q314" s="186"/>
    </row>
    <row r="315" spans="2:17" x14ac:dyDescent="0.35">
      <c r="B315" s="186"/>
      <c r="C315" s="186"/>
      <c r="D315" s="186"/>
      <c r="E315" s="186"/>
      <c r="F315" s="186"/>
      <c r="G315" s="186"/>
      <c r="H315" s="186"/>
      <c r="I315" s="186"/>
      <c r="J315" s="186"/>
      <c r="K315" s="186"/>
      <c r="L315" s="186"/>
      <c r="M315" s="186"/>
      <c r="N315" s="186"/>
      <c r="O315" s="186"/>
      <c r="P315" s="186"/>
      <c r="Q315" s="186"/>
    </row>
    <row r="316" spans="2:17" x14ac:dyDescent="0.35">
      <c r="B316" s="186"/>
      <c r="C316" s="186"/>
      <c r="D316" s="186"/>
      <c r="E316" s="186"/>
      <c r="F316" s="186"/>
      <c r="G316" s="186"/>
      <c r="H316" s="186"/>
      <c r="I316" s="186"/>
      <c r="J316" s="186"/>
      <c r="K316" s="186"/>
      <c r="L316" s="186"/>
      <c r="M316" s="186"/>
      <c r="N316" s="186"/>
      <c r="O316" s="186"/>
      <c r="P316" s="186"/>
      <c r="Q316" s="186"/>
    </row>
    <row r="317" spans="2:17" x14ac:dyDescent="0.35">
      <c r="B317" s="186"/>
      <c r="C317" s="186"/>
      <c r="D317" s="186"/>
      <c r="E317" s="186"/>
      <c r="F317" s="186"/>
      <c r="G317" s="186"/>
      <c r="H317" s="186"/>
      <c r="I317" s="186"/>
      <c r="J317" s="186"/>
      <c r="K317" s="186"/>
      <c r="L317" s="186"/>
    </row>
    <row r="318" spans="2:17" x14ac:dyDescent="0.35">
      <c r="B318" s="186"/>
      <c r="C318" s="186"/>
      <c r="D318" s="186"/>
      <c r="E318" s="186"/>
      <c r="F318" s="186"/>
      <c r="G318" s="186"/>
      <c r="H318" s="186"/>
      <c r="I318" s="186"/>
      <c r="J318" s="186"/>
      <c r="K318" s="186"/>
      <c r="L318" s="186"/>
    </row>
    <row r="319" spans="2:17" x14ac:dyDescent="0.35">
      <c r="B319" s="186"/>
      <c r="C319" s="186"/>
      <c r="D319" s="186"/>
      <c r="E319" s="186"/>
      <c r="F319" s="186"/>
      <c r="G319" s="186"/>
      <c r="H319" s="186"/>
      <c r="I319" s="186"/>
      <c r="J319" s="186"/>
      <c r="K319" s="186"/>
      <c r="L319" s="186"/>
    </row>
    <row r="320" spans="2:17" x14ac:dyDescent="0.35">
      <c r="B320" s="186"/>
      <c r="C320" s="186"/>
      <c r="D320" s="186"/>
      <c r="E320" s="186"/>
      <c r="F320" s="186"/>
      <c r="G320" s="186"/>
      <c r="H320" s="186"/>
      <c r="I320" s="186"/>
      <c r="J320" s="186"/>
      <c r="K320" s="186"/>
      <c r="L320" s="186"/>
    </row>
    <row r="321" spans="2:12" x14ac:dyDescent="0.35">
      <c r="B321" s="186"/>
      <c r="C321" s="186"/>
      <c r="D321" s="186"/>
      <c r="E321" s="186"/>
      <c r="F321" s="186"/>
      <c r="G321" s="186"/>
      <c r="H321" s="186"/>
      <c r="I321" s="186"/>
      <c r="J321" s="186"/>
      <c r="K321" s="186"/>
      <c r="L321" s="186"/>
    </row>
  </sheetData>
  <conditionalFormatting sqref="A1:XFD1048576">
    <cfRule type="cellIs" dxfId="3" priority="1" operator="lessThan">
      <formula>0</formula>
    </cfRule>
  </conditionalFormatting>
  <pageMargins left="0.7" right="0.7" top="0.75" bottom="0.75" header="0.3" footer="0.3"/>
  <pageSetup scale="31"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C0BDD-7B36-4B21-85E1-F80BE1A5175C}">
  <sheetPr>
    <tabColor rgb="FFFF0000"/>
  </sheetPr>
  <dimension ref="A1:AN73"/>
  <sheetViews>
    <sheetView workbookViewId="0"/>
  </sheetViews>
  <sheetFormatPr defaultColWidth="8.81640625" defaultRowHeight="14.5" outlineLevelRow="1" x14ac:dyDescent="0.35"/>
  <cols>
    <col min="1" max="1" width="7.81640625" customWidth="1"/>
    <col min="2" max="2" width="44.453125" bestFit="1" customWidth="1"/>
    <col min="3" max="3" width="20.453125" customWidth="1"/>
    <col min="4" max="4" width="11.26953125" bestFit="1" customWidth="1"/>
    <col min="5" max="5" width="11.54296875" bestFit="1" customWidth="1"/>
    <col min="6" max="6" width="11.453125" bestFit="1" customWidth="1"/>
    <col min="7" max="7" width="12.81640625" style="41" bestFit="1" customWidth="1"/>
    <col min="8" max="8" width="10.7265625" style="13" bestFit="1" customWidth="1"/>
    <col min="9" max="9" width="11.54296875" style="129" bestFit="1" customWidth="1"/>
    <col min="10" max="10" width="10.54296875" bestFit="1" customWidth="1"/>
    <col min="11" max="11" width="13.453125" style="13" bestFit="1" customWidth="1"/>
    <col min="12" max="12" width="14.54296875" style="13" bestFit="1" customWidth="1"/>
    <col min="13" max="14" width="14.54296875" style="13" customWidth="1"/>
    <col min="15" max="15" width="12.54296875" bestFit="1" customWidth="1"/>
    <col min="16" max="16" width="12.7265625" bestFit="1" customWidth="1"/>
    <col min="17" max="17" width="12.81640625" bestFit="1" customWidth="1"/>
    <col min="18" max="18" width="13.7265625" customWidth="1"/>
    <col min="26" max="27" width="17.26953125" customWidth="1"/>
  </cols>
  <sheetData>
    <row r="1" spans="1:21" x14ac:dyDescent="0.35">
      <c r="A1" s="198" t="s">
        <v>118</v>
      </c>
      <c r="B1" s="199"/>
      <c r="C1" s="199"/>
      <c r="D1" s="199"/>
      <c r="E1" s="199"/>
      <c r="F1" s="199"/>
      <c r="G1" s="199"/>
      <c r="H1" s="199"/>
      <c r="I1" s="199"/>
      <c r="J1" s="199"/>
      <c r="K1" s="199"/>
      <c r="L1" s="199"/>
      <c r="M1" s="397"/>
      <c r="N1" s="397"/>
    </row>
    <row r="2" spans="1:21" x14ac:dyDescent="0.35">
      <c r="B2" s="200"/>
      <c r="C2" s="192"/>
      <c r="D2" s="201"/>
      <c r="E2" s="202"/>
      <c r="F2" s="203"/>
      <c r="G2" s="204"/>
      <c r="H2" s="204"/>
      <c r="I2" s="204"/>
      <c r="J2" s="205"/>
      <c r="K2" s="206"/>
      <c r="L2" s="206"/>
      <c r="M2" s="206"/>
      <c r="N2" s="206"/>
      <c r="O2" s="207"/>
      <c r="P2" s="196"/>
      <c r="Q2" s="186"/>
      <c r="R2" s="208"/>
      <c r="S2" s="186"/>
    </row>
    <row r="3" spans="1:21" ht="15" thickBot="1" x14ac:dyDescent="0.4">
      <c r="A3" s="184" t="s">
        <v>1</v>
      </c>
      <c r="B3" s="184"/>
      <c r="C3" s="184"/>
      <c r="D3" s="184"/>
      <c r="E3" s="184"/>
      <c r="F3" s="184"/>
      <c r="G3" s="184"/>
      <c r="H3" s="184"/>
      <c r="I3" s="184"/>
      <c r="J3" s="184"/>
      <c r="K3" s="184"/>
      <c r="L3" s="184"/>
      <c r="M3" s="212"/>
      <c r="N3" s="212"/>
      <c r="O3" s="185"/>
      <c r="P3" s="185"/>
      <c r="Q3" s="186"/>
      <c r="R3" s="186"/>
      <c r="S3" s="186"/>
    </row>
    <row r="4" spans="1:21" outlineLevel="1" x14ac:dyDescent="0.35">
      <c r="B4" s="187" t="s">
        <v>2</v>
      </c>
      <c r="C4" s="188" t="s">
        <v>3</v>
      </c>
      <c r="D4" s="187" t="s">
        <v>4</v>
      </c>
      <c r="E4" s="187" t="s">
        <v>5</v>
      </c>
      <c r="F4" s="187" t="s">
        <v>6</v>
      </c>
      <c r="G4" s="187" t="s">
        <v>7</v>
      </c>
      <c r="H4" s="189" t="s">
        <v>8</v>
      </c>
      <c r="I4" s="189" t="s">
        <v>9</v>
      </c>
      <c r="J4" s="189" t="s">
        <v>10</v>
      </c>
      <c r="K4" s="189" t="s">
        <v>11</v>
      </c>
      <c r="L4" s="189" t="s">
        <v>12</v>
      </c>
      <c r="M4" s="212"/>
      <c r="N4" s="212"/>
      <c r="O4" s="190"/>
      <c r="P4" s="186"/>
      <c r="Q4" s="186"/>
      <c r="R4" s="186"/>
    </row>
    <row r="5" spans="1:21" outlineLevel="1" x14ac:dyDescent="0.35">
      <c r="B5" s="191">
        <f>L7</f>
        <v>16</v>
      </c>
      <c r="C5" s="192">
        <f>L8</f>
        <v>13759</v>
      </c>
      <c r="D5" s="193">
        <f>L9</f>
        <v>220144</v>
      </c>
      <c r="E5" s="194">
        <f>L51</f>
        <v>61280</v>
      </c>
      <c r="F5" s="210">
        <f>D5-E5</f>
        <v>158864</v>
      </c>
      <c r="G5" s="210">
        <f>0.3*D5</f>
        <v>66043.199999999997</v>
      </c>
      <c r="H5" s="193">
        <f>F5-G5</f>
        <v>92820.800000000003</v>
      </c>
      <c r="I5" s="170">
        <f>(E5+G5)*G63</f>
        <v>43417.211200000005</v>
      </c>
      <c r="J5" s="170">
        <f>G64*(E5+G5+I5)</f>
        <v>7751.6146684800005</v>
      </c>
      <c r="K5" s="193">
        <f>F5-G5-I5-J5</f>
        <v>41651.974131519994</v>
      </c>
      <c r="L5" s="195">
        <f>K5/D5</f>
        <v>0.1892033129747801</v>
      </c>
      <c r="M5" s="398"/>
      <c r="N5" s="398"/>
      <c r="O5" s="196"/>
      <c r="P5" s="186"/>
      <c r="Q5" s="186"/>
      <c r="R5" s="197"/>
    </row>
    <row r="6" spans="1:21" ht="18.75" customHeight="1" x14ac:dyDescent="0.35">
      <c r="G6"/>
      <c r="H6"/>
      <c r="I6"/>
      <c r="K6"/>
      <c r="L6"/>
      <c r="M6"/>
      <c r="N6"/>
    </row>
    <row r="7" spans="1:21" x14ac:dyDescent="0.35">
      <c r="A7" s="8"/>
      <c r="C7" s="28" t="s">
        <v>148</v>
      </c>
      <c r="D7" s="2"/>
      <c r="E7" s="2"/>
      <c r="F7" s="2"/>
      <c r="G7" s="39"/>
      <c r="H7" s="29">
        <v>16</v>
      </c>
      <c r="K7" s="29">
        <v>10</v>
      </c>
      <c r="L7" s="29">
        <v>16</v>
      </c>
      <c r="M7" s="29">
        <v>16</v>
      </c>
      <c r="N7" s="399"/>
    </row>
    <row r="8" spans="1:21" ht="15.5" x14ac:dyDescent="0.35">
      <c r="A8" s="9"/>
      <c r="B8" s="7"/>
      <c r="C8" s="30" t="s">
        <v>149</v>
      </c>
      <c r="D8" s="2"/>
      <c r="E8" s="2"/>
      <c r="F8" s="2"/>
      <c r="G8" s="39"/>
      <c r="H8" s="31">
        <v>13759</v>
      </c>
      <c r="K8" s="182">
        <f>R19</f>
        <v>8892</v>
      </c>
      <c r="L8" s="182">
        <v>13759</v>
      </c>
      <c r="M8" s="182">
        <v>13759</v>
      </c>
      <c r="N8" s="400"/>
      <c r="O8" s="45">
        <f>K8-H8</f>
        <v>-4867</v>
      </c>
      <c r="P8" s="45">
        <f>O8*4</f>
        <v>-19468</v>
      </c>
      <c r="Q8">
        <f>(K8-H8)/H8</f>
        <v>-0.35373210262373717</v>
      </c>
    </row>
    <row r="9" spans="1:21" ht="16" thickBot="1" x14ac:dyDescent="0.4">
      <c r="A9" s="9"/>
      <c r="B9" s="7"/>
      <c r="C9" s="30" t="s">
        <v>150</v>
      </c>
      <c r="D9" s="32"/>
      <c r="E9" s="2"/>
      <c r="F9" s="2"/>
      <c r="G9" s="39"/>
      <c r="H9" s="31">
        <f>H7*H8</f>
        <v>220144</v>
      </c>
      <c r="K9" s="182">
        <f>K7*K8</f>
        <v>88920</v>
      </c>
      <c r="L9" s="183">
        <f>L7*L8</f>
        <v>220144</v>
      </c>
      <c r="M9" s="183">
        <f>M7*M8</f>
        <v>220144</v>
      </c>
      <c r="N9" s="400"/>
    </row>
    <row r="10" spans="1:21" ht="15.5" x14ac:dyDescent="0.35">
      <c r="A10" s="489" t="s">
        <v>151</v>
      </c>
      <c r="B10" s="490"/>
      <c r="C10" s="33"/>
      <c r="D10" s="2"/>
      <c r="E10" s="2"/>
      <c r="F10" s="2"/>
      <c r="G10" s="39"/>
      <c r="H10" s="34"/>
      <c r="K10" s="109"/>
      <c r="L10" s="95"/>
      <c r="M10" s="401"/>
      <c r="N10" s="401"/>
      <c r="P10" t="s">
        <v>152</v>
      </c>
      <c r="Q10" t="s">
        <v>153</v>
      </c>
    </row>
    <row r="11" spans="1:21" ht="16" thickBot="1" x14ac:dyDescent="0.4">
      <c r="A11" s="10"/>
      <c r="B11" s="22"/>
      <c r="C11" s="1"/>
      <c r="D11" s="2"/>
      <c r="E11" s="2"/>
      <c r="F11" s="2"/>
      <c r="G11" s="39"/>
      <c r="H11" s="34"/>
      <c r="K11" s="109"/>
      <c r="L11" s="95"/>
      <c r="M11" s="401"/>
      <c r="N11" s="401"/>
      <c r="P11" s="89">
        <f>G54</f>
        <v>4212</v>
      </c>
      <c r="Q11" s="45">
        <v>9600</v>
      </c>
      <c r="R11" s="45">
        <f>P11+Q11</f>
        <v>13812</v>
      </c>
      <c r="S11">
        <f>9500+P11</f>
        <v>13712</v>
      </c>
      <c r="T11" s="45">
        <v>13104</v>
      </c>
    </row>
    <row r="12" spans="1:21" ht="15.5" x14ac:dyDescent="0.35">
      <c r="A12" s="10" t="s">
        <v>154</v>
      </c>
      <c r="B12" s="22" t="s">
        <v>155</v>
      </c>
      <c r="C12" s="1"/>
      <c r="D12" s="2"/>
      <c r="E12" s="2"/>
      <c r="F12" s="2"/>
      <c r="G12" s="39">
        <v>7000</v>
      </c>
      <c r="H12" s="34">
        <v>7000</v>
      </c>
      <c r="K12" s="110">
        <v>6000</v>
      </c>
      <c r="L12" s="96">
        <f>G12</f>
        <v>7000</v>
      </c>
      <c r="M12" s="129">
        <v>7000</v>
      </c>
      <c r="N12"/>
      <c r="P12" s="46" t="s">
        <v>156</v>
      </c>
      <c r="Q12" s="47"/>
    </row>
    <row r="13" spans="1:21" ht="15.5" x14ac:dyDescent="0.35">
      <c r="A13" s="10" t="s">
        <v>157</v>
      </c>
      <c r="B13" s="25" t="s">
        <v>158</v>
      </c>
      <c r="C13" s="1"/>
      <c r="D13" s="2"/>
      <c r="E13" s="2"/>
      <c r="F13" s="2"/>
      <c r="G13" s="39">
        <v>10000</v>
      </c>
      <c r="H13" s="34">
        <f>G13*144%</f>
        <v>14400</v>
      </c>
      <c r="K13" s="168">
        <f>H13</f>
        <v>14400</v>
      </c>
      <c r="L13" s="96">
        <f>G13*1.44</f>
        <v>14400</v>
      </c>
      <c r="M13" s="129">
        <v>13360</v>
      </c>
      <c r="N13" t="s">
        <v>159</v>
      </c>
      <c r="P13" s="48">
        <v>13850</v>
      </c>
      <c r="Q13" s="49"/>
    </row>
    <row r="14" spans="1:21" ht="15.5" x14ac:dyDescent="0.35">
      <c r="A14" s="10"/>
      <c r="B14" s="25"/>
      <c r="C14" s="1"/>
      <c r="D14" s="2"/>
      <c r="E14" s="2"/>
      <c r="F14" s="2"/>
      <c r="G14" s="39"/>
      <c r="H14" s="34"/>
      <c r="K14" s="110"/>
      <c r="L14" s="96"/>
      <c r="M14" s="129"/>
      <c r="N14"/>
      <c r="P14" s="48" t="s">
        <v>160</v>
      </c>
      <c r="Q14" s="49"/>
    </row>
    <row r="15" spans="1:21" ht="16" thickBot="1" x14ac:dyDescent="0.4">
      <c r="A15" s="10" t="s">
        <v>161</v>
      </c>
      <c r="B15" s="25" t="s">
        <v>162</v>
      </c>
      <c r="C15" s="21"/>
      <c r="D15" s="2"/>
      <c r="E15" s="2"/>
      <c r="F15" s="2"/>
      <c r="G15" s="39">
        <v>10000</v>
      </c>
      <c r="H15" s="34">
        <f>G15*144%</f>
        <v>14400</v>
      </c>
      <c r="K15" s="168">
        <f>H15</f>
        <v>14400</v>
      </c>
      <c r="L15" s="96">
        <f>G15*1.44</f>
        <v>14400</v>
      </c>
      <c r="M15" s="129">
        <v>13360</v>
      </c>
      <c r="N15" t="s">
        <v>163</v>
      </c>
      <c r="P15" s="50" t="s">
        <v>164</v>
      </c>
      <c r="Q15" s="51"/>
      <c r="U15" t="s">
        <v>30</v>
      </c>
    </row>
    <row r="16" spans="1:21" ht="15.5" x14ac:dyDescent="0.35">
      <c r="A16" s="11"/>
      <c r="B16" s="23"/>
      <c r="C16" s="3"/>
      <c r="D16" s="2"/>
      <c r="E16" s="2"/>
      <c r="F16" s="2"/>
      <c r="G16" s="39"/>
      <c r="H16" s="34"/>
      <c r="K16" s="110"/>
      <c r="L16" s="96"/>
      <c r="M16" s="129"/>
      <c r="N16"/>
    </row>
    <row r="17" spans="1:19" ht="16" thickBot="1" x14ac:dyDescent="0.4">
      <c r="A17" s="491" t="s">
        <v>165</v>
      </c>
      <c r="B17" s="492"/>
      <c r="C17" s="2"/>
      <c r="D17" s="2"/>
      <c r="E17" s="2">
        <f>39550/25</f>
        <v>1582</v>
      </c>
      <c r="F17" s="2"/>
      <c r="G17" s="39"/>
      <c r="H17" s="34"/>
      <c r="K17" s="110"/>
      <c r="L17" s="96"/>
      <c r="M17" s="129"/>
      <c r="N17"/>
    </row>
    <row r="18" spans="1:19" ht="15.5" x14ac:dyDescent="0.35">
      <c r="A18" s="14"/>
      <c r="B18" s="24" t="s">
        <v>166</v>
      </c>
      <c r="C18" s="5"/>
      <c r="D18" s="2"/>
      <c r="E18" s="2"/>
      <c r="F18" s="2"/>
      <c r="G18" s="39"/>
      <c r="H18" s="35"/>
      <c r="K18" s="111"/>
      <c r="L18" s="97"/>
      <c r="M18" s="129"/>
      <c r="N18"/>
      <c r="P18" s="46">
        <v>12480</v>
      </c>
      <c r="Q18" s="55">
        <v>0.05</v>
      </c>
      <c r="R18" s="47">
        <f>P18*(1+Q18)</f>
        <v>13104</v>
      </c>
    </row>
    <row r="19" spans="1:19" ht="16" thickBot="1" x14ac:dyDescent="0.4">
      <c r="A19" s="14"/>
      <c r="B19" s="25" t="s">
        <v>66</v>
      </c>
      <c r="C19" s="5"/>
      <c r="D19" s="2"/>
      <c r="E19" s="5"/>
      <c r="F19" s="2"/>
      <c r="G19" s="39">
        <v>95</v>
      </c>
      <c r="H19" s="34">
        <f>G19*H7</f>
        <v>1520</v>
      </c>
      <c r="K19" s="110">
        <f>G19*K7</f>
        <v>950</v>
      </c>
      <c r="L19" s="96">
        <f>G19*L7</f>
        <v>1520</v>
      </c>
      <c r="M19" s="129">
        <v>3523.58</v>
      </c>
      <c r="N19"/>
      <c r="P19" s="50"/>
      <c r="Q19" s="56"/>
      <c r="R19" s="124">
        <f>R18-P11</f>
        <v>8892</v>
      </c>
    </row>
    <row r="20" spans="1:19" ht="15.5" x14ac:dyDescent="0.35">
      <c r="A20" s="14"/>
      <c r="B20" s="25"/>
      <c r="C20" s="6"/>
      <c r="D20" s="2"/>
      <c r="E20" s="5"/>
      <c r="F20" s="2"/>
      <c r="G20" s="39"/>
      <c r="H20" s="36"/>
      <c r="K20" s="112"/>
      <c r="L20" s="98"/>
      <c r="M20" s="129"/>
      <c r="N20"/>
    </row>
    <row r="21" spans="1:19" ht="15.5" x14ac:dyDescent="0.35">
      <c r="A21" s="14"/>
      <c r="B21" s="24" t="s">
        <v>167</v>
      </c>
      <c r="C21" s="6"/>
      <c r="D21" s="2"/>
      <c r="E21" s="2" t="s">
        <v>30</v>
      </c>
      <c r="F21" s="2"/>
      <c r="G21" s="39"/>
      <c r="H21" s="36"/>
      <c r="K21" s="113"/>
      <c r="L21" s="99"/>
      <c r="M21" s="129"/>
      <c r="N21"/>
    </row>
    <row r="22" spans="1:19" ht="15.5" x14ac:dyDescent="0.35">
      <c r="A22" s="14"/>
      <c r="B22" s="25" t="s">
        <v>168</v>
      </c>
      <c r="C22" s="6"/>
      <c r="D22" s="2"/>
      <c r="E22" s="2"/>
      <c r="F22" s="2"/>
      <c r="G22" s="39">
        <v>25</v>
      </c>
      <c r="H22" s="37">
        <v>250</v>
      </c>
      <c r="K22" s="112">
        <v>250</v>
      </c>
      <c r="L22" s="98">
        <f>G22*L7</f>
        <v>400</v>
      </c>
      <c r="M22" s="129">
        <v>108.28</v>
      </c>
      <c r="N22" t="s">
        <v>169</v>
      </c>
      <c r="O22" s="92"/>
    </row>
    <row r="23" spans="1:19" ht="15.5" x14ac:dyDescent="0.35">
      <c r="A23" s="14"/>
      <c r="B23" s="25"/>
      <c r="C23" s="6"/>
      <c r="D23" s="2"/>
      <c r="E23" s="2"/>
      <c r="F23" s="2"/>
      <c r="G23" s="39"/>
      <c r="H23" s="37"/>
      <c r="K23" s="112"/>
      <c r="L23" s="98"/>
      <c r="M23" s="129"/>
      <c r="N23"/>
      <c r="R23" s="125">
        <f>H8*0.02</f>
        <v>275.18</v>
      </c>
      <c r="S23" s="126">
        <v>0.02</v>
      </c>
    </row>
    <row r="24" spans="1:19" ht="15.5" x14ac:dyDescent="0.35">
      <c r="A24" s="14"/>
      <c r="B24" s="24" t="s">
        <v>170</v>
      </c>
      <c r="C24" s="6"/>
      <c r="D24" s="2"/>
      <c r="E24" s="2"/>
      <c r="F24" s="2"/>
      <c r="G24" s="39"/>
      <c r="H24" s="37"/>
      <c r="K24" s="112"/>
      <c r="L24" s="98"/>
      <c r="M24" s="129"/>
      <c r="N24"/>
      <c r="P24">
        <f>4032</f>
        <v>4032</v>
      </c>
      <c r="Q24" s="125">
        <f>H8+R24</f>
        <v>14171.77</v>
      </c>
      <c r="R24" s="125">
        <f>0.03*H8</f>
        <v>412.77</v>
      </c>
      <c r="S24" s="126">
        <v>0.03</v>
      </c>
    </row>
    <row r="25" spans="1:19" ht="15.5" x14ac:dyDescent="0.35">
      <c r="A25" s="14"/>
      <c r="B25" s="24" t="s">
        <v>171</v>
      </c>
      <c r="C25" s="6"/>
      <c r="D25" s="2" t="s">
        <v>30</v>
      </c>
      <c r="E25" s="2"/>
      <c r="F25" s="2"/>
      <c r="G25" s="39"/>
      <c r="H25" s="37"/>
      <c r="K25" s="112"/>
      <c r="L25" s="98"/>
      <c r="M25" s="129"/>
      <c r="N25"/>
      <c r="P25" s="125">
        <f>Q24-P24</f>
        <v>10139.77</v>
      </c>
      <c r="R25" s="125">
        <f>H8*0.04</f>
        <v>550.36</v>
      </c>
      <c r="S25" s="126">
        <v>0.04</v>
      </c>
    </row>
    <row r="26" spans="1:19" ht="15.5" x14ac:dyDescent="0.35">
      <c r="A26" s="14"/>
      <c r="B26" s="171" t="s">
        <v>158</v>
      </c>
      <c r="C26" s="172" t="s">
        <v>172</v>
      </c>
      <c r="D26" s="172"/>
      <c r="E26" s="172"/>
      <c r="F26" s="173"/>
      <c r="G26" s="174">
        <v>135</v>
      </c>
      <c r="H26" s="175">
        <f>$G$26*H7</f>
        <v>2160</v>
      </c>
      <c r="K26" s="178">
        <f>$G$26*K7</f>
        <v>1350</v>
      </c>
      <c r="L26" s="179">
        <f>G26*L7</f>
        <v>2160</v>
      </c>
      <c r="M26" s="176">
        <v>2160</v>
      </c>
      <c r="N26" s="180" t="s">
        <v>173</v>
      </c>
      <c r="O26" s="180" t="s">
        <v>174</v>
      </c>
      <c r="R26" s="45">
        <f>S26*H8</f>
        <v>687.95</v>
      </c>
      <c r="S26" s="126">
        <v>0.05</v>
      </c>
    </row>
    <row r="27" spans="1:19" ht="15.5" x14ac:dyDescent="0.35">
      <c r="A27" s="14"/>
      <c r="B27" s="171" t="s">
        <v>162</v>
      </c>
      <c r="C27" s="172" t="s">
        <v>172</v>
      </c>
      <c r="D27" s="172"/>
      <c r="E27" s="173"/>
      <c r="F27" s="173"/>
      <c r="G27" s="174">
        <v>135</v>
      </c>
      <c r="H27" s="175">
        <f>G27*H7</f>
        <v>2160</v>
      </c>
      <c r="K27" s="178">
        <f>G27*K7</f>
        <v>1350</v>
      </c>
      <c r="L27" s="179">
        <f>G27*L7</f>
        <v>2160</v>
      </c>
      <c r="M27" s="180">
        <v>2160</v>
      </c>
      <c r="N27" s="180" t="s">
        <v>175</v>
      </c>
      <c r="O27" s="180" t="s">
        <v>174</v>
      </c>
    </row>
    <row r="28" spans="1:19" ht="15.5" x14ac:dyDescent="0.35">
      <c r="A28" s="14"/>
      <c r="B28" s="25"/>
      <c r="C28" s="6"/>
      <c r="D28" s="6"/>
      <c r="E28" s="2"/>
      <c r="F28" s="2"/>
      <c r="G28" s="39"/>
      <c r="H28" s="37"/>
      <c r="K28" s="112"/>
      <c r="L28" s="98"/>
      <c r="M28" s="129"/>
      <c r="N28"/>
    </row>
    <row r="29" spans="1:19" ht="15.5" x14ac:dyDescent="0.35">
      <c r="A29" s="14"/>
      <c r="B29" s="24" t="s">
        <v>176</v>
      </c>
      <c r="C29" s="6"/>
      <c r="D29" s="2"/>
      <c r="E29" s="2"/>
      <c r="F29" s="2"/>
      <c r="G29" s="39"/>
      <c r="H29" s="36"/>
      <c r="K29" s="113"/>
      <c r="L29" s="99"/>
      <c r="M29" s="129"/>
      <c r="N29"/>
      <c r="R29" s="125">
        <f>R23+450</f>
        <v>725.18000000000006</v>
      </c>
      <c r="S29" s="126">
        <v>0.02</v>
      </c>
    </row>
    <row r="30" spans="1:19" ht="15.5" x14ac:dyDescent="0.35">
      <c r="A30" s="14"/>
      <c r="B30" s="25" t="s">
        <v>177</v>
      </c>
      <c r="C30" s="6"/>
      <c r="D30" s="2"/>
      <c r="E30" s="2"/>
      <c r="F30" s="2"/>
      <c r="G30" s="39"/>
      <c r="H30" s="37">
        <v>0</v>
      </c>
      <c r="K30" s="112">
        <v>0</v>
      </c>
      <c r="L30" s="98"/>
      <c r="M30" s="129"/>
      <c r="N30"/>
      <c r="R30" s="125">
        <f>450+R24</f>
        <v>862.77</v>
      </c>
      <c r="S30" s="126">
        <v>0.03</v>
      </c>
    </row>
    <row r="31" spans="1:19" ht="15.5" x14ac:dyDescent="0.35">
      <c r="A31" s="14"/>
      <c r="B31" s="25" t="s">
        <v>178</v>
      </c>
      <c r="C31" s="2"/>
      <c r="D31" s="2"/>
      <c r="E31" s="2"/>
      <c r="F31" s="2"/>
      <c r="G31" s="39">
        <v>20</v>
      </c>
      <c r="H31" s="34">
        <f>20*H$7</f>
        <v>320</v>
      </c>
      <c r="K31" s="110">
        <f>20*K$7</f>
        <v>200</v>
      </c>
      <c r="L31" s="96">
        <f>G31*L7</f>
        <v>320</v>
      </c>
      <c r="M31" s="129">
        <v>320</v>
      </c>
      <c r="N31"/>
    </row>
    <row r="32" spans="1:19" ht="15.5" x14ac:dyDescent="0.35">
      <c r="A32" s="14"/>
      <c r="B32" s="25" t="s">
        <v>78</v>
      </c>
      <c r="C32" s="2"/>
      <c r="D32" s="2"/>
      <c r="E32" s="2"/>
      <c r="F32" s="2"/>
      <c r="G32" s="39">
        <v>15</v>
      </c>
      <c r="H32" s="34">
        <f>G32*H$7</f>
        <v>240</v>
      </c>
      <c r="K32" s="110">
        <f>G32*K7</f>
        <v>150</v>
      </c>
      <c r="L32" s="96">
        <f>G32*L7</f>
        <v>240</v>
      </c>
      <c r="M32" s="129">
        <v>240</v>
      </c>
      <c r="N32"/>
    </row>
    <row r="33" spans="1:40" ht="15.5" x14ac:dyDescent="0.35">
      <c r="A33" s="14"/>
      <c r="B33" s="25" t="s">
        <v>179</v>
      </c>
      <c r="C33" s="2"/>
      <c r="D33" s="2"/>
      <c r="E33" s="2"/>
      <c r="F33" s="2"/>
      <c r="G33" s="39"/>
      <c r="H33" s="34">
        <v>100</v>
      </c>
      <c r="K33" s="110">
        <v>100</v>
      </c>
      <c r="L33" s="96">
        <f>K33</f>
        <v>100</v>
      </c>
      <c r="M33" s="129">
        <v>24.07</v>
      </c>
      <c r="N33" t="s">
        <v>180</v>
      </c>
    </row>
    <row r="34" spans="1:40" ht="15.5" x14ac:dyDescent="0.35">
      <c r="A34" s="14"/>
      <c r="B34" s="25" t="s">
        <v>75</v>
      </c>
      <c r="C34" s="2"/>
      <c r="D34" s="2"/>
      <c r="E34" s="2"/>
      <c r="F34" s="2"/>
      <c r="G34" s="39">
        <f>75*6</f>
        <v>450</v>
      </c>
      <c r="H34" s="34">
        <f>G34*H7</f>
        <v>7200</v>
      </c>
      <c r="K34" s="110">
        <f>G34*K7</f>
        <v>4500</v>
      </c>
      <c r="L34" s="96">
        <f>G34*L7</f>
        <v>7200</v>
      </c>
      <c r="M34" s="129">
        <v>3628</v>
      </c>
      <c r="N34" s="2" t="s">
        <v>181</v>
      </c>
    </row>
    <row r="35" spans="1:40" ht="15.5" x14ac:dyDescent="0.35">
      <c r="A35" s="14"/>
      <c r="B35" s="171" t="s">
        <v>182</v>
      </c>
      <c r="C35" s="172" t="s">
        <v>183</v>
      </c>
      <c r="D35" s="173"/>
      <c r="E35" s="173"/>
      <c r="F35" s="173"/>
      <c r="G35" s="174">
        <v>160</v>
      </c>
      <c r="H35" s="175">
        <f>G35*$H$7</f>
        <v>2560</v>
      </c>
      <c r="K35" s="175">
        <f>G35*$K$7</f>
        <v>1600</v>
      </c>
      <c r="L35" s="175">
        <f>G35*$L$7</f>
        <v>2560</v>
      </c>
      <c r="M35" s="180"/>
      <c r="N35" s="177"/>
    </row>
    <row r="36" spans="1:40" ht="15.5" x14ac:dyDescent="0.35">
      <c r="A36" s="14"/>
      <c r="B36" s="25" t="s">
        <v>184</v>
      </c>
      <c r="C36" s="44">
        <v>0.04</v>
      </c>
      <c r="D36" s="2"/>
      <c r="E36" s="2"/>
      <c r="F36" s="2"/>
      <c r="G36" s="39"/>
      <c r="H36" s="34">
        <f>C36*H9</f>
        <v>8805.76</v>
      </c>
      <c r="K36" s="110">
        <f>C36*K9</f>
        <v>3556.8</v>
      </c>
      <c r="L36" s="110">
        <f>C36*L9</f>
        <v>8805.76</v>
      </c>
      <c r="M36" s="129">
        <v>8806</v>
      </c>
      <c r="N36"/>
      <c r="Q36" t="s">
        <v>185</v>
      </c>
      <c r="R36" s="128" t="s">
        <v>186</v>
      </c>
      <c r="S36" t="s">
        <v>21</v>
      </c>
      <c r="T36" t="s">
        <v>22</v>
      </c>
      <c r="W36" t="s">
        <v>187</v>
      </c>
      <c r="AJ36" t="s">
        <v>187</v>
      </c>
    </row>
    <row r="37" spans="1:40" ht="15.5" x14ac:dyDescent="0.35">
      <c r="A37" s="14"/>
      <c r="B37" s="25" t="s">
        <v>188</v>
      </c>
      <c r="C37" s="44" t="s">
        <v>189</v>
      </c>
      <c r="D37" s="2"/>
      <c r="E37" s="2"/>
      <c r="F37" s="2"/>
      <c r="G37" s="39">
        <v>585</v>
      </c>
      <c r="H37" s="34"/>
      <c r="K37" s="110"/>
      <c r="L37" s="96"/>
      <c r="M37"/>
      <c r="N37"/>
      <c r="O37" t="s">
        <v>190</v>
      </c>
      <c r="R37" s="128"/>
      <c r="W37" t="s">
        <v>152</v>
      </c>
      <c r="X37">
        <v>3825</v>
      </c>
      <c r="Y37">
        <v>16</v>
      </c>
      <c r="Z37">
        <f>X37*Y37</f>
        <v>61200</v>
      </c>
      <c r="AJ37" t="s">
        <v>152</v>
      </c>
      <c r="AK37">
        <v>3825</v>
      </c>
      <c r="AL37">
        <v>16</v>
      </c>
      <c r="AM37">
        <f>AK37*AL37</f>
        <v>61200</v>
      </c>
    </row>
    <row r="38" spans="1:40" ht="15.5" x14ac:dyDescent="0.35">
      <c r="A38" s="14"/>
      <c r="B38" s="25" t="s">
        <v>176</v>
      </c>
      <c r="C38" s="44"/>
      <c r="D38" s="2"/>
      <c r="E38" s="2"/>
      <c r="F38" s="2"/>
      <c r="G38" s="39"/>
      <c r="H38" s="34"/>
      <c r="K38" s="110"/>
      <c r="L38" s="96"/>
      <c r="M38" s="129"/>
      <c r="N38"/>
      <c r="Q38" t="s">
        <v>149</v>
      </c>
      <c r="R38">
        <v>14414</v>
      </c>
      <c r="S38">
        <v>13759</v>
      </c>
      <c r="T38">
        <v>13104</v>
      </c>
      <c r="X38">
        <v>350</v>
      </c>
      <c r="Y38">
        <v>16</v>
      </c>
      <c r="Z38">
        <f>X38*Y38</f>
        <v>5600</v>
      </c>
      <c r="AA38" t="s">
        <v>191</v>
      </c>
      <c r="AK38">
        <v>300</v>
      </c>
      <c r="AL38">
        <v>16</v>
      </c>
      <c r="AM38">
        <f>AK38*AL38</f>
        <v>4800</v>
      </c>
    </row>
    <row r="39" spans="1:40" ht="43.5" x14ac:dyDescent="0.35">
      <c r="A39" s="15"/>
      <c r="B39" s="26"/>
      <c r="C39" s="12" t="s">
        <v>192</v>
      </c>
      <c r="D39" s="2"/>
      <c r="E39" s="2"/>
      <c r="F39" s="2"/>
      <c r="G39" s="39"/>
      <c r="H39" s="34"/>
      <c r="K39" s="109"/>
      <c r="L39" s="95"/>
      <c r="M39" s="129"/>
      <c r="N39"/>
      <c r="Q39" s="127" t="s">
        <v>193</v>
      </c>
      <c r="R39" s="126">
        <v>0.22</v>
      </c>
      <c r="S39" s="126">
        <v>0.16</v>
      </c>
      <c r="T39" s="126">
        <v>0.11</v>
      </c>
      <c r="X39">
        <v>7000</v>
      </c>
      <c r="Z39">
        <f>X39</f>
        <v>7000</v>
      </c>
      <c r="AK39">
        <v>7000</v>
      </c>
      <c r="AM39">
        <f>AK39</f>
        <v>7000</v>
      </c>
    </row>
    <row r="40" spans="1:40" ht="15.5" x14ac:dyDescent="0.35">
      <c r="A40" s="14"/>
      <c r="B40" s="24"/>
      <c r="C40" s="4" t="s">
        <v>194</v>
      </c>
      <c r="D40" s="2"/>
      <c r="E40" s="2"/>
      <c r="F40" s="2"/>
      <c r="G40" s="39"/>
      <c r="H40" s="35">
        <f>H9</f>
        <v>220144</v>
      </c>
      <c r="K40" s="114">
        <f>K9</f>
        <v>88920</v>
      </c>
      <c r="L40" s="100">
        <f>L9</f>
        <v>220144</v>
      </c>
      <c r="M40" s="35">
        <f>H9</f>
        <v>220144</v>
      </c>
      <c r="N40"/>
      <c r="O40" t="s">
        <v>30</v>
      </c>
      <c r="P40">
        <f>13104*10%</f>
        <v>1310.4000000000001</v>
      </c>
      <c r="Q40" s="52" t="s">
        <v>195</v>
      </c>
      <c r="R40" s="126">
        <v>0.14000000000000001</v>
      </c>
      <c r="S40" s="126">
        <v>0.2</v>
      </c>
      <c r="T40" s="126">
        <v>0.28999999999999998</v>
      </c>
      <c r="X40">
        <v>350</v>
      </c>
      <c r="Y40">
        <v>16</v>
      </c>
      <c r="Z40">
        <f>X40*Y40</f>
        <v>5600</v>
      </c>
      <c r="AA40" t="s">
        <v>196</v>
      </c>
      <c r="AK40">
        <v>300</v>
      </c>
      <c r="AL40">
        <v>16</v>
      </c>
      <c r="AM40">
        <f>AK40*AL40</f>
        <v>4800</v>
      </c>
    </row>
    <row r="41" spans="1:40" ht="16" thickBot="1" x14ac:dyDescent="0.4">
      <c r="A41" s="14"/>
      <c r="B41" s="24"/>
      <c r="C41" s="4" t="s">
        <v>5</v>
      </c>
      <c r="D41" s="2"/>
      <c r="E41" s="2"/>
      <c r="F41" s="2"/>
      <c r="G41" s="39"/>
      <c r="H41" s="35">
        <f>SUM(H11:H38)</f>
        <v>61115.76</v>
      </c>
      <c r="K41" s="114">
        <f>SUM(K11:K38)</f>
        <v>48806.8</v>
      </c>
      <c r="L41" s="100">
        <f>SUM(L10:L38)</f>
        <v>61265.760000000002</v>
      </c>
      <c r="M41" s="35">
        <f>SUM(M12:M39)</f>
        <v>54689.93</v>
      </c>
      <c r="N41" s="90"/>
      <c r="O41" s="52" t="s">
        <v>30</v>
      </c>
      <c r="P41" s="52">
        <f>P40+13104</f>
        <v>14414.4</v>
      </c>
    </row>
    <row r="42" spans="1:40" ht="16" thickBot="1" x14ac:dyDescent="0.4">
      <c r="A42" s="14"/>
      <c r="B42" s="24"/>
      <c r="C42" s="134" t="s">
        <v>197</v>
      </c>
      <c r="D42" s="135"/>
      <c r="E42" s="135"/>
      <c r="F42" s="135"/>
      <c r="G42" s="136"/>
      <c r="H42" s="35">
        <f>H40-H41</f>
        <v>159028.24</v>
      </c>
      <c r="K42" s="114">
        <f>K40-K41</f>
        <v>40113.199999999997</v>
      </c>
      <c r="L42" s="100">
        <f>L40-L41</f>
        <v>158878.24</v>
      </c>
      <c r="M42" s="35">
        <f>M40-M41</f>
        <v>165454.07</v>
      </c>
      <c r="N42" s="138"/>
      <c r="O42" s="52"/>
      <c r="P42" s="52"/>
      <c r="Z42">
        <f>SUM(Z37:Z41)</f>
        <v>79400</v>
      </c>
      <c r="AA42" s="181">
        <f>Z37+Z39</f>
        <v>68200</v>
      </c>
      <c r="AM42">
        <f>SUM(AM37:AM41)</f>
        <v>77800</v>
      </c>
      <c r="AN42" s="181">
        <f>AM37+AM39</f>
        <v>68200</v>
      </c>
    </row>
    <row r="43" spans="1:40" ht="15.5" x14ac:dyDescent="0.35">
      <c r="A43" s="132"/>
      <c r="B43" s="133"/>
      <c r="C43" s="139" t="s">
        <v>198</v>
      </c>
      <c r="D43" s="140"/>
      <c r="E43" s="140"/>
      <c r="F43" s="140"/>
      <c r="G43" s="143">
        <v>0.3</v>
      </c>
      <c r="H43" s="141"/>
      <c r="I43" s="137"/>
      <c r="J43" s="138"/>
      <c r="K43" s="142"/>
      <c r="L43" s="100">
        <f>G43*L40</f>
        <v>66043.199999999997</v>
      </c>
      <c r="M43" s="100">
        <f>G43*M40</f>
        <v>66043.199999999997</v>
      </c>
      <c r="N43" s="402"/>
      <c r="O43" s="52"/>
      <c r="P43" s="52"/>
    </row>
    <row r="44" spans="1:40" ht="15.5" x14ac:dyDescent="0.35">
      <c r="A44" s="132"/>
      <c r="B44" s="133"/>
      <c r="C44" s="139" t="s">
        <v>199</v>
      </c>
      <c r="D44" s="140"/>
      <c r="E44" s="140"/>
      <c r="F44" s="140"/>
      <c r="G44" s="143"/>
      <c r="H44" s="141"/>
      <c r="I44" s="137"/>
      <c r="J44" s="138"/>
      <c r="K44" s="142"/>
      <c r="L44" s="100">
        <f>L42-L43</f>
        <v>92835.04</v>
      </c>
      <c r="M44" s="100">
        <f>M42-M43</f>
        <v>99410.87000000001</v>
      </c>
      <c r="N44" s="402"/>
      <c r="O44" s="52"/>
      <c r="P44" s="52"/>
      <c r="Z44" t="s">
        <v>200</v>
      </c>
    </row>
    <row r="45" spans="1:40" ht="15.5" x14ac:dyDescent="0.35">
      <c r="A45" s="132"/>
      <c r="B45" s="133"/>
      <c r="C45" s="139" t="s">
        <v>9</v>
      </c>
      <c r="D45" s="140"/>
      <c r="E45" s="140"/>
      <c r="F45" s="140"/>
      <c r="G45" s="143">
        <v>0.34100000000000003</v>
      </c>
      <c r="H45" s="141"/>
      <c r="I45" s="137"/>
      <c r="J45" s="138"/>
      <c r="K45" s="142"/>
      <c r="L45" s="100">
        <f>G45*(L41+L43)</f>
        <v>43412.355360000001</v>
      </c>
      <c r="M45" s="100">
        <f>G45*(M41+M43)</f>
        <v>41169.997330000006</v>
      </c>
      <c r="N45" s="402"/>
      <c r="O45" s="52"/>
      <c r="P45" s="52"/>
      <c r="Z45" s="92">
        <f>L12+L49</f>
        <v>64600</v>
      </c>
      <c r="AA45" s="92">
        <f>AA42-Z45</f>
        <v>3600</v>
      </c>
      <c r="AB45" t="s">
        <v>201</v>
      </c>
    </row>
    <row r="46" spans="1:40" ht="15.5" x14ac:dyDescent="0.35">
      <c r="A46" s="132"/>
      <c r="B46" s="133"/>
      <c r="C46" s="139" t="s">
        <v>10</v>
      </c>
      <c r="D46" s="140"/>
      <c r="E46" s="140"/>
      <c r="F46" s="140"/>
      <c r="G46" s="143">
        <v>4.5400000000000003E-2</v>
      </c>
      <c r="H46" s="141"/>
      <c r="I46" s="137"/>
      <c r="J46" s="138"/>
      <c r="K46" s="142"/>
      <c r="L46" s="100">
        <f>(L41+L43+L45)*G46</f>
        <v>7750.7477173440011</v>
      </c>
      <c r="M46" s="100">
        <f>(M41+M43+M45)*G46</f>
        <v>7350.4019807820014</v>
      </c>
      <c r="N46" s="402"/>
      <c r="O46" s="52"/>
      <c r="P46" s="52"/>
    </row>
    <row r="47" spans="1:40" ht="15.5" x14ac:dyDescent="0.35">
      <c r="A47" s="132"/>
      <c r="B47" s="133"/>
      <c r="C47" s="144" t="s">
        <v>202</v>
      </c>
      <c r="D47" s="145"/>
      <c r="E47" s="145"/>
      <c r="F47" s="145"/>
      <c r="G47" s="146">
        <f>L47/L40</f>
        <v>0.18929399357991131</v>
      </c>
      <c r="H47" s="147"/>
      <c r="K47" s="148"/>
      <c r="L47" s="149">
        <f>L44-L45-L46</f>
        <v>41671.936922655994</v>
      </c>
      <c r="M47" s="149">
        <f>M44-M45-M46</f>
        <v>50890.470689218004</v>
      </c>
      <c r="N47" s="402"/>
      <c r="O47" s="52"/>
      <c r="P47" s="52"/>
    </row>
    <row r="48" spans="1:40" ht="16" thickBot="1" x14ac:dyDescent="0.4">
      <c r="A48" s="16"/>
      <c r="B48" s="27"/>
      <c r="C48" s="17"/>
      <c r="D48" s="18"/>
      <c r="E48" s="18"/>
      <c r="F48" s="18"/>
      <c r="G48" s="42"/>
      <c r="H48" s="43"/>
      <c r="I48" s="421"/>
      <c r="J48" s="422"/>
      <c r="K48" s="115"/>
      <c r="L48" s="423"/>
      <c r="M48" s="423"/>
      <c r="N48" s="130"/>
      <c r="O48" s="54"/>
      <c r="P48" s="53" t="s">
        <v>30</v>
      </c>
      <c r="Q48" t="s">
        <v>30</v>
      </c>
      <c r="R48">
        <f>96000</f>
        <v>96000</v>
      </c>
    </row>
    <row r="49" spans="1:21" ht="29" x14ac:dyDescent="0.35">
      <c r="A49" s="73" t="s">
        <v>203</v>
      </c>
      <c r="B49" s="74" t="s">
        <v>204</v>
      </c>
      <c r="C49" s="75"/>
      <c r="D49" s="67"/>
      <c r="E49" s="67"/>
      <c r="F49" s="67"/>
      <c r="G49" s="69">
        <v>3600</v>
      </c>
      <c r="H49" s="72"/>
      <c r="K49" s="116">
        <f>G49*K7</f>
        <v>36000</v>
      </c>
      <c r="L49" s="420">
        <f>G49*L7</f>
        <v>57600</v>
      </c>
      <c r="M49" s="420">
        <f>G49*L7</f>
        <v>57600</v>
      </c>
      <c r="N49" s="403"/>
      <c r="O49" s="52"/>
      <c r="P49" s="167" t="s">
        <v>30</v>
      </c>
      <c r="R49" s="90">
        <v>50000</v>
      </c>
      <c r="U49" s="92" t="s">
        <v>30</v>
      </c>
    </row>
    <row r="50" spans="1:21" ht="16" thickBot="1" x14ac:dyDescent="0.4">
      <c r="A50" s="57"/>
      <c r="B50" s="58" t="s">
        <v>205</v>
      </c>
      <c r="C50" s="1"/>
      <c r="D50" s="2"/>
      <c r="E50" s="2"/>
      <c r="F50" s="2"/>
      <c r="G50" s="39">
        <v>230</v>
      </c>
      <c r="H50" s="60"/>
      <c r="K50" s="425">
        <f>G50*K7</f>
        <v>2300</v>
      </c>
      <c r="L50" s="426">
        <f>G50*L7</f>
        <v>3680</v>
      </c>
      <c r="M50" s="426">
        <f>G50*L7</f>
        <v>3680</v>
      </c>
      <c r="N50" s="403"/>
      <c r="Q50" s="45"/>
      <c r="R50" s="45">
        <f>R48-R49</f>
        <v>46000</v>
      </c>
    </row>
    <row r="51" spans="1:21" ht="15.5" x14ac:dyDescent="0.35">
      <c r="A51" s="2"/>
      <c r="B51" s="2"/>
      <c r="C51" s="152" t="s">
        <v>206</v>
      </c>
      <c r="D51" s="2"/>
      <c r="E51" s="2"/>
      <c r="F51" s="2"/>
      <c r="G51" s="39"/>
      <c r="H51" s="76"/>
      <c r="K51" s="424">
        <f>SUM(K49:K50)</f>
        <v>38300</v>
      </c>
      <c r="L51" s="424">
        <f t="shared" ref="L51:M51" si="0">SUM(L49:L50)</f>
        <v>61280</v>
      </c>
      <c r="M51" s="424">
        <f t="shared" si="0"/>
        <v>61280</v>
      </c>
      <c r="N51" s="404"/>
      <c r="R51" s="54">
        <f>R50/R48</f>
        <v>0.47916666666666669</v>
      </c>
    </row>
    <row r="52" spans="1:21" ht="15.5" x14ac:dyDescent="0.35">
      <c r="A52" s="2"/>
      <c r="B52" s="2"/>
      <c r="C52" s="3" t="s">
        <v>10</v>
      </c>
      <c r="D52" s="2"/>
      <c r="E52" s="2"/>
      <c r="F52" s="2"/>
      <c r="G52" s="153">
        <v>4.5400000000000003E-2</v>
      </c>
      <c r="H52" s="76"/>
      <c r="K52" s="118">
        <f>SUM(K49:K51)</f>
        <v>76600</v>
      </c>
      <c r="L52" s="103">
        <f>G52*L51</f>
        <v>2782.1120000000001</v>
      </c>
      <c r="M52" s="103">
        <f>G52*M51</f>
        <v>2782.1120000000001</v>
      </c>
      <c r="N52" s="404"/>
      <c r="R52" s="54">
        <f>R51-I65</f>
        <v>0.47916666666666669</v>
      </c>
    </row>
    <row r="53" spans="1:21" ht="15.5" x14ac:dyDescent="0.35">
      <c r="A53" s="2"/>
      <c r="B53" s="2"/>
      <c r="C53" s="3" t="s">
        <v>207</v>
      </c>
      <c r="D53" s="2"/>
      <c r="E53" s="2"/>
      <c r="F53" s="2"/>
      <c r="G53" s="153"/>
      <c r="H53" s="76"/>
      <c r="K53" s="118"/>
      <c r="L53" s="103">
        <f>L52+L51</f>
        <v>64062.112000000001</v>
      </c>
      <c r="M53" s="103">
        <f>M52+M51</f>
        <v>64062.112000000001</v>
      </c>
      <c r="N53" s="404"/>
      <c r="P53" s="92"/>
      <c r="R53" s="54"/>
    </row>
    <row r="54" spans="1:21" ht="15.5" x14ac:dyDescent="0.35">
      <c r="A54" s="2"/>
      <c r="B54" s="2"/>
      <c r="C54" s="3" t="s">
        <v>208</v>
      </c>
      <c r="D54" s="2"/>
      <c r="E54" s="2"/>
      <c r="F54" s="2"/>
      <c r="G54" s="209">
        <f>G49*1.17</f>
        <v>4212</v>
      </c>
      <c r="H54" s="76"/>
      <c r="K54" s="119">
        <f>G54*K7</f>
        <v>42120</v>
      </c>
      <c r="L54" s="104">
        <f>G54*L7</f>
        <v>67392</v>
      </c>
      <c r="M54" s="104">
        <f>G54*L7</f>
        <v>67392</v>
      </c>
      <c r="N54" s="405"/>
      <c r="O54" s="89"/>
    </row>
    <row r="55" spans="1:21" ht="16" thickBot="1" x14ac:dyDescent="0.4">
      <c r="A55" s="412"/>
      <c r="B55" s="412"/>
      <c r="C55" s="413" t="s">
        <v>209</v>
      </c>
      <c r="D55" s="412"/>
      <c r="E55" s="412"/>
      <c r="F55" s="412"/>
      <c r="G55" s="414"/>
      <c r="H55" s="415"/>
      <c r="I55" s="416"/>
      <c r="J55" s="417"/>
      <c r="K55" s="418">
        <f>(K54-K52)/K54</f>
        <v>-0.81861348528015199</v>
      </c>
      <c r="L55" s="419">
        <f>(L54-L53)/L54</f>
        <v>4.941073124406456E-2</v>
      </c>
      <c r="M55" s="419">
        <f>(M54-M53)/M54</f>
        <v>4.941073124406456E-2</v>
      </c>
      <c r="N55" s="406"/>
      <c r="P55" t="s">
        <v>210</v>
      </c>
    </row>
    <row r="56" spans="1:21" ht="16" thickTop="1" x14ac:dyDescent="0.35">
      <c r="A56" s="67"/>
      <c r="B56" s="67"/>
      <c r="C56" s="68" t="s">
        <v>211</v>
      </c>
      <c r="D56" s="67"/>
      <c r="E56" s="67"/>
      <c r="F56" s="67"/>
      <c r="G56" s="69"/>
      <c r="H56" s="70"/>
      <c r="K56" s="121">
        <f>G54+K8</f>
        <v>13104</v>
      </c>
      <c r="L56" s="411">
        <f>L8</f>
        <v>13759</v>
      </c>
      <c r="M56" s="411">
        <f>L8</f>
        <v>13759</v>
      </c>
      <c r="N56" s="407"/>
      <c r="P56">
        <v>12480</v>
      </c>
      <c r="Q56">
        <f>P56*0.05</f>
        <v>624</v>
      </c>
      <c r="R56">
        <f>P56+Q56</f>
        <v>13104</v>
      </c>
    </row>
    <row r="57" spans="1:21" ht="15.5" x14ac:dyDescent="0.35">
      <c r="A57" s="2"/>
      <c r="B57" s="2"/>
      <c r="C57" s="3" t="s">
        <v>212</v>
      </c>
      <c r="D57" s="2"/>
      <c r="E57" s="2"/>
      <c r="F57" s="2"/>
      <c r="G57" s="64"/>
      <c r="H57" s="59"/>
      <c r="K57" s="122">
        <f>K9</f>
        <v>88920</v>
      </c>
      <c r="L57" s="122">
        <f t="shared" ref="L57:M57" si="1">L9</f>
        <v>220144</v>
      </c>
      <c r="M57" s="122">
        <f t="shared" si="1"/>
        <v>220144</v>
      </c>
      <c r="N57" s="408"/>
      <c r="R57" s="89">
        <f>R56-K56</f>
        <v>0</v>
      </c>
    </row>
    <row r="58" spans="1:21" ht="15.5" x14ac:dyDescent="0.35">
      <c r="A58" s="2"/>
      <c r="B58" s="2"/>
      <c r="C58" s="3" t="s">
        <v>207</v>
      </c>
      <c r="D58" s="2"/>
      <c r="E58" s="2"/>
      <c r="F58" s="2"/>
      <c r="G58" s="39"/>
      <c r="H58" s="59"/>
      <c r="K58" s="123">
        <f>K51+K41</f>
        <v>87106.8</v>
      </c>
      <c r="L58" s="123">
        <f t="shared" ref="L58:M58" si="2">L51+L41</f>
        <v>122545.76000000001</v>
      </c>
      <c r="M58" s="123">
        <f t="shared" si="2"/>
        <v>115969.93</v>
      </c>
      <c r="N58" s="409"/>
    </row>
    <row r="59" spans="1:21" ht="15.5" x14ac:dyDescent="0.35">
      <c r="A59" s="2"/>
      <c r="B59" s="2"/>
      <c r="C59" s="150" t="s">
        <v>213</v>
      </c>
      <c r="D59" s="135"/>
      <c r="E59" s="135"/>
      <c r="F59" s="135"/>
      <c r="G59" s="136"/>
      <c r="H59" s="151"/>
      <c r="I59" s="137"/>
      <c r="K59" s="123">
        <f>K57-K58</f>
        <v>1813.1999999999971</v>
      </c>
      <c r="L59" s="123">
        <f t="shared" ref="L59:M59" si="3">L57-L58</f>
        <v>97598.239999999991</v>
      </c>
      <c r="M59" s="123">
        <f t="shared" si="3"/>
        <v>104174.07</v>
      </c>
      <c r="N59" s="409"/>
      <c r="Q59">
        <f>9600</f>
        <v>9600</v>
      </c>
    </row>
    <row r="60" spans="1:21" ht="15.5" x14ac:dyDescent="0.35">
      <c r="A60" s="2"/>
      <c r="B60" s="2"/>
      <c r="C60" s="154" t="s">
        <v>214</v>
      </c>
      <c r="D60" s="155"/>
      <c r="E60" s="155"/>
      <c r="F60" s="155"/>
      <c r="G60" s="156"/>
      <c r="H60" s="157"/>
      <c r="K60" s="158">
        <f>K59/K57</f>
        <v>2.0391363022941939E-2</v>
      </c>
      <c r="L60" s="159">
        <f>L59/L57</f>
        <v>0.44333817864670394</v>
      </c>
      <c r="M60" s="159">
        <f>M59/M57</f>
        <v>0.47320876335489503</v>
      </c>
      <c r="N60" s="406"/>
      <c r="Q60">
        <f>Q56</f>
        <v>624</v>
      </c>
    </row>
    <row r="61" spans="1:21" x14ac:dyDescent="0.35">
      <c r="C61" s="160" t="s">
        <v>198</v>
      </c>
      <c r="D61" s="161"/>
      <c r="E61" s="161"/>
      <c r="F61" s="161"/>
      <c r="G61" s="162">
        <v>0.3</v>
      </c>
      <c r="H61" s="163"/>
      <c r="I61" s="164"/>
      <c r="J61" s="161"/>
      <c r="K61" s="163"/>
      <c r="L61" s="165">
        <f>G61*L57</f>
        <v>66043.199999999997</v>
      </c>
      <c r="M61" s="165">
        <f>G61*M57</f>
        <v>66043.199999999997</v>
      </c>
      <c r="N61" s="410"/>
      <c r="Q61">
        <f>SUM(Q59:Q60)</f>
        <v>10224</v>
      </c>
    </row>
    <row r="62" spans="1:21" x14ac:dyDescent="0.35">
      <c r="C62" s="160" t="s">
        <v>199</v>
      </c>
      <c r="D62" s="161"/>
      <c r="E62" s="161"/>
      <c r="F62" s="161"/>
      <c r="G62" s="162"/>
      <c r="H62" s="163"/>
      <c r="I62" s="164"/>
      <c r="J62" s="161"/>
      <c r="K62" s="163"/>
      <c r="L62" s="165">
        <f>L59-L61</f>
        <v>31555.039999999994</v>
      </c>
      <c r="M62" s="165">
        <f>M59-M61</f>
        <v>38130.87000000001</v>
      </c>
      <c r="N62" s="410"/>
    </row>
    <row r="63" spans="1:21" x14ac:dyDescent="0.35">
      <c r="C63" s="160" t="s">
        <v>9</v>
      </c>
      <c r="D63" s="161"/>
      <c r="E63" s="161"/>
      <c r="F63" s="161"/>
      <c r="G63" s="162">
        <v>0.34100000000000003</v>
      </c>
      <c r="H63" s="163"/>
      <c r="I63" s="164"/>
      <c r="J63" s="161"/>
      <c r="K63" s="163"/>
      <c r="L63" s="165">
        <f>G63*(L58+L61)</f>
        <v>64308.835360000012</v>
      </c>
      <c r="M63" s="165">
        <f>G63*(M58+M61)</f>
        <v>62066.477330000009</v>
      </c>
      <c r="N63" s="410"/>
    </row>
    <row r="64" spans="1:21" x14ac:dyDescent="0.35">
      <c r="C64" s="160" t="s">
        <v>10</v>
      </c>
      <c r="D64" s="161"/>
      <c r="E64" s="161"/>
      <c r="F64" s="161"/>
      <c r="G64" s="162">
        <v>4.5400000000000003E-2</v>
      </c>
      <c r="H64" s="163"/>
      <c r="I64" s="164"/>
      <c r="J64" s="161"/>
      <c r="K64" s="163"/>
      <c r="L64" s="165">
        <f>G64*(L63+L61+L58)</f>
        <v>11481.559909344001</v>
      </c>
      <c r="M64" s="165">
        <f>G64*(M63+M61+M58)</f>
        <v>11081.214172782</v>
      </c>
      <c r="N64" s="410"/>
    </row>
    <row r="65" spans="3:16" x14ac:dyDescent="0.35">
      <c r="C65" s="160" t="s">
        <v>202</v>
      </c>
      <c r="D65" s="161"/>
      <c r="E65" s="161"/>
      <c r="F65" s="161"/>
      <c r="G65" s="162">
        <f>L65/L57</f>
        <v>-0.20093827344530862</v>
      </c>
      <c r="H65" s="161"/>
      <c r="I65" s="166"/>
      <c r="J65" s="161"/>
      <c r="K65" s="163"/>
      <c r="L65" s="165">
        <f>L62-L63-L64</f>
        <v>-44235.355269344022</v>
      </c>
      <c r="M65" s="165">
        <f>M62-M63-M64</f>
        <v>-35016.821502781997</v>
      </c>
      <c r="N65" s="410"/>
      <c r="O65" s="54"/>
      <c r="P65" s="54"/>
    </row>
    <row r="69" spans="3:16" x14ac:dyDescent="0.35">
      <c r="C69" t="s">
        <v>149</v>
      </c>
      <c r="H69" s="94">
        <f>H8</f>
        <v>13759</v>
      </c>
    </row>
    <row r="70" spans="3:16" x14ac:dyDescent="0.35">
      <c r="C70" t="s">
        <v>215</v>
      </c>
      <c r="H70" s="93">
        <f>6300+800</f>
        <v>7100</v>
      </c>
      <c r="O70" s="170">
        <v>233654</v>
      </c>
    </row>
    <row r="71" spans="3:16" x14ac:dyDescent="0.35">
      <c r="C71" t="s">
        <v>216</v>
      </c>
      <c r="H71" s="93">
        <f>H70/H7</f>
        <v>443.75</v>
      </c>
    </row>
    <row r="72" spans="3:16" x14ac:dyDescent="0.35">
      <c r="C72" t="s">
        <v>217</v>
      </c>
      <c r="H72" s="91">
        <f>H71/H69</f>
        <v>3.2251617123337455E-2</v>
      </c>
    </row>
    <row r="73" spans="3:16" x14ac:dyDescent="0.35">
      <c r="C73" t="s">
        <v>218</v>
      </c>
    </row>
  </sheetData>
  <mergeCells count="2">
    <mergeCell ref="A10:B10"/>
    <mergeCell ref="A17:B17"/>
  </mergeCells>
  <conditionalFormatting sqref="A1:XFD5">
    <cfRule type="cellIs" dxfId="2" priority="1" operator="lessThan">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4496B-6F35-435E-8001-EF9A0491F658}">
  <dimension ref="A1:AL73"/>
  <sheetViews>
    <sheetView workbookViewId="0"/>
  </sheetViews>
  <sheetFormatPr defaultColWidth="8.81640625" defaultRowHeight="14.5" outlineLevelRow="1" x14ac:dyDescent="0.35"/>
  <cols>
    <col min="1" max="1" width="12.7265625" customWidth="1"/>
    <col min="2" max="2" width="39.453125" customWidth="1"/>
    <col min="3" max="3" width="39.54296875" bestFit="1" customWidth="1"/>
    <col min="4" max="4" width="11.26953125" bestFit="1" customWidth="1"/>
    <col min="5" max="5" width="11.54296875" bestFit="1" customWidth="1"/>
    <col min="6" max="6" width="11.453125" bestFit="1" customWidth="1"/>
    <col min="7" max="7" width="12.81640625" style="41" bestFit="1" customWidth="1"/>
    <col min="8" max="8" width="10.7265625" style="13" bestFit="1" customWidth="1"/>
    <col min="9" max="9" width="11.54296875" style="129" bestFit="1" customWidth="1"/>
    <col min="10" max="10" width="10.54296875" bestFit="1" customWidth="1"/>
    <col min="11" max="11" width="13.453125" style="13" bestFit="1" customWidth="1"/>
    <col min="12" max="12" width="14.54296875" style="13" bestFit="1" customWidth="1"/>
    <col min="13" max="13" width="12.54296875" bestFit="1" customWidth="1"/>
    <col min="14" max="14" width="12.7265625" bestFit="1" customWidth="1"/>
    <col min="15" max="15" width="12.81640625" bestFit="1" customWidth="1"/>
    <col min="16" max="16" width="13.7265625" customWidth="1"/>
    <col min="24" max="25" width="17.26953125" customWidth="1"/>
  </cols>
  <sheetData>
    <row r="1" spans="1:19" x14ac:dyDescent="0.35">
      <c r="A1" s="198" t="s">
        <v>118</v>
      </c>
      <c r="B1" s="199"/>
      <c r="C1" s="199"/>
      <c r="D1" s="199"/>
      <c r="E1" s="199"/>
      <c r="F1" s="199"/>
      <c r="G1" s="199"/>
      <c r="H1" s="199"/>
      <c r="I1" s="199"/>
      <c r="J1" s="199"/>
      <c r="K1" s="199"/>
      <c r="L1" s="199"/>
    </row>
    <row r="2" spans="1:19" x14ac:dyDescent="0.35">
      <c r="B2" s="200"/>
      <c r="C2" s="192"/>
      <c r="D2" s="201"/>
      <c r="E2" s="202"/>
      <c r="F2" s="203"/>
      <c r="G2" s="204"/>
      <c r="H2" s="204"/>
      <c r="I2" s="204"/>
      <c r="J2" s="205"/>
      <c r="K2" s="206"/>
      <c r="L2" s="206"/>
      <c r="M2" s="207"/>
      <c r="N2" s="196"/>
      <c r="O2" s="186"/>
      <c r="P2" s="208"/>
      <c r="Q2" s="186"/>
    </row>
    <row r="3" spans="1:19" ht="15" thickBot="1" x14ac:dyDescent="0.4">
      <c r="A3" s="184" t="s">
        <v>1</v>
      </c>
      <c r="B3" s="184"/>
      <c r="C3" s="184"/>
      <c r="D3" s="184"/>
      <c r="E3" s="184"/>
      <c r="F3" s="184"/>
      <c r="G3" s="184"/>
      <c r="H3" s="184"/>
      <c r="I3" s="184"/>
      <c r="J3" s="184"/>
      <c r="K3" s="184"/>
      <c r="L3" s="184"/>
      <c r="M3" s="185"/>
      <c r="N3" s="185"/>
      <c r="O3" s="186"/>
      <c r="P3" s="186"/>
      <c r="Q3" s="186"/>
    </row>
    <row r="4" spans="1:19" outlineLevel="1" x14ac:dyDescent="0.35">
      <c r="B4" s="187" t="s">
        <v>2</v>
      </c>
      <c r="C4" s="188" t="s">
        <v>3</v>
      </c>
      <c r="D4" s="187" t="s">
        <v>4</v>
      </c>
      <c r="E4" s="187" t="s">
        <v>5</v>
      </c>
      <c r="F4" s="187" t="s">
        <v>6</v>
      </c>
      <c r="G4" s="187" t="s">
        <v>7</v>
      </c>
      <c r="H4" s="189" t="s">
        <v>8</v>
      </c>
      <c r="I4" s="189" t="s">
        <v>9</v>
      </c>
      <c r="J4" s="189" t="s">
        <v>10</v>
      </c>
      <c r="K4" s="189" t="s">
        <v>11</v>
      </c>
      <c r="L4" s="189" t="s">
        <v>12</v>
      </c>
      <c r="M4" s="190"/>
      <c r="N4" s="186"/>
      <c r="O4" s="186"/>
      <c r="P4" s="186"/>
    </row>
    <row r="5" spans="1:19" outlineLevel="1" x14ac:dyDescent="0.35">
      <c r="B5" s="191">
        <f>L7</f>
        <v>16</v>
      </c>
      <c r="C5" s="192">
        <f>L8</f>
        <v>13759</v>
      </c>
      <c r="D5" s="193">
        <f>L9</f>
        <v>220144</v>
      </c>
      <c r="E5" s="194">
        <f>L51</f>
        <v>61280</v>
      </c>
      <c r="F5" s="210">
        <f>D5-E5</f>
        <v>158864</v>
      </c>
      <c r="G5" s="210">
        <f>0.3*D5</f>
        <v>66043.199999999997</v>
      </c>
      <c r="H5" s="193">
        <f>F5-G5</f>
        <v>92820.800000000003</v>
      </c>
      <c r="I5" s="170">
        <f>(E5+G5)*G63</f>
        <v>43417.211200000005</v>
      </c>
      <c r="J5" s="170">
        <f>G64*(E5+G5+I5)</f>
        <v>7751.6146684800005</v>
      </c>
      <c r="K5" s="193">
        <f>F5-G5-I5-J5</f>
        <v>41651.974131519994</v>
      </c>
      <c r="L5" s="195">
        <f>K5/D5</f>
        <v>0.1892033129747801</v>
      </c>
      <c r="M5" s="196"/>
      <c r="N5" s="186"/>
      <c r="O5" s="186"/>
      <c r="P5" s="197"/>
    </row>
    <row r="6" spans="1:19" ht="18.75" customHeight="1" x14ac:dyDescent="0.35">
      <c r="G6"/>
      <c r="H6"/>
      <c r="I6"/>
      <c r="K6"/>
      <c r="L6"/>
    </row>
    <row r="7" spans="1:19" x14ac:dyDescent="0.35">
      <c r="A7" s="8"/>
      <c r="C7" s="28" t="s">
        <v>148</v>
      </c>
      <c r="D7" s="2"/>
      <c r="E7" s="2"/>
      <c r="F7" s="2"/>
      <c r="G7" s="39"/>
      <c r="H7" s="29">
        <v>16</v>
      </c>
      <c r="K7" s="29">
        <v>10</v>
      </c>
      <c r="L7" s="29">
        <v>16</v>
      </c>
    </row>
    <row r="8" spans="1:19" ht="15.5" x14ac:dyDescent="0.35">
      <c r="A8" s="9"/>
      <c r="B8" s="7"/>
      <c r="C8" s="30" t="s">
        <v>149</v>
      </c>
      <c r="D8" s="2"/>
      <c r="E8" s="2"/>
      <c r="F8" s="2"/>
      <c r="G8" s="39"/>
      <c r="H8" s="31">
        <v>13759</v>
      </c>
      <c r="K8" s="182">
        <f>P19</f>
        <v>8892</v>
      </c>
      <c r="L8" s="182">
        <v>13759</v>
      </c>
      <c r="M8" s="45">
        <f>K8-H8</f>
        <v>-4867</v>
      </c>
      <c r="N8" s="45">
        <f>M8*4</f>
        <v>-19468</v>
      </c>
      <c r="O8">
        <f>(K8-H8)/H8</f>
        <v>-0.35373210262373717</v>
      </c>
    </row>
    <row r="9" spans="1:19" ht="15.5" x14ac:dyDescent="0.35">
      <c r="A9" s="9"/>
      <c r="B9" s="7"/>
      <c r="C9" s="30" t="s">
        <v>150</v>
      </c>
      <c r="D9" s="32"/>
      <c r="E9" s="2"/>
      <c r="F9" s="2"/>
      <c r="G9" s="39"/>
      <c r="H9" s="31">
        <f>H7*H8</f>
        <v>220144</v>
      </c>
      <c r="K9" s="182">
        <f>K7*K8</f>
        <v>88920</v>
      </c>
      <c r="L9" s="183">
        <f>L7*L8</f>
        <v>220144</v>
      </c>
    </row>
    <row r="10" spans="1:19" ht="15.5" x14ac:dyDescent="0.35">
      <c r="A10" s="489" t="s">
        <v>151</v>
      </c>
      <c r="B10" s="490"/>
      <c r="C10" s="33"/>
      <c r="D10" s="2"/>
      <c r="E10" s="2"/>
      <c r="F10" s="2"/>
      <c r="G10" s="39"/>
      <c r="H10" s="34"/>
      <c r="K10" s="109"/>
      <c r="L10" s="95"/>
      <c r="N10" t="s">
        <v>152</v>
      </c>
      <c r="O10" t="s">
        <v>153</v>
      </c>
    </row>
    <row r="11" spans="1:19" ht="15.5" x14ac:dyDescent="0.35">
      <c r="A11" s="10"/>
      <c r="B11" s="22"/>
      <c r="C11" s="1"/>
      <c r="D11" s="2"/>
      <c r="E11" s="2"/>
      <c r="F11" s="2"/>
      <c r="G11" s="39"/>
      <c r="H11" s="34"/>
      <c r="K11" s="109"/>
      <c r="L11" s="95"/>
      <c r="N11" s="89">
        <f>G54</f>
        <v>4212</v>
      </c>
      <c r="O11" s="45">
        <v>9600</v>
      </c>
      <c r="P11" s="45">
        <f>N11+O11</f>
        <v>13812</v>
      </c>
      <c r="Q11">
        <f>9500+N11</f>
        <v>13712</v>
      </c>
      <c r="R11" s="45">
        <v>13104</v>
      </c>
    </row>
    <row r="12" spans="1:19" ht="15.5" x14ac:dyDescent="0.35">
      <c r="A12" s="10" t="s">
        <v>154</v>
      </c>
      <c r="B12" s="22" t="s">
        <v>155</v>
      </c>
      <c r="C12" s="1"/>
      <c r="D12" s="2"/>
      <c r="E12" s="2"/>
      <c r="F12" s="2"/>
      <c r="G12" s="39">
        <v>7000</v>
      </c>
      <c r="H12" s="34">
        <v>7000</v>
      </c>
      <c r="K12" s="110">
        <v>6000</v>
      </c>
      <c r="L12" s="96">
        <f>G12</f>
        <v>7000</v>
      </c>
      <c r="N12" s="46" t="s">
        <v>156</v>
      </c>
      <c r="O12" s="47"/>
    </row>
    <row r="13" spans="1:19" ht="15.5" x14ac:dyDescent="0.35">
      <c r="A13" s="10" t="s">
        <v>157</v>
      </c>
      <c r="B13" s="25" t="s">
        <v>158</v>
      </c>
      <c r="C13" s="1"/>
      <c r="D13" s="2"/>
      <c r="E13" s="2"/>
      <c r="F13" s="2"/>
      <c r="G13" s="39">
        <v>10000</v>
      </c>
      <c r="H13" s="34">
        <f>G13*144%</f>
        <v>14400</v>
      </c>
      <c r="K13" s="168">
        <f>H13</f>
        <v>14400</v>
      </c>
      <c r="L13" s="96">
        <f>G13*1.44</f>
        <v>14400</v>
      </c>
      <c r="N13" s="48">
        <v>13850</v>
      </c>
      <c r="O13" s="49"/>
    </row>
    <row r="14" spans="1:19" ht="15.5" x14ac:dyDescent="0.35">
      <c r="A14" s="10"/>
      <c r="B14" s="25"/>
      <c r="C14" s="1"/>
      <c r="D14" s="2"/>
      <c r="E14" s="2"/>
      <c r="F14" s="2"/>
      <c r="G14" s="39"/>
      <c r="H14" s="34"/>
      <c r="K14" s="110"/>
      <c r="L14" s="96"/>
      <c r="N14" s="48" t="s">
        <v>160</v>
      </c>
      <c r="O14" s="49"/>
    </row>
    <row r="15" spans="1:19" ht="15.5" x14ac:dyDescent="0.35">
      <c r="A15" s="10" t="s">
        <v>161</v>
      </c>
      <c r="B15" s="25" t="s">
        <v>162</v>
      </c>
      <c r="C15" s="21"/>
      <c r="D15" s="2"/>
      <c r="E15" s="2"/>
      <c r="F15" s="2"/>
      <c r="G15" s="39">
        <v>10000</v>
      </c>
      <c r="H15" s="34">
        <f>G15*144%</f>
        <v>14400</v>
      </c>
      <c r="K15" s="168">
        <f>H15</f>
        <v>14400</v>
      </c>
      <c r="L15" s="96">
        <f>G15*1.44</f>
        <v>14400</v>
      </c>
      <c r="N15" s="50" t="s">
        <v>164</v>
      </c>
      <c r="O15" s="51"/>
      <c r="S15" t="s">
        <v>30</v>
      </c>
    </row>
    <row r="16" spans="1:19" ht="15.5" x14ac:dyDescent="0.35">
      <c r="A16" s="11"/>
      <c r="B16" s="23"/>
      <c r="C16" s="3"/>
      <c r="D16" s="2"/>
      <c r="E16" s="2"/>
      <c r="F16" s="2"/>
      <c r="G16" s="39"/>
      <c r="H16" s="34"/>
      <c r="K16" s="110"/>
      <c r="L16" s="96"/>
    </row>
    <row r="17" spans="1:17" ht="15.5" x14ac:dyDescent="0.35">
      <c r="A17" s="491" t="s">
        <v>165</v>
      </c>
      <c r="B17" s="492"/>
      <c r="C17" s="2"/>
      <c r="D17" s="2"/>
      <c r="E17" s="2">
        <f>39550/25</f>
        <v>1582</v>
      </c>
      <c r="F17" s="2"/>
      <c r="G17" s="39"/>
      <c r="H17" s="34"/>
      <c r="K17" s="110"/>
      <c r="L17" s="96"/>
    </row>
    <row r="18" spans="1:17" ht="15.5" x14ac:dyDescent="0.35">
      <c r="A18" s="14"/>
      <c r="B18" s="24" t="s">
        <v>166</v>
      </c>
      <c r="C18" s="5"/>
      <c r="D18" s="2"/>
      <c r="E18" s="2"/>
      <c r="F18" s="2"/>
      <c r="G18" s="39"/>
      <c r="H18" s="35"/>
      <c r="K18" s="111"/>
      <c r="L18" s="97"/>
      <c r="N18" s="46">
        <v>12480</v>
      </c>
      <c r="O18" s="55">
        <v>0.05</v>
      </c>
      <c r="P18" s="47">
        <f>N18*(1+O18)</f>
        <v>13104</v>
      </c>
    </row>
    <row r="19" spans="1:17" ht="15.5" x14ac:dyDescent="0.35">
      <c r="A19" s="14"/>
      <c r="B19" s="25" t="s">
        <v>66</v>
      </c>
      <c r="C19" s="5"/>
      <c r="D19" s="2"/>
      <c r="E19" s="5"/>
      <c r="F19" s="2"/>
      <c r="G19" s="39">
        <v>95</v>
      </c>
      <c r="H19" s="34">
        <f>G19*H7</f>
        <v>1520</v>
      </c>
      <c r="K19" s="110">
        <f>G19*K7</f>
        <v>950</v>
      </c>
      <c r="L19" s="96">
        <f>G19*L7</f>
        <v>1520</v>
      </c>
      <c r="N19" s="50"/>
      <c r="O19" s="56"/>
      <c r="P19" s="124">
        <f>P18-N11</f>
        <v>8892</v>
      </c>
    </row>
    <row r="20" spans="1:17" ht="15.5" x14ac:dyDescent="0.35">
      <c r="A20" s="14"/>
      <c r="B20" s="25"/>
      <c r="C20" s="6"/>
      <c r="D20" s="2"/>
      <c r="E20" s="5"/>
      <c r="F20" s="2"/>
      <c r="G20" s="39"/>
      <c r="H20" s="36"/>
      <c r="K20" s="112"/>
      <c r="L20" s="98"/>
    </row>
    <row r="21" spans="1:17" ht="15.5" x14ac:dyDescent="0.35">
      <c r="A21" s="14"/>
      <c r="B21" s="24" t="s">
        <v>167</v>
      </c>
      <c r="C21" s="6"/>
      <c r="D21" s="2"/>
      <c r="E21" s="2" t="s">
        <v>30</v>
      </c>
      <c r="F21" s="2"/>
      <c r="G21" s="39"/>
      <c r="H21" s="36"/>
      <c r="K21" s="113"/>
      <c r="L21" s="99"/>
    </row>
    <row r="22" spans="1:17" ht="15.5" x14ac:dyDescent="0.35">
      <c r="A22" s="14"/>
      <c r="B22" s="25" t="s">
        <v>168</v>
      </c>
      <c r="C22" s="6"/>
      <c r="D22" s="2"/>
      <c r="E22" s="2"/>
      <c r="F22" s="2"/>
      <c r="G22" s="39">
        <v>25</v>
      </c>
      <c r="H22" s="37">
        <v>250</v>
      </c>
      <c r="K22" s="112">
        <v>250</v>
      </c>
      <c r="L22" s="98">
        <f>G22*L7</f>
        <v>400</v>
      </c>
      <c r="M22" s="92"/>
    </row>
    <row r="23" spans="1:17" ht="15.5" x14ac:dyDescent="0.35">
      <c r="A23" s="14"/>
      <c r="B23" s="25"/>
      <c r="C23" s="6"/>
      <c r="D23" s="2"/>
      <c r="E23" s="2"/>
      <c r="F23" s="2"/>
      <c r="G23" s="39"/>
      <c r="H23" s="37"/>
      <c r="K23" s="112"/>
      <c r="L23" s="98"/>
      <c r="P23" s="125">
        <f>H8*0.02</f>
        <v>275.18</v>
      </c>
      <c r="Q23" s="126">
        <v>0.02</v>
      </c>
    </row>
    <row r="24" spans="1:17" ht="15.5" x14ac:dyDescent="0.35">
      <c r="A24" s="14"/>
      <c r="B24" s="24" t="s">
        <v>170</v>
      </c>
      <c r="C24" s="6"/>
      <c r="D24" s="2"/>
      <c r="E24" s="2"/>
      <c r="F24" s="2"/>
      <c r="G24" s="39"/>
      <c r="H24" s="37"/>
      <c r="K24" s="112"/>
      <c r="L24" s="98"/>
      <c r="N24">
        <f>4032</f>
        <v>4032</v>
      </c>
      <c r="O24" s="125">
        <f>H8+P24</f>
        <v>14171.77</v>
      </c>
      <c r="P24" s="125">
        <f>0.03*H8</f>
        <v>412.77</v>
      </c>
      <c r="Q24" s="126">
        <v>0.03</v>
      </c>
    </row>
    <row r="25" spans="1:17" ht="15.5" x14ac:dyDescent="0.35">
      <c r="A25" s="14"/>
      <c r="B25" s="24" t="s">
        <v>171</v>
      </c>
      <c r="C25" s="6"/>
      <c r="D25" s="2" t="s">
        <v>30</v>
      </c>
      <c r="E25" s="2"/>
      <c r="F25" s="2"/>
      <c r="G25" s="39"/>
      <c r="H25" s="37"/>
      <c r="K25" s="112"/>
      <c r="L25" s="98"/>
      <c r="N25" s="125">
        <f>O24-N24</f>
        <v>10139.77</v>
      </c>
      <c r="P25" s="125">
        <f>H8*0.04</f>
        <v>550.36</v>
      </c>
      <c r="Q25" s="126">
        <v>0.04</v>
      </c>
    </row>
    <row r="26" spans="1:17" ht="15.5" x14ac:dyDescent="0.35">
      <c r="A26" s="14"/>
      <c r="B26" s="171" t="s">
        <v>158</v>
      </c>
      <c r="C26" s="172" t="s">
        <v>172</v>
      </c>
      <c r="D26" s="172"/>
      <c r="E26" s="172"/>
      <c r="F26" s="173"/>
      <c r="G26" s="174">
        <v>135</v>
      </c>
      <c r="H26" s="175">
        <f>$G$26*H7</f>
        <v>2160</v>
      </c>
      <c r="I26" s="176" t="s">
        <v>30</v>
      </c>
      <c r="J26" s="177"/>
      <c r="K26" s="178">
        <f>$G$26*K7</f>
        <v>1350</v>
      </c>
      <c r="L26" s="179">
        <f>G26*L7</f>
        <v>2160</v>
      </c>
      <c r="M26" s="180" t="s">
        <v>174</v>
      </c>
      <c r="P26" s="45">
        <f>Q26*H8</f>
        <v>687.95</v>
      </c>
      <c r="Q26" s="126">
        <v>0.05</v>
      </c>
    </row>
    <row r="27" spans="1:17" ht="15.5" x14ac:dyDescent="0.35">
      <c r="A27" s="14"/>
      <c r="B27" s="171" t="s">
        <v>162</v>
      </c>
      <c r="C27" s="172" t="s">
        <v>172</v>
      </c>
      <c r="D27" s="172"/>
      <c r="E27" s="173"/>
      <c r="F27" s="173"/>
      <c r="G27" s="174">
        <v>135</v>
      </c>
      <c r="H27" s="175">
        <f>G27*H7</f>
        <v>2160</v>
      </c>
      <c r="I27" s="180"/>
      <c r="J27" s="177"/>
      <c r="K27" s="178">
        <f>G27*K7</f>
        <v>1350</v>
      </c>
      <c r="L27" s="179">
        <f>G27*L7</f>
        <v>2160</v>
      </c>
      <c r="M27" s="180" t="s">
        <v>174</v>
      </c>
    </row>
    <row r="28" spans="1:17" ht="15.5" x14ac:dyDescent="0.35">
      <c r="A28" s="14"/>
      <c r="B28" s="25"/>
      <c r="C28" s="6"/>
      <c r="D28" s="6"/>
      <c r="E28" s="2"/>
      <c r="F28" s="2"/>
      <c r="G28" s="39"/>
      <c r="H28" s="37"/>
      <c r="K28" s="112"/>
      <c r="L28" s="98"/>
    </row>
    <row r="29" spans="1:17" ht="15.5" x14ac:dyDescent="0.35">
      <c r="A29" s="14"/>
      <c r="B29" s="24" t="s">
        <v>176</v>
      </c>
      <c r="C29" s="6"/>
      <c r="D29" s="2"/>
      <c r="E29" s="2"/>
      <c r="F29" s="2"/>
      <c r="G29" s="39"/>
      <c r="H29" s="36"/>
      <c r="K29" s="113"/>
      <c r="L29" s="99"/>
      <c r="P29" s="125">
        <f>P23+450</f>
        <v>725.18000000000006</v>
      </c>
      <c r="Q29" s="126">
        <v>0.02</v>
      </c>
    </row>
    <row r="30" spans="1:17" ht="15.5" x14ac:dyDescent="0.35">
      <c r="A30" s="14"/>
      <c r="B30" s="25" t="s">
        <v>177</v>
      </c>
      <c r="C30" s="6"/>
      <c r="D30" s="2"/>
      <c r="E30" s="2"/>
      <c r="F30" s="2"/>
      <c r="G30" s="39"/>
      <c r="H30" s="37">
        <v>0</v>
      </c>
      <c r="K30" s="112">
        <v>0</v>
      </c>
      <c r="L30" s="98"/>
      <c r="P30" s="125">
        <f>450+P24</f>
        <v>862.77</v>
      </c>
      <c r="Q30" s="126">
        <v>0.03</v>
      </c>
    </row>
    <row r="31" spans="1:17" ht="15.5" x14ac:dyDescent="0.35">
      <c r="A31" s="14"/>
      <c r="B31" s="25" t="s">
        <v>178</v>
      </c>
      <c r="C31" s="2"/>
      <c r="D31" s="2"/>
      <c r="E31" s="2"/>
      <c r="F31" s="2"/>
      <c r="G31" s="39">
        <v>20</v>
      </c>
      <c r="H31" s="34">
        <f>20*H$7</f>
        <v>320</v>
      </c>
      <c r="K31" s="110">
        <f>20*K$7</f>
        <v>200</v>
      </c>
      <c r="L31" s="96">
        <f>G31*L7</f>
        <v>320</v>
      </c>
    </row>
    <row r="32" spans="1:17" ht="15.5" x14ac:dyDescent="0.35">
      <c r="A32" s="14"/>
      <c r="B32" s="25" t="s">
        <v>78</v>
      </c>
      <c r="C32" s="2"/>
      <c r="D32" s="2"/>
      <c r="E32" s="2"/>
      <c r="F32" s="2"/>
      <c r="G32" s="39">
        <v>15</v>
      </c>
      <c r="H32" s="34">
        <f>G32*H$7</f>
        <v>240</v>
      </c>
      <c r="K32" s="110">
        <f>G32*K7</f>
        <v>150</v>
      </c>
      <c r="L32" s="96">
        <f>G32*L7</f>
        <v>240</v>
      </c>
    </row>
    <row r="33" spans="1:38" ht="15.5" x14ac:dyDescent="0.35">
      <c r="A33" s="14"/>
      <c r="B33" s="25" t="s">
        <v>179</v>
      </c>
      <c r="C33" s="2"/>
      <c r="D33" s="2"/>
      <c r="E33" s="2"/>
      <c r="F33" s="2"/>
      <c r="G33" s="39"/>
      <c r="H33" s="34">
        <v>100</v>
      </c>
      <c r="K33" s="110">
        <v>100</v>
      </c>
      <c r="L33" s="96">
        <f>K33</f>
        <v>100</v>
      </c>
    </row>
    <row r="34" spans="1:38" ht="15.5" x14ac:dyDescent="0.35">
      <c r="A34" s="14"/>
      <c r="B34" s="25" t="s">
        <v>75</v>
      </c>
      <c r="C34" s="2"/>
      <c r="D34" s="2"/>
      <c r="E34" s="2"/>
      <c r="F34" s="2"/>
      <c r="G34" s="39">
        <f>75*6</f>
        <v>450</v>
      </c>
      <c r="H34" s="34">
        <f>G34*H7</f>
        <v>7200</v>
      </c>
      <c r="J34" s="2"/>
      <c r="K34" s="110">
        <f>G34*K7</f>
        <v>4500</v>
      </c>
      <c r="L34" s="96">
        <f>G34*L7</f>
        <v>7200</v>
      </c>
    </row>
    <row r="35" spans="1:38" ht="15.5" x14ac:dyDescent="0.35">
      <c r="A35" s="14"/>
      <c r="B35" s="171" t="s">
        <v>182</v>
      </c>
      <c r="C35" s="172" t="s">
        <v>183</v>
      </c>
      <c r="D35" s="173"/>
      <c r="E35" s="173"/>
      <c r="F35" s="173"/>
      <c r="G35" s="174">
        <v>160</v>
      </c>
      <c r="H35" s="175">
        <f>G35*$H$7</f>
        <v>2560</v>
      </c>
      <c r="I35" s="180"/>
      <c r="J35" s="177"/>
      <c r="K35" s="178"/>
      <c r="L35" s="179"/>
    </row>
    <row r="36" spans="1:38" ht="15.5" x14ac:dyDescent="0.35">
      <c r="A36" s="14"/>
      <c r="B36" s="25" t="s">
        <v>184</v>
      </c>
      <c r="C36" s="44">
        <v>0.04</v>
      </c>
      <c r="D36" s="2"/>
      <c r="E36" s="2"/>
      <c r="F36" s="2"/>
      <c r="G36" s="39"/>
      <c r="H36" s="34">
        <f>C36*H9</f>
        <v>8805.76</v>
      </c>
      <c r="K36" s="110">
        <f>C36*K9</f>
        <v>3556.8</v>
      </c>
      <c r="L36" s="96">
        <f>L38*C36</f>
        <v>0</v>
      </c>
      <c r="O36" t="s">
        <v>185</v>
      </c>
      <c r="P36" s="128" t="s">
        <v>186</v>
      </c>
      <c r="Q36" t="s">
        <v>21</v>
      </c>
      <c r="R36" t="s">
        <v>22</v>
      </c>
      <c r="U36" t="s">
        <v>187</v>
      </c>
      <c r="AH36" t="s">
        <v>187</v>
      </c>
    </row>
    <row r="37" spans="1:38" ht="15.5" x14ac:dyDescent="0.35">
      <c r="A37" s="14"/>
      <c r="B37" s="25" t="s">
        <v>188</v>
      </c>
      <c r="C37" s="44" t="s">
        <v>189</v>
      </c>
      <c r="D37" s="2"/>
      <c r="E37" s="2"/>
      <c r="F37" s="2"/>
      <c r="G37" s="39">
        <v>585</v>
      </c>
      <c r="H37" s="34"/>
      <c r="I37"/>
      <c r="K37" s="110"/>
      <c r="L37" s="96"/>
      <c r="M37" t="s">
        <v>190</v>
      </c>
      <c r="P37" s="128"/>
      <c r="U37" t="s">
        <v>152</v>
      </c>
      <c r="V37">
        <v>3825</v>
      </c>
      <c r="W37">
        <v>16</v>
      </c>
      <c r="X37">
        <f>V37*W37</f>
        <v>61200</v>
      </c>
      <c r="AH37" t="s">
        <v>152</v>
      </c>
      <c r="AI37">
        <v>3825</v>
      </c>
      <c r="AJ37">
        <v>16</v>
      </c>
      <c r="AK37">
        <f>AI37*AJ37</f>
        <v>61200</v>
      </c>
    </row>
    <row r="38" spans="1:38" ht="15.5" x14ac:dyDescent="0.35">
      <c r="A38" s="14"/>
      <c r="B38" s="25" t="s">
        <v>176</v>
      </c>
      <c r="C38" s="44"/>
      <c r="D38" s="2"/>
      <c r="E38" s="2"/>
      <c r="F38" s="2"/>
      <c r="G38" s="39"/>
      <c r="H38" s="34"/>
      <c r="K38" s="110"/>
      <c r="L38" s="96"/>
      <c r="O38" t="s">
        <v>149</v>
      </c>
      <c r="P38">
        <v>14414</v>
      </c>
      <c r="Q38">
        <v>13759</v>
      </c>
      <c r="R38">
        <v>13104</v>
      </c>
      <c r="V38">
        <v>350</v>
      </c>
      <c r="W38">
        <v>16</v>
      </c>
      <c r="X38">
        <f>V38*W38</f>
        <v>5600</v>
      </c>
      <c r="Y38" t="s">
        <v>191</v>
      </c>
      <c r="AI38">
        <v>300</v>
      </c>
      <c r="AJ38">
        <v>16</v>
      </c>
      <c r="AK38">
        <f>AI38*AJ38</f>
        <v>4800</v>
      </c>
    </row>
    <row r="39" spans="1:38" ht="43.5" x14ac:dyDescent="0.35">
      <c r="A39" s="15"/>
      <c r="B39" s="26"/>
      <c r="C39" s="12" t="s">
        <v>192</v>
      </c>
      <c r="D39" s="2"/>
      <c r="E39" s="2"/>
      <c r="F39" s="2"/>
      <c r="G39" s="39"/>
      <c r="H39" s="34"/>
      <c r="K39" s="109"/>
      <c r="L39" s="95"/>
      <c r="O39" s="127" t="s">
        <v>193</v>
      </c>
      <c r="P39" s="126">
        <v>0.22</v>
      </c>
      <c r="Q39" s="126">
        <v>0.16</v>
      </c>
      <c r="R39" s="126">
        <v>0.11</v>
      </c>
      <c r="V39">
        <v>7000</v>
      </c>
      <c r="X39">
        <f>V39</f>
        <v>7000</v>
      </c>
      <c r="AI39">
        <v>7000</v>
      </c>
      <c r="AK39">
        <f>AI39</f>
        <v>7000</v>
      </c>
    </row>
    <row r="40" spans="1:38" ht="15.5" x14ac:dyDescent="0.35">
      <c r="A40" s="14"/>
      <c r="B40" s="24"/>
      <c r="C40" s="4" t="s">
        <v>194</v>
      </c>
      <c r="D40" s="2"/>
      <c r="E40" s="2"/>
      <c r="F40" s="2"/>
      <c r="G40" s="39"/>
      <c r="H40" s="35">
        <f>H9</f>
        <v>220144</v>
      </c>
      <c r="K40" s="114">
        <f>K9</f>
        <v>88920</v>
      </c>
      <c r="L40" s="100">
        <f>L9</f>
        <v>220144</v>
      </c>
      <c r="M40" t="s">
        <v>30</v>
      </c>
      <c r="N40">
        <f>13104*10%</f>
        <v>1310.4000000000001</v>
      </c>
      <c r="O40" s="52" t="s">
        <v>195</v>
      </c>
      <c r="P40" s="126">
        <v>0.14000000000000001</v>
      </c>
      <c r="Q40" s="126">
        <v>0.2</v>
      </c>
      <c r="R40" s="126">
        <v>0.28999999999999998</v>
      </c>
      <c r="V40">
        <v>350</v>
      </c>
      <c r="W40">
        <v>16</v>
      </c>
      <c r="X40">
        <f>V40*W40</f>
        <v>5600</v>
      </c>
      <c r="Y40" t="s">
        <v>196</v>
      </c>
      <c r="AI40">
        <v>300</v>
      </c>
      <c r="AJ40">
        <v>16</v>
      </c>
      <c r="AK40">
        <f>AI40*AJ40</f>
        <v>4800</v>
      </c>
    </row>
    <row r="41" spans="1:38" ht="16" thickBot="1" x14ac:dyDescent="0.4">
      <c r="A41" s="14"/>
      <c r="B41" s="24"/>
      <c r="C41" s="4" t="s">
        <v>5</v>
      </c>
      <c r="D41" s="2"/>
      <c r="E41" s="2"/>
      <c r="F41" s="2"/>
      <c r="G41" s="39"/>
      <c r="H41" s="35">
        <f>SUM(H11:H38)</f>
        <v>61115.76</v>
      </c>
      <c r="K41" s="114">
        <f>SUM(K11:K38)</f>
        <v>47206.8</v>
      </c>
      <c r="L41" s="100">
        <f>SUM(L10:L38)</f>
        <v>49900</v>
      </c>
      <c r="M41" s="52" t="s">
        <v>30</v>
      </c>
      <c r="N41" s="52">
        <f>N40+13104</f>
        <v>14414.4</v>
      </c>
    </row>
    <row r="42" spans="1:38" ht="16" thickBot="1" x14ac:dyDescent="0.4">
      <c r="A42" s="14"/>
      <c r="B42" s="24"/>
      <c r="C42" s="134" t="s">
        <v>197</v>
      </c>
      <c r="D42" s="135"/>
      <c r="E42" s="135"/>
      <c r="F42" s="135"/>
      <c r="G42" s="136"/>
      <c r="H42" s="35">
        <f>H40-H41</f>
        <v>159028.24</v>
      </c>
      <c r="I42" s="137"/>
      <c r="J42" s="138"/>
      <c r="K42" s="114">
        <f>K40-K41</f>
        <v>41713.199999999997</v>
      </c>
      <c r="L42" s="100">
        <f>L40-L41</f>
        <v>170244</v>
      </c>
      <c r="M42" s="52"/>
      <c r="N42" s="52"/>
      <c r="X42">
        <f>SUM(X37:X41)</f>
        <v>79400</v>
      </c>
      <c r="Y42" s="181">
        <f>X37+X39</f>
        <v>68200</v>
      </c>
      <c r="AK42">
        <f>SUM(AK37:AK41)</f>
        <v>77800</v>
      </c>
      <c r="AL42" s="181">
        <f>AK37+AK39</f>
        <v>68200</v>
      </c>
    </row>
    <row r="43" spans="1:38" ht="15.5" x14ac:dyDescent="0.35">
      <c r="A43" s="132"/>
      <c r="B43" s="133"/>
      <c r="C43" s="139" t="s">
        <v>198</v>
      </c>
      <c r="D43" s="140"/>
      <c r="E43" s="140"/>
      <c r="F43" s="140"/>
      <c r="G43" s="143">
        <v>0.3</v>
      </c>
      <c r="H43" s="141"/>
      <c r="I43" s="137"/>
      <c r="J43" s="138"/>
      <c r="K43" s="142"/>
      <c r="L43" s="100">
        <f>G43*L40</f>
        <v>66043.199999999997</v>
      </c>
      <c r="M43" s="52"/>
      <c r="N43" s="52"/>
    </row>
    <row r="44" spans="1:38" ht="15.5" x14ac:dyDescent="0.35">
      <c r="A44" s="132"/>
      <c r="B44" s="133"/>
      <c r="C44" s="139" t="s">
        <v>199</v>
      </c>
      <c r="D44" s="140"/>
      <c r="E44" s="140"/>
      <c r="F44" s="140"/>
      <c r="G44" s="143"/>
      <c r="H44" s="141"/>
      <c r="I44" s="137"/>
      <c r="J44" s="138"/>
      <c r="K44" s="142"/>
      <c r="L44" s="100">
        <f>L42-L43</f>
        <v>104200.8</v>
      </c>
      <c r="M44" s="52"/>
      <c r="N44" s="52"/>
      <c r="X44" t="s">
        <v>200</v>
      </c>
    </row>
    <row r="45" spans="1:38" ht="15.5" x14ac:dyDescent="0.35">
      <c r="A45" s="132"/>
      <c r="B45" s="133"/>
      <c r="C45" s="139" t="s">
        <v>9</v>
      </c>
      <c r="D45" s="140"/>
      <c r="E45" s="140"/>
      <c r="F45" s="140"/>
      <c r="G45" s="143">
        <v>0.34100000000000003</v>
      </c>
      <c r="H45" s="141"/>
      <c r="I45" s="137"/>
      <c r="J45" s="138"/>
      <c r="K45" s="142"/>
      <c r="L45" s="100">
        <f>G45*(L41+L43)</f>
        <v>39536.631200000003</v>
      </c>
      <c r="M45" s="52"/>
      <c r="N45" s="52"/>
      <c r="X45" s="92">
        <f>L12+L49</f>
        <v>64600</v>
      </c>
      <c r="Y45" s="92">
        <f>Y42-X45</f>
        <v>3600</v>
      </c>
      <c r="Z45" t="s">
        <v>201</v>
      </c>
    </row>
    <row r="46" spans="1:38" ht="15.5" x14ac:dyDescent="0.35">
      <c r="A46" s="132"/>
      <c r="B46" s="133"/>
      <c r="C46" s="139" t="s">
        <v>10</v>
      </c>
      <c r="D46" s="140"/>
      <c r="E46" s="140"/>
      <c r="F46" s="140"/>
      <c r="G46" s="143">
        <v>4.5400000000000003E-2</v>
      </c>
      <c r="H46" s="141"/>
      <c r="I46" s="137"/>
      <c r="J46" s="138"/>
      <c r="K46" s="142"/>
      <c r="L46" s="100">
        <f>(L41+L43+L45)*G46</f>
        <v>7058.784336480001</v>
      </c>
      <c r="M46" s="52"/>
      <c r="N46" s="52"/>
    </row>
    <row r="47" spans="1:38" ht="15.5" x14ac:dyDescent="0.35">
      <c r="A47" s="132"/>
      <c r="B47" s="133"/>
      <c r="C47" s="144" t="s">
        <v>202</v>
      </c>
      <c r="D47" s="145"/>
      <c r="E47" s="145"/>
      <c r="F47" s="145"/>
      <c r="G47" s="146">
        <f>L47/L40</f>
        <v>0.26167138083945052</v>
      </c>
      <c r="H47" s="147"/>
      <c r="K47" s="148"/>
      <c r="L47" s="149">
        <f>L44-L45-L46</f>
        <v>57605.38446352</v>
      </c>
      <c r="M47" s="52"/>
      <c r="N47" s="52"/>
    </row>
    <row r="48" spans="1:38" ht="15.5" x14ac:dyDescent="0.35">
      <c r="A48" s="16"/>
      <c r="B48" s="27"/>
      <c r="C48" s="17"/>
      <c r="D48" s="18"/>
      <c r="E48" s="18"/>
      <c r="F48" s="18"/>
      <c r="G48" s="42"/>
      <c r="H48" s="43"/>
      <c r="K48" s="115"/>
      <c r="L48" s="101"/>
      <c r="M48" s="54"/>
      <c r="N48" s="53" t="s">
        <v>30</v>
      </c>
      <c r="O48" t="s">
        <v>30</v>
      </c>
      <c r="P48">
        <f>96000</f>
        <v>96000</v>
      </c>
    </row>
    <row r="49" spans="1:19" ht="29" x14ac:dyDescent="0.35">
      <c r="A49" s="73" t="s">
        <v>203</v>
      </c>
      <c r="B49" s="74" t="s">
        <v>204</v>
      </c>
      <c r="C49" s="75"/>
      <c r="D49" s="67"/>
      <c r="E49" s="67"/>
      <c r="F49" s="67"/>
      <c r="G49" s="69">
        <v>3600</v>
      </c>
      <c r="H49" s="72"/>
      <c r="K49" s="116">
        <f>G49*K7</f>
        <v>36000</v>
      </c>
      <c r="L49" s="169">
        <f>G49*L7</f>
        <v>57600</v>
      </c>
      <c r="M49" s="52"/>
      <c r="N49" s="167" t="s">
        <v>30</v>
      </c>
      <c r="P49" s="90">
        <v>50000</v>
      </c>
      <c r="S49" s="92" t="s">
        <v>30</v>
      </c>
    </row>
    <row r="50" spans="1:19" ht="15.5" x14ac:dyDescent="0.35">
      <c r="A50" s="57"/>
      <c r="B50" s="58" t="s">
        <v>205</v>
      </c>
      <c r="C50" s="1"/>
      <c r="D50" s="2"/>
      <c r="E50" s="2"/>
      <c r="F50" s="2"/>
      <c r="G50" s="39">
        <v>230</v>
      </c>
      <c r="H50" s="60"/>
      <c r="K50" s="117">
        <f>G50*K7</f>
        <v>2300</v>
      </c>
      <c r="L50" s="102">
        <f>G50*L7</f>
        <v>3680</v>
      </c>
      <c r="O50" s="45"/>
      <c r="P50" s="45">
        <f>P48-P49</f>
        <v>46000</v>
      </c>
    </row>
    <row r="51" spans="1:19" ht="15.5" x14ac:dyDescent="0.35">
      <c r="A51" s="2"/>
      <c r="B51" s="2"/>
      <c r="C51" s="152" t="s">
        <v>206</v>
      </c>
      <c r="D51" s="2"/>
      <c r="E51" s="2"/>
      <c r="F51" s="2"/>
      <c r="G51" s="39"/>
      <c r="H51" s="76"/>
      <c r="K51" s="118"/>
      <c r="L51" s="103">
        <f>L49+L50</f>
        <v>61280</v>
      </c>
      <c r="P51" s="54">
        <f>P50/P48</f>
        <v>0.47916666666666669</v>
      </c>
    </row>
    <row r="52" spans="1:19" ht="15.5" x14ac:dyDescent="0.35">
      <c r="A52" s="2"/>
      <c r="B52" s="2"/>
      <c r="C52" s="3" t="s">
        <v>10</v>
      </c>
      <c r="D52" s="2"/>
      <c r="E52" s="2"/>
      <c r="F52" s="2"/>
      <c r="G52" s="153">
        <v>4.5400000000000003E-2</v>
      </c>
      <c r="H52" s="76"/>
      <c r="K52" s="118">
        <f>SUM(K49:K51)</f>
        <v>38300</v>
      </c>
      <c r="L52" s="103">
        <f>G52*L51</f>
        <v>2782.1120000000001</v>
      </c>
      <c r="P52" s="54">
        <f>P51-I65</f>
        <v>0.47916666666666669</v>
      </c>
    </row>
    <row r="53" spans="1:19" ht="15.5" x14ac:dyDescent="0.35">
      <c r="A53" s="2"/>
      <c r="B53" s="2"/>
      <c r="C53" s="3" t="s">
        <v>207</v>
      </c>
      <c r="D53" s="2"/>
      <c r="E53" s="2"/>
      <c r="F53" s="2"/>
      <c r="G53" s="153"/>
      <c r="H53" s="76"/>
      <c r="K53" s="118"/>
      <c r="L53" s="103">
        <f>L52+L51</f>
        <v>64062.112000000001</v>
      </c>
      <c r="N53" s="92"/>
      <c r="P53" s="54"/>
    </row>
    <row r="54" spans="1:19" ht="15.5" x14ac:dyDescent="0.35">
      <c r="A54" s="2"/>
      <c r="B54" s="2"/>
      <c r="C54" s="3" t="s">
        <v>208</v>
      </c>
      <c r="D54" s="2"/>
      <c r="E54" s="2"/>
      <c r="F54" s="2"/>
      <c r="G54" s="209">
        <f>G49*1.17</f>
        <v>4212</v>
      </c>
      <c r="H54" s="76"/>
      <c r="K54" s="119">
        <f>G54*K7</f>
        <v>42120</v>
      </c>
      <c r="L54" s="104">
        <f>G54*L7</f>
        <v>67392</v>
      </c>
      <c r="M54" s="89"/>
    </row>
    <row r="55" spans="1:19" ht="15.5" x14ac:dyDescent="0.35">
      <c r="A55" s="18"/>
      <c r="B55" s="18"/>
      <c r="C55" s="71" t="s">
        <v>209</v>
      </c>
      <c r="D55" s="18"/>
      <c r="E55" s="18"/>
      <c r="F55" s="18"/>
      <c r="G55" s="42"/>
      <c r="H55" s="77"/>
      <c r="K55" s="120">
        <f>(K54-K52)/K54</f>
        <v>9.069325735992402E-2</v>
      </c>
      <c r="L55" s="105">
        <f>(L54-L53)/L54</f>
        <v>4.941073124406456E-2</v>
      </c>
      <c r="N55" t="s">
        <v>210</v>
      </c>
    </row>
    <row r="56" spans="1:19" ht="15.5" x14ac:dyDescent="0.35">
      <c r="A56" s="67"/>
      <c r="B56" s="67"/>
      <c r="C56" s="68" t="s">
        <v>211</v>
      </c>
      <c r="D56" s="67"/>
      <c r="E56" s="67"/>
      <c r="F56" s="67"/>
      <c r="G56" s="69"/>
      <c r="H56" s="70"/>
      <c r="K56" s="121">
        <f>G54+K8</f>
        <v>13104</v>
      </c>
      <c r="L56" s="106">
        <f>L8</f>
        <v>13759</v>
      </c>
      <c r="N56">
        <v>12480</v>
      </c>
      <c r="O56">
        <f>N56*0.05</f>
        <v>624</v>
      </c>
      <c r="P56">
        <f>N56+O56</f>
        <v>13104</v>
      </c>
    </row>
    <row r="57" spans="1:19" ht="15.5" x14ac:dyDescent="0.35">
      <c r="A57" s="2"/>
      <c r="B57" s="2"/>
      <c r="C57" s="3" t="s">
        <v>212</v>
      </c>
      <c r="D57" s="2"/>
      <c r="E57" s="2"/>
      <c r="F57" s="2"/>
      <c r="G57" s="64"/>
      <c r="H57" s="59"/>
      <c r="K57" s="122">
        <f>K56*K7</f>
        <v>131040</v>
      </c>
      <c r="L57" s="107">
        <f>L8*L7-L54</f>
        <v>152752</v>
      </c>
      <c r="P57" s="89">
        <f>P56-K56</f>
        <v>0</v>
      </c>
    </row>
    <row r="58" spans="1:19" ht="15.5" x14ac:dyDescent="0.35">
      <c r="A58" s="2"/>
      <c r="B58" s="2"/>
      <c r="C58" s="3" t="s">
        <v>207</v>
      </c>
      <c r="D58" s="2"/>
      <c r="E58" s="2"/>
      <c r="F58" s="2"/>
      <c r="G58" s="39"/>
      <c r="H58" s="59"/>
      <c r="K58" s="123">
        <f>K52+K41</f>
        <v>85506.8</v>
      </c>
      <c r="L58" s="108">
        <f>L51+L50</f>
        <v>64960</v>
      </c>
    </row>
    <row r="59" spans="1:19" ht="15.5" x14ac:dyDescent="0.35">
      <c r="A59" s="2"/>
      <c r="B59" s="2"/>
      <c r="C59" s="150" t="s">
        <v>213</v>
      </c>
      <c r="D59" s="135"/>
      <c r="E59" s="135"/>
      <c r="F59" s="135"/>
      <c r="G59" s="136"/>
      <c r="H59" s="151"/>
      <c r="I59" s="137"/>
      <c r="K59" s="123">
        <f>K57-K58</f>
        <v>45533.2</v>
      </c>
      <c r="L59" s="108">
        <f>L57-L58</f>
        <v>87792</v>
      </c>
      <c r="O59">
        <f>9600</f>
        <v>9600</v>
      </c>
    </row>
    <row r="60" spans="1:19" ht="15.5" x14ac:dyDescent="0.35">
      <c r="A60" s="2"/>
      <c r="B60" s="2"/>
      <c r="C60" s="154" t="s">
        <v>214</v>
      </c>
      <c r="D60" s="155"/>
      <c r="E60" s="155"/>
      <c r="F60" s="155"/>
      <c r="G60" s="156"/>
      <c r="H60" s="157"/>
      <c r="K60" s="158">
        <f>K59/K57</f>
        <v>0.34747557997557993</v>
      </c>
      <c r="L60" s="159">
        <f>L59/L57</f>
        <v>0.57473551901120767</v>
      </c>
      <c r="O60">
        <f>O56</f>
        <v>624</v>
      </c>
    </row>
    <row r="61" spans="1:19" x14ac:dyDescent="0.35">
      <c r="C61" s="160" t="s">
        <v>198</v>
      </c>
      <c r="D61" s="161"/>
      <c r="E61" s="161"/>
      <c r="F61" s="161"/>
      <c r="G61" s="162">
        <v>0.3</v>
      </c>
      <c r="H61" s="163"/>
      <c r="I61" s="164"/>
      <c r="J61" s="161"/>
      <c r="K61" s="163"/>
      <c r="L61" s="165">
        <f>G61*L57</f>
        <v>45825.599999999999</v>
      </c>
      <c r="O61">
        <f>SUM(O59:O60)</f>
        <v>10224</v>
      </c>
    </row>
    <row r="62" spans="1:19" x14ac:dyDescent="0.35">
      <c r="C62" s="160" t="s">
        <v>199</v>
      </c>
      <c r="D62" s="161"/>
      <c r="E62" s="161"/>
      <c r="F62" s="161"/>
      <c r="G62" s="162"/>
      <c r="H62" s="163"/>
      <c r="I62" s="164"/>
      <c r="J62" s="161"/>
      <c r="K62" s="163"/>
      <c r="L62" s="165">
        <f>L59-L61</f>
        <v>41966.400000000001</v>
      </c>
    </row>
    <row r="63" spans="1:19" x14ac:dyDescent="0.35">
      <c r="C63" s="160" t="s">
        <v>9</v>
      </c>
      <c r="D63" s="161"/>
      <c r="E63" s="161"/>
      <c r="F63" s="161"/>
      <c r="G63" s="162">
        <v>0.34100000000000003</v>
      </c>
      <c r="H63" s="163"/>
      <c r="I63" s="164"/>
      <c r="J63" s="161"/>
      <c r="K63" s="163"/>
      <c r="L63" s="165">
        <f>G63*(L58+L61)</f>
        <v>37777.889600000002</v>
      </c>
    </row>
    <row r="64" spans="1:19" x14ac:dyDescent="0.35">
      <c r="C64" s="160" t="s">
        <v>10</v>
      </c>
      <c r="D64" s="161"/>
      <c r="E64" s="161"/>
      <c r="F64" s="161"/>
      <c r="G64" s="162">
        <v>4.5400000000000003E-2</v>
      </c>
      <c r="H64" s="163"/>
      <c r="I64" s="164"/>
      <c r="J64" s="161"/>
      <c r="K64" s="163"/>
      <c r="L64" s="165">
        <f>G64*(L63+L61+L58)</f>
        <v>6744.7824278400003</v>
      </c>
    </row>
    <row r="65" spans="3:14" x14ac:dyDescent="0.35">
      <c r="C65" s="160" t="s">
        <v>202</v>
      </c>
      <c r="D65" s="161"/>
      <c r="E65" s="161"/>
      <c r="F65" s="161"/>
      <c r="G65" s="162">
        <f>L65/L57</f>
        <v>-1.6734785978841527E-2</v>
      </c>
      <c r="H65" s="161"/>
      <c r="I65" s="166"/>
      <c r="J65" s="161"/>
      <c r="K65" s="163"/>
      <c r="L65" s="165">
        <f>L62-L63-L64</f>
        <v>-2556.2720278400011</v>
      </c>
      <c r="M65" s="54"/>
      <c r="N65" s="54"/>
    </row>
    <row r="69" spans="3:14" x14ac:dyDescent="0.35">
      <c r="C69" t="s">
        <v>149</v>
      </c>
      <c r="H69" s="94">
        <f>H8</f>
        <v>13759</v>
      </c>
    </row>
    <row r="70" spans="3:14" x14ac:dyDescent="0.35">
      <c r="C70" t="s">
        <v>215</v>
      </c>
      <c r="H70" s="93">
        <f>6300+800</f>
        <v>7100</v>
      </c>
      <c r="M70" s="170">
        <v>233654</v>
      </c>
    </row>
    <row r="71" spans="3:14" x14ac:dyDescent="0.35">
      <c r="C71" t="s">
        <v>216</v>
      </c>
      <c r="H71" s="93">
        <f>H70/H7</f>
        <v>443.75</v>
      </c>
    </row>
    <row r="72" spans="3:14" x14ac:dyDescent="0.35">
      <c r="C72" t="s">
        <v>217</v>
      </c>
      <c r="H72" s="91">
        <f>H71/H69</f>
        <v>3.2251617123337455E-2</v>
      </c>
    </row>
    <row r="73" spans="3:14" x14ac:dyDescent="0.35">
      <c r="C73" t="s">
        <v>218</v>
      </c>
    </row>
  </sheetData>
  <mergeCells count="2">
    <mergeCell ref="A10:B10"/>
    <mergeCell ref="A17:B17"/>
  </mergeCells>
  <conditionalFormatting sqref="A1:XFD5">
    <cfRule type="cellIs" dxfId="1" priority="1" operator="lessThan">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76D18-5768-4E73-9089-F65DC331A5C4}">
  <dimension ref="A1:AL73"/>
  <sheetViews>
    <sheetView workbookViewId="0"/>
  </sheetViews>
  <sheetFormatPr defaultColWidth="8.81640625" defaultRowHeight="14.5" outlineLevelRow="1" x14ac:dyDescent="0.35"/>
  <cols>
    <col min="1" max="1" width="12.7265625" customWidth="1"/>
    <col min="2" max="2" width="39.453125" customWidth="1"/>
    <col min="3" max="3" width="28.26953125" bestFit="1" customWidth="1"/>
    <col min="4" max="4" width="10.1796875" customWidth="1"/>
    <col min="5" max="5" width="11.1796875" customWidth="1"/>
    <col min="6" max="6" width="9.1796875" customWidth="1"/>
    <col min="7" max="7" width="9.26953125" style="41" customWidth="1"/>
    <col min="8" max="8" width="12.81640625" style="13" bestFit="1" customWidth="1"/>
    <col min="9" max="9" width="8.81640625" style="129"/>
    <col min="11" max="11" width="14.7265625" style="13" customWidth="1"/>
    <col min="12" max="12" width="15.453125" style="13" customWidth="1"/>
    <col min="13" max="13" width="12.54296875" bestFit="1" customWidth="1"/>
    <col min="14" max="14" width="12.7265625" bestFit="1" customWidth="1"/>
    <col min="15" max="15" width="12.81640625" bestFit="1" customWidth="1"/>
    <col min="16" max="16" width="13.7265625" customWidth="1"/>
    <col min="24" max="25" width="17.26953125" customWidth="1"/>
  </cols>
  <sheetData>
    <row r="1" spans="1:19" x14ac:dyDescent="0.35">
      <c r="A1" s="198" t="s">
        <v>219</v>
      </c>
      <c r="B1" s="199"/>
      <c r="C1" s="199"/>
      <c r="D1" s="199"/>
      <c r="E1" s="199"/>
      <c r="F1" s="199"/>
      <c r="G1" s="199"/>
      <c r="H1" s="199"/>
      <c r="I1" s="199"/>
      <c r="J1" s="199"/>
      <c r="K1" s="199"/>
      <c r="L1" s="199"/>
    </row>
    <row r="2" spans="1:19" x14ac:dyDescent="0.35">
      <c r="B2" s="200"/>
      <c r="C2" s="192"/>
      <c r="D2" s="201"/>
      <c r="E2" s="202"/>
      <c r="F2" s="203"/>
      <c r="G2" s="204"/>
      <c r="H2" s="204"/>
      <c r="I2" s="204"/>
      <c r="J2" s="205"/>
      <c r="K2" s="206"/>
      <c r="L2" s="206"/>
      <c r="M2" s="207"/>
      <c r="N2" s="196"/>
      <c r="O2" s="186"/>
      <c r="P2" s="208"/>
      <c r="Q2" s="186"/>
    </row>
    <row r="3" spans="1:19" ht="15" thickBot="1" x14ac:dyDescent="0.4">
      <c r="A3" s="184" t="s">
        <v>1</v>
      </c>
      <c r="B3" s="184"/>
      <c r="C3" s="184"/>
      <c r="D3" s="184"/>
      <c r="E3" s="184"/>
      <c r="F3" s="184"/>
      <c r="G3" s="184"/>
      <c r="H3" s="184"/>
      <c r="I3" s="184"/>
      <c r="J3" s="184"/>
      <c r="K3" s="184"/>
      <c r="L3" s="184"/>
      <c r="M3" s="185"/>
      <c r="N3" s="185"/>
      <c r="O3" s="186"/>
      <c r="P3" s="186"/>
      <c r="Q3" s="186"/>
    </row>
    <row r="4" spans="1:19" outlineLevel="1" x14ac:dyDescent="0.35">
      <c r="B4" s="187" t="s">
        <v>2</v>
      </c>
      <c r="C4" s="188" t="s">
        <v>3</v>
      </c>
      <c r="D4" s="187" t="s">
        <v>4</v>
      </c>
      <c r="E4" s="187" t="s">
        <v>5</v>
      </c>
      <c r="F4" s="187" t="s">
        <v>6</v>
      </c>
      <c r="G4" s="187" t="s">
        <v>7</v>
      </c>
      <c r="H4" s="189" t="s">
        <v>8</v>
      </c>
      <c r="I4" s="189" t="s">
        <v>9</v>
      </c>
      <c r="J4" s="189" t="s">
        <v>10</v>
      </c>
      <c r="K4" s="189" t="s">
        <v>11</v>
      </c>
      <c r="L4" s="189" t="s">
        <v>12</v>
      </c>
      <c r="M4" s="190"/>
      <c r="N4" s="186"/>
      <c r="O4" s="186"/>
      <c r="P4" s="186"/>
    </row>
    <row r="5" spans="1:19" outlineLevel="1" x14ac:dyDescent="0.35">
      <c r="B5" s="191">
        <f>L7</f>
        <v>16</v>
      </c>
      <c r="C5" s="192">
        <f>L8</f>
        <v>13759</v>
      </c>
      <c r="D5" s="193">
        <f>L9</f>
        <v>220144</v>
      </c>
      <c r="E5" s="194">
        <f>$G$55</f>
        <v>0</v>
      </c>
      <c r="F5" s="194">
        <f>$G$69</f>
        <v>0</v>
      </c>
      <c r="G5" s="194">
        <f>$G$60</f>
        <v>0</v>
      </c>
      <c r="H5" s="170">
        <f>$G$70</f>
        <v>0</v>
      </c>
      <c r="I5" s="170">
        <f>$G$63</f>
        <v>0.34100000000000003</v>
      </c>
      <c r="J5" s="170">
        <f>$G$64</f>
        <v>4.5400000000000003E-2</v>
      </c>
      <c r="K5" s="170">
        <f>F5-G5-I5-J5</f>
        <v>-0.38640000000000002</v>
      </c>
      <c r="L5" s="195">
        <f>K5/D5</f>
        <v>-1.7552147685151537E-6</v>
      </c>
      <c r="M5" s="196"/>
      <c r="N5" s="186"/>
      <c r="O5" s="186"/>
      <c r="P5" s="197"/>
    </row>
    <row r="6" spans="1:19" ht="18.75" customHeight="1" x14ac:dyDescent="0.35">
      <c r="G6"/>
      <c r="H6"/>
      <c r="I6"/>
      <c r="K6"/>
      <c r="L6"/>
    </row>
    <row r="7" spans="1:19" x14ac:dyDescent="0.35">
      <c r="A7" s="8"/>
      <c r="C7" s="28" t="s">
        <v>148</v>
      </c>
      <c r="D7" s="2"/>
      <c r="E7" s="2"/>
      <c r="F7" s="2"/>
      <c r="G7" s="39"/>
      <c r="H7" s="29">
        <v>16</v>
      </c>
      <c r="K7" s="29">
        <v>10</v>
      </c>
      <c r="L7" s="29">
        <v>16</v>
      </c>
    </row>
    <row r="8" spans="1:19" ht="15.5" x14ac:dyDescent="0.35">
      <c r="A8" s="9"/>
      <c r="B8" s="7"/>
      <c r="C8" s="30" t="s">
        <v>149</v>
      </c>
      <c r="D8" s="2"/>
      <c r="E8" s="2"/>
      <c r="F8" s="2"/>
      <c r="G8" s="39"/>
      <c r="H8" s="31">
        <v>13759</v>
      </c>
      <c r="K8" s="182">
        <f>P19</f>
        <v>8892</v>
      </c>
      <c r="L8" s="182">
        <v>13759</v>
      </c>
      <c r="M8" s="45">
        <f>K8-H8</f>
        <v>-4867</v>
      </c>
      <c r="N8" s="45">
        <f>M8*4</f>
        <v>-19468</v>
      </c>
      <c r="O8">
        <f>(K8-H8)/H8</f>
        <v>-0.35373210262373717</v>
      </c>
    </row>
    <row r="9" spans="1:19" ht="16" thickBot="1" x14ac:dyDescent="0.4">
      <c r="A9" s="9"/>
      <c r="B9" s="7"/>
      <c r="C9" s="30" t="s">
        <v>150</v>
      </c>
      <c r="D9" s="32"/>
      <c r="E9" s="2"/>
      <c r="F9" s="2"/>
      <c r="G9" s="39"/>
      <c r="H9" s="31">
        <f>H7*H8</f>
        <v>220144</v>
      </c>
      <c r="K9" s="182">
        <f>K7*K8</f>
        <v>88920</v>
      </c>
      <c r="L9" s="183">
        <f>L7*L8</f>
        <v>220144</v>
      </c>
    </row>
    <row r="10" spans="1:19" ht="15.5" x14ac:dyDescent="0.35">
      <c r="A10" s="489" t="s">
        <v>151</v>
      </c>
      <c r="B10" s="490"/>
      <c r="C10" s="33"/>
      <c r="D10" s="2"/>
      <c r="E10" s="2"/>
      <c r="F10" s="2"/>
      <c r="G10" s="39"/>
      <c r="H10" s="34"/>
      <c r="K10" s="109"/>
      <c r="L10" s="95"/>
      <c r="N10" t="s">
        <v>152</v>
      </c>
      <c r="O10" t="s">
        <v>153</v>
      </c>
    </row>
    <row r="11" spans="1:19" ht="16" thickBot="1" x14ac:dyDescent="0.4">
      <c r="A11" s="10"/>
      <c r="B11" s="22"/>
      <c r="C11" s="1"/>
      <c r="D11" s="2"/>
      <c r="E11" s="2"/>
      <c r="F11" s="2"/>
      <c r="G11" s="39"/>
      <c r="H11" s="34"/>
      <c r="K11" s="109"/>
      <c r="L11" s="95"/>
      <c r="N11" s="89">
        <f>G54</f>
        <v>4212</v>
      </c>
      <c r="O11" s="45">
        <v>9600</v>
      </c>
      <c r="P11" s="45">
        <f>N11+O11</f>
        <v>13812</v>
      </c>
      <c r="Q11">
        <f>9500+N11</f>
        <v>13712</v>
      </c>
      <c r="R11" s="45">
        <v>13104</v>
      </c>
    </row>
    <row r="12" spans="1:19" ht="15.5" x14ac:dyDescent="0.35">
      <c r="A12" s="10" t="s">
        <v>154</v>
      </c>
      <c r="B12" s="22" t="s">
        <v>155</v>
      </c>
      <c r="C12" s="1"/>
      <c r="D12" s="2"/>
      <c r="E12" s="2"/>
      <c r="F12" s="2"/>
      <c r="G12" s="39">
        <v>7000</v>
      </c>
      <c r="H12" s="34">
        <v>7000</v>
      </c>
      <c r="K12" s="110">
        <v>6000</v>
      </c>
      <c r="L12" s="96">
        <f>G12</f>
        <v>7000</v>
      </c>
      <c r="N12" s="46" t="s">
        <v>156</v>
      </c>
      <c r="O12" s="47"/>
    </row>
    <row r="13" spans="1:19" ht="15.5" x14ac:dyDescent="0.35">
      <c r="A13" s="10" t="s">
        <v>157</v>
      </c>
      <c r="B13" s="25" t="s">
        <v>158</v>
      </c>
      <c r="C13" s="1"/>
      <c r="D13" s="2"/>
      <c r="E13" s="2"/>
      <c r="F13" s="2"/>
      <c r="G13" s="39">
        <v>10000</v>
      </c>
      <c r="H13" s="34">
        <f>G13*144%</f>
        <v>14400</v>
      </c>
      <c r="K13" s="168">
        <f>H13</f>
        <v>14400</v>
      </c>
      <c r="L13" s="96">
        <f>G13*1.44</f>
        <v>14400</v>
      </c>
      <c r="N13" s="48">
        <v>13850</v>
      </c>
      <c r="O13" s="49"/>
    </row>
    <row r="14" spans="1:19" ht="15.5" x14ac:dyDescent="0.35">
      <c r="A14" s="10"/>
      <c r="B14" s="25"/>
      <c r="C14" s="1"/>
      <c r="D14" s="2"/>
      <c r="E14" s="2"/>
      <c r="F14" s="2"/>
      <c r="G14" s="39"/>
      <c r="H14" s="34"/>
      <c r="K14" s="110"/>
      <c r="L14" s="96"/>
      <c r="N14" s="48" t="s">
        <v>160</v>
      </c>
      <c r="O14" s="49"/>
    </row>
    <row r="15" spans="1:19" ht="16" thickBot="1" x14ac:dyDescent="0.4">
      <c r="A15" s="10" t="s">
        <v>161</v>
      </c>
      <c r="B15" s="25" t="s">
        <v>162</v>
      </c>
      <c r="C15" s="21"/>
      <c r="D15" s="2"/>
      <c r="E15" s="2"/>
      <c r="F15" s="2"/>
      <c r="G15" s="39">
        <v>10000</v>
      </c>
      <c r="H15" s="34">
        <f>G15*144%</f>
        <v>14400</v>
      </c>
      <c r="K15" s="168">
        <f>H15</f>
        <v>14400</v>
      </c>
      <c r="L15" s="96">
        <f>G15*1.44</f>
        <v>14400</v>
      </c>
      <c r="N15" s="50" t="s">
        <v>164</v>
      </c>
      <c r="O15" s="51"/>
      <c r="S15" t="s">
        <v>30</v>
      </c>
    </row>
    <row r="16" spans="1:19" ht="15.5" x14ac:dyDescent="0.35">
      <c r="A16" s="11"/>
      <c r="B16" s="23"/>
      <c r="C16" s="3"/>
      <c r="D16" s="2"/>
      <c r="E16" s="2"/>
      <c r="F16" s="2"/>
      <c r="G16" s="39"/>
      <c r="H16" s="34"/>
      <c r="K16" s="110"/>
      <c r="L16" s="96"/>
    </row>
    <row r="17" spans="1:17" ht="16" thickBot="1" x14ac:dyDescent="0.4">
      <c r="A17" s="491" t="s">
        <v>165</v>
      </c>
      <c r="B17" s="492"/>
      <c r="C17" s="2"/>
      <c r="D17" s="2"/>
      <c r="E17" s="2">
        <f>39550/25</f>
        <v>1582</v>
      </c>
      <c r="F17" s="2"/>
      <c r="G17" s="39"/>
      <c r="H17" s="34"/>
      <c r="K17" s="110"/>
      <c r="L17" s="96"/>
    </row>
    <row r="18" spans="1:17" ht="15.5" x14ac:dyDescent="0.35">
      <c r="A18" s="14"/>
      <c r="B18" s="24" t="s">
        <v>166</v>
      </c>
      <c r="C18" s="5"/>
      <c r="D18" s="2"/>
      <c r="E18" s="2"/>
      <c r="F18" s="2"/>
      <c r="G18" s="39"/>
      <c r="H18" s="35"/>
      <c r="K18" s="111"/>
      <c r="L18" s="97"/>
      <c r="N18" s="46">
        <v>12480</v>
      </c>
      <c r="O18" s="55">
        <v>0.05</v>
      </c>
      <c r="P18" s="47">
        <f>N18*(1+O18)</f>
        <v>13104</v>
      </c>
    </row>
    <row r="19" spans="1:17" ht="16" thickBot="1" x14ac:dyDescent="0.4">
      <c r="A19" s="14"/>
      <c r="B19" s="25" t="s">
        <v>66</v>
      </c>
      <c r="C19" s="5"/>
      <c r="D19" s="2"/>
      <c r="E19" s="5"/>
      <c r="F19" s="2"/>
      <c r="G19" s="39">
        <v>95</v>
      </c>
      <c r="H19" s="34">
        <f>G19*H7</f>
        <v>1520</v>
      </c>
      <c r="K19" s="110">
        <f>G19*K7</f>
        <v>950</v>
      </c>
      <c r="L19" s="96">
        <f>G19*L7</f>
        <v>1520</v>
      </c>
      <c r="N19" s="50"/>
      <c r="O19" s="56"/>
      <c r="P19" s="124">
        <f>P18-N11</f>
        <v>8892</v>
      </c>
    </row>
    <row r="20" spans="1:17" ht="15.5" x14ac:dyDescent="0.35">
      <c r="A20" s="14"/>
      <c r="B20" s="25"/>
      <c r="C20" s="6"/>
      <c r="D20" s="2"/>
      <c r="E20" s="5"/>
      <c r="F20" s="2"/>
      <c r="G20" s="39"/>
      <c r="H20" s="36"/>
      <c r="K20" s="112"/>
      <c r="L20" s="98"/>
    </row>
    <row r="21" spans="1:17" ht="15.5" x14ac:dyDescent="0.35">
      <c r="A21" s="14"/>
      <c r="B21" s="24" t="s">
        <v>167</v>
      </c>
      <c r="C21" s="6"/>
      <c r="D21" s="2"/>
      <c r="E21" s="2" t="s">
        <v>30</v>
      </c>
      <c r="F21" s="2"/>
      <c r="G21" s="39"/>
      <c r="H21" s="36"/>
      <c r="K21" s="113"/>
      <c r="L21" s="99"/>
    </row>
    <row r="22" spans="1:17" ht="15.5" x14ac:dyDescent="0.35">
      <c r="A22" s="14"/>
      <c r="B22" s="25" t="s">
        <v>168</v>
      </c>
      <c r="C22" s="6"/>
      <c r="D22" s="2"/>
      <c r="E22" s="2"/>
      <c r="F22" s="2"/>
      <c r="G22" s="39">
        <v>25</v>
      </c>
      <c r="H22" s="37">
        <v>250</v>
      </c>
      <c r="K22" s="112">
        <v>250</v>
      </c>
      <c r="L22" s="98">
        <f>G22*L7</f>
        <v>400</v>
      </c>
      <c r="M22" s="92"/>
    </row>
    <row r="23" spans="1:17" ht="15.5" x14ac:dyDescent="0.35">
      <c r="A23" s="14"/>
      <c r="B23" s="25"/>
      <c r="C23" s="6"/>
      <c r="D23" s="2"/>
      <c r="E23" s="2"/>
      <c r="F23" s="2"/>
      <c r="G23" s="39"/>
      <c r="H23" s="37"/>
      <c r="K23" s="112"/>
      <c r="L23" s="98"/>
      <c r="P23" s="125">
        <f>H8*0.02</f>
        <v>275.18</v>
      </c>
      <c r="Q23" s="126">
        <v>0.02</v>
      </c>
    </row>
    <row r="24" spans="1:17" ht="15.5" x14ac:dyDescent="0.35">
      <c r="A24" s="14"/>
      <c r="B24" s="24" t="s">
        <v>170</v>
      </c>
      <c r="C24" s="6"/>
      <c r="D24" s="2"/>
      <c r="E24" s="2"/>
      <c r="F24" s="2"/>
      <c r="G24" s="39"/>
      <c r="H24" s="37"/>
      <c r="K24" s="112"/>
      <c r="L24" s="98"/>
      <c r="N24">
        <f>4032</f>
        <v>4032</v>
      </c>
      <c r="O24" s="125">
        <f>H8+P24</f>
        <v>14171.77</v>
      </c>
      <c r="P24" s="125">
        <f>0.03*H8</f>
        <v>412.77</v>
      </c>
      <c r="Q24" s="126">
        <v>0.03</v>
      </c>
    </row>
    <row r="25" spans="1:17" ht="15.5" x14ac:dyDescent="0.35">
      <c r="A25" s="14"/>
      <c r="B25" s="24" t="s">
        <v>171</v>
      </c>
      <c r="C25" s="6"/>
      <c r="D25" s="2" t="s">
        <v>30</v>
      </c>
      <c r="E25" s="2"/>
      <c r="F25" s="2"/>
      <c r="G25" s="39"/>
      <c r="H25" s="37"/>
      <c r="K25" s="112"/>
      <c r="L25" s="98"/>
      <c r="N25" s="125">
        <f>O24-N24</f>
        <v>10139.77</v>
      </c>
      <c r="P25" s="125">
        <f>H8*0.04</f>
        <v>550.36</v>
      </c>
      <c r="Q25" s="126">
        <v>0.04</v>
      </c>
    </row>
    <row r="26" spans="1:17" ht="15.5" x14ac:dyDescent="0.35">
      <c r="A26" s="14"/>
      <c r="B26" s="171" t="s">
        <v>158</v>
      </c>
      <c r="C26" s="172" t="s">
        <v>172</v>
      </c>
      <c r="D26" s="172"/>
      <c r="E26" s="172"/>
      <c r="F26" s="173"/>
      <c r="G26" s="174">
        <v>135</v>
      </c>
      <c r="H26" s="175">
        <f>$G$26*H7</f>
        <v>2160</v>
      </c>
      <c r="I26" s="176" t="s">
        <v>30</v>
      </c>
      <c r="J26" s="177"/>
      <c r="K26" s="178">
        <f>$G$26*K7</f>
        <v>1350</v>
      </c>
      <c r="L26" s="179">
        <f>G26*L7</f>
        <v>2160</v>
      </c>
      <c r="M26" s="180" t="s">
        <v>174</v>
      </c>
      <c r="P26" s="45">
        <f>Q26*H8</f>
        <v>687.95</v>
      </c>
      <c r="Q26" s="126">
        <v>0.05</v>
      </c>
    </row>
    <row r="27" spans="1:17" ht="15.5" x14ac:dyDescent="0.35">
      <c r="A27" s="14"/>
      <c r="B27" s="171" t="s">
        <v>162</v>
      </c>
      <c r="C27" s="172" t="s">
        <v>172</v>
      </c>
      <c r="D27" s="172"/>
      <c r="E27" s="173"/>
      <c r="F27" s="173"/>
      <c r="G27" s="174">
        <v>135</v>
      </c>
      <c r="H27" s="175">
        <f>G27*H7</f>
        <v>2160</v>
      </c>
      <c r="I27" s="180"/>
      <c r="J27" s="177"/>
      <c r="K27" s="178">
        <f>G27*K7</f>
        <v>1350</v>
      </c>
      <c r="L27" s="179">
        <f>G27*L7</f>
        <v>2160</v>
      </c>
      <c r="M27" s="180" t="s">
        <v>174</v>
      </c>
    </row>
    <row r="28" spans="1:17" ht="15.5" x14ac:dyDescent="0.35">
      <c r="A28" s="14"/>
      <c r="B28" s="25"/>
      <c r="C28" s="6"/>
      <c r="D28" s="6"/>
      <c r="E28" s="2"/>
      <c r="F28" s="2"/>
      <c r="G28" s="39"/>
      <c r="H28" s="37"/>
      <c r="K28" s="112"/>
      <c r="L28" s="98"/>
    </row>
    <row r="29" spans="1:17" ht="15.5" x14ac:dyDescent="0.35">
      <c r="A29" s="14"/>
      <c r="B29" s="24" t="s">
        <v>176</v>
      </c>
      <c r="C29" s="6"/>
      <c r="D29" s="2"/>
      <c r="E29" s="2"/>
      <c r="F29" s="2"/>
      <c r="G29" s="39"/>
      <c r="H29" s="36"/>
      <c r="K29" s="113"/>
      <c r="L29" s="99"/>
      <c r="P29" s="125">
        <f>P23+450</f>
        <v>725.18000000000006</v>
      </c>
      <c r="Q29" s="126">
        <v>0.02</v>
      </c>
    </row>
    <row r="30" spans="1:17" ht="15.5" x14ac:dyDescent="0.35">
      <c r="A30" s="14"/>
      <c r="B30" s="25" t="s">
        <v>177</v>
      </c>
      <c r="C30" s="6"/>
      <c r="D30" s="2"/>
      <c r="E30" s="2"/>
      <c r="F30" s="2"/>
      <c r="G30" s="39"/>
      <c r="H30" s="37">
        <v>0</v>
      </c>
      <c r="K30" s="112">
        <v>0</v>
      </c>
      <c r="L30" s="98"/>
      <c r="P30" s="125">
        <f>450+P24</f>
        <v>862.77</v>
      </c>
      <c r="Q30" s="126">
        <v>0.03</v>
      </c>
    </row>
    <row r="31" spans="1:17" ht="15.5" x14ac:dyDescent="0.35">
      <c r="A31" s="14"/>
      <c r="B31" s="25" t="s">
        <v>178</v>
      </c>
      <c r="C31" s="2"/>
      <c r="D31" s="2"/>
      <c r="E31" s="2"/>
      <c r="F31" s="2"/>
      <c r="G31" s="39">
        <v>20</v>
      </c>
      <c r="H31" s="34">
        <f>20*H$7</f>
        <v>320</v>
      </c>
      <c r="K31" s="110">
        <f>20*K$7</f>
        <v>200</v>
      </c>
      <c r="L31" s="96">
        <f>G31*L7</f>
        <v>320</v>
      </c>
    </row>
    <row r="32" spans="1:17" ht="15.5" x14ac:dyDescent="0.35">
      <c r="A32" s="14"/>
      <c r="B32" s="25" t="s">
        <v>78</v>
      </c>
      <c r="C32" s="2"/>
      <c r="D32" s="2"/>
      <c r="E32" s="2"/>
      <c r="F32" s="2"/>
      <c r="G32" s="39">
        <v>15</v>
      </c>
      <c r="H32" s="34">
        <f>G32*H$7</f>
        <v>240</v>
      </c>
      <c r="K32" s="110">
        <f>G32*K7</f>
        <v>150</v>
      </c>
      <c r="L32" s="96">
        <f>G32*L7</f>
        <v>240</v>
      </c>
    </row>
    <row r="33" spans="1:38" ht="15.5" x14ac:dyDescent="0.35">
      <c r="A33" s="14"/>
      <c r="B33" s="25" t="s">
        <v>179</v>
      </c>
      <c r="C33" s="2"/>
      <c r="D33" s="2"/>
      <c r="E33" s="2"/>
      <c r="F33" s="2"/>
      <c r="G33" s="39"/>
      <c r="H33" s="34">
        <v>100</v>
      </c>
      <c r="K33" s="110">
        <v>100</v>
      </c>
      <c r="L33" s="96">
        <f>K33</f>
        <v>100</v>
      </c>
    </row>
    <row r="34" spans="1:38" ht="15.5" x14ac:dyDescent="0.35">
      <c r="A34" s="14"/>
      <c r="B34" s="25" t="s">
        <v>75</v>
      </c>
      <c r="C34" s="2"/>
      <c r="D34" s="2"/>
      <c r="E34" s="2"/>
      <c r="F34" s="2"/>
      <c r="G34" s="39">
        <f>75*6</f>
        <v>450</v>
      </c>
      <c r="H34" s="34">
        <f>G34*H7</f>
        <v>7200</v>
      </c>
      <c r="J34" s="2"/>
      <c r="K34" s="110">
        <f>G34*K7</f>
        <v>4500</v>
      </c>
      <c r="L34" s="96">
        <f>G34*L7</f>
        <v>7200</v>
      </c>
    </row>
    <row r="35" spans="1:38" ht="15.5" x14ac:dyDescent="0.35">
      <c r="A35" s="14"/>
      <c r="B35" s="171" t="s">
        <v>182</v>
      </c>
      <c r="C35" s="172" t="s">
        <v>183</v>
      </c>
      <c r="D35" s="173"/>
      <c r="E35" s="173"/>
      <c r="F35" s="173"/>
      <c r="G35" s="174">
        <v>160</v>
      </c>
      <c r="H35" s="175">
        <f>G35*$H$7</f>
        <v>2560</v>
      </c>
      <c r="I35" s="180"/>
      <c r="J35" s="177"/>
      <c r="K35" s="178"/>
      <c r="L35" s="179"/>
    </row>
    <row r="36" spans="1:38" ht="15.5" x14ac:dyDescent="0.35">
      <c r="A36" s="14"/>
      <c r="B36" s="25" t="s">
        <v>184</v>
      </c>
      <c r="C36" s="44">
        <v>0.04</v>
      </c>
      <c r="D36" s="2"/>
      <c r="E36" s="2"/>
      <c r="F36" s="2"/>
      <c r="G36" s="39"/>
      <c r="H36" s="34">
        <f>C36*H9</f>
        <v>8805.76</v>
      </c>
      <c r="K36" s="110">
        <f>C36*K9</f>
        <v>3556.8</v>
      </c>
      <c r="L36" s="96">
        <f>L38*C36</f>
        <v>0</v>
      </c>
      <c r="O36" t="s">
        <v>185</v>
      </c>
      <c r="P36" s="128" t="s">
        <v>186</v>
      </c>
      <c r="Q36" t="s">
        <v>21</v>
      </c>
      <c r="R36" t="s">
        <v>22</v>
      </c>
      <c r="U36" t="s">
        <v>187</v>
      </c>
      <c r="AH36" t="s">
        <v>187</v>
      </c>
    </row>
    <row r="37" spans="1:38" ht="15.5" x14ac:dyDescent="0.35">
      <c r="A37" s="14"/>
      <c r="B37" s="25" t="s">
        <v>188</v>
      </c>
      <c r="C37" s="44" t="s">
        <v>189</v>
      </c>
      <c r="D37" s="2"/>
      <c r="E37" s="2"/>
      <c r="F37" s="2"/>
      <c r="G37" s="39">
        <v>585</v>
      </c>
      <c r="H37" s="34"/>
      <c r="I37" t="s">
        <v>190</v>
      </c>
      <c r="K37" s="110"/>
      <c r="L37" s="96"/>
      <c r="P37" s="128"/>
      <c r="U37" t="s">
        <v>152</v>
      </c>
      <c r="V37">
        <v>3825</v>
      </c>
      <c r="W37">
        <v>16</v>
      </c>
      <c r="X37">
        <f>V37*W37</f>
        <v>61200</v>
      </c>
      <c r="AH37" t="s">
        <v>152</v>
      </c>
      <c r="AI37">
        <v>3825</v>
      </c>
      <c r="AJ37">
        <v>16</v>
      </c>
      <c r="AK37">
        <f>AI37*AJ37</f>
        <v>61200</v>
      </c>
    </row>
    <row r="38" spans="1:38" ht="15.5" x14ac:dyDescent="0.35">
      <c r="A38" s="14"/>
      <c r="B38" s="25" t="s">
        <v>176</v>
      </c>
      <c r="C38" s="44"/>
      <c r="D38" s="2"/>
      <c r="E38" s="2"/>
      <c r="F38" s="2"/>
      <c r="G38" s="39"/>
      <c r="H38" s="34"/>
      <c r="K38" s="110"/>
      <c r="L38" s="96"/>
      <c r="O38" t="s">
        <v>149</v>
      </c>
      <c r="P38">
        <v>14414</v>
      </c>
      <c r="Q38">
        <v>13759</v>
      </c>
      <c r="R38">
        <v>13104</v>
      </c>
      <c r="V38">
        <v>350</v>
      </c>
      <c r="W38">
        <v>16</v>
      </c>
      <c r="X38">
        <f>V38*W38</f>
        <v>5600</v>
      </c>
      <c r="Y38" t="s">
        <v>191</v>
      </c>
      <c r="AI38">
        <v>300</v>
      </c>
      <c r="AJ38">
        <v>16</v>
      </c>
      <c r="AK38">
        <f>AI38*AJ38</f>
        <v>4800</v>
      </c>
    </row>
    <row r="39" spans="1:38" ht="43.5" x14ac:dyDescent="0.35">
      <c r="A39" s="15"/>
      <c r="B39" s="26"/>
      <c r="C39" s="12" t="s">
        <v>192</v>
      </c>
      <c r="D39" s="2"/>
      <c r="E39" s="2"/>
      <c r="F39" s="2"/>
      <c r="G39" s="39"/>
      <c r="H39" s="34"/>
      <c r="K39" s="109"/>
      <c r="L39" s="95"/>
      <c r="O39" s="127" t="s">
        <v>193</v>
      </c>
      <c r="P39" s="126">
        <v>0.22</v>
      </c>
      <c r="Q39" s="126">
        <v>0.16</v>
      </c>
      <c r="R39" s="126">
        <v>0.11</v>
      </c>
      <c r="V39">
        <v>7000</v>
      </c>
      <c r="X39">
        <f>V39</f>
        <v>7000</v>
      </c>
      <c r="AI39">
        <v>7000</v>
      </c>
      <c r="AK39">
        <f>AI39</f>
        <v>7000</v>
      </c>
    </row>
    <row r="40" spans="1:38" ht="15.5" x14ac:dyDescent="0.35">
      <c r="A40" s="14"/>
      <c r="B40" s="24"/>
      <c r="C40" s="4" t="s">
        <v>194</v>
      </c>
      <c r="D40" s="2"/>
      <c r="E40" s="2"/>
      <c r="F40" s="2"/>
      <c r="G40" s="39"/>
      <c r="H40" s="35">
        <f>H9</f>
        <v>220144</v>
      </c>
      <c r="K40" s="114">
        <f>K9</f>
        <v>88920</v>
      </c>
      <c r="L40" s="100">
        <f>L9</f>
        <v>220144</v>
      </c>
      <c r="M40" t="s">
        <v>30</v>
      </c>
      <c r="N40">
        <f>13104*10%</f>
        <v>1310.4000000000001</v>
      </c>
      <c r="O40" s="52" t="s">
        <v>195</v>
      </c>
      <c r="P40" s="126">
        <v>0.14000000000000001</v>
      </c>
      <c r="Q40" s="126">
        <v>0.2</v>
      </c>
      <c r="R40" s="126">
        <v>0.28999999999999998</v>
      </c>
      <c r="V40">
        <v>350</v>
      </c>
      <c r="W40">
        <v>16</v>
      </c>
      <c r="X40">
        <f>V40*W40</f>
        <v>5600</v>
      </c>
      <c r="Y40" t="s">
        <v>196</v>
      </c>
      <c r="AI40">
        <v>300</v>
      </c>
      <c r="AJ40">
        <v>16</v>
      </c>
      <c r="AK40">
        <f>AI40*AJ40</f>
        <v>4800</v>
      </c>
    </row>
    <row r="41" spans="1:38" ht="16" thickBot="1" x14ac:dyDescent="0.4">
      <c r="A41" s="14"/>
      <c r="B41" s="24"/>
      <c r="C41" s="4" t="s">
        <v>5</v>
      </c>
      <c r="D41" s="2"/>
      <c r="E41" s="2"/>
      <c r="F41" s="2"/>
      <c r="G41" s="39"/>
      <c r="H41" s="35">
        <f>SUM(H11:H38)</f>
        <v>61115.76</v>
      </c>
      <c r="K41" s="114">
        <f>SUM(K11:K38)</f>
        <v>47206.8</v>
      </c>
      <c r="L41" s="100">
        <f>SUM(L10:L38)</f>
        <v>49900</v>
      </c>
      <c r="M41" s="52" t="s">
        <v>30</v>
      </c>
      <c r="N41" s="52">
        <f>N40+13104</f>
        <v>14414.4</v>
      </c>
    </row>
    <row r="42" spans="1:38" ht="16" thickBot="1" x14ac:dyDescent="0.4">
      <c r="A42" s="14"/>
      <c r="B42" s="24"/>
      <c r="C42" s="134" t="s">
        <v>197</v>
      </c>
      <c r="D42" s="135"/>
      <c r="E42" s="135"/>
      <c r="F42" s="135"/>
      <c r="G42" s="136"/>
      <c r="H42" s="35">
        <f>H40-H41</f>
        <v>159028.24</v>
      </c>
      <c r="I42" s="137"/>
      <c r="J42" s="138"/>
      <c r="K42" s="114">
        <f>K40-K41</f>
        <v>41713.199999999997</v>
      </c>
      <c r="L42" s="100">
        <f>L40-L41</f>
        <v>170244</v>
      </c>
      <c r="M42" s="52"/>
      <c r="N42" s="52"/>
      <c r="X42">
        <f>SUM(X37:X41)</f>
        <v>79400</v>
      </c>
      <c r="Y42" s="181">
        <f>X37+X39</f>
        <v>68200</v>
      </c>
      <c r="AK42">
        <f>SUM(AK37:AK41)</f>
        <v>77800</v>
      </c>
      <c r="AL42" s="181">
        <f>AK37+AK39</f>
        <v>68200</v>
      </c>
    </row>
    <row r="43" spans="1:38" ht="15.5" x14ac:dyDescent="0.35">
      <c r="A43" s="132"/>
      <c r="B43" s="133"/>
      <c r="C43" s="139" t="s">
        <v>198</v>
      </c>
      <c r="D43" s="140"/>
      <c r="E43" s="140"/>
      <c r="F43" s="140"/>
      <c r="G43" s="143">
        <v>0.3</v>
      </c>
      <c r="H43" s="141"/>
      <c r="I43" s="137"/>
      <c r="J43" s="138"/>
      <c r="K43" s="142"/>
      <c r="L43" s="100">
        <f>G43*L40</f>
        <v>66043.199999999997</v>
      </c>
      <c r="M43" s="52"/>
      <c r="N43" s="52"/>
    </row>
    <row r="44" spans="1:38" ht="15.5" x14ac:dyDescent="0.35">
      <c r="A44" s="132"/>
      <c r="B44" s="133"/>
      <c r="C44" s="139" t="s">
        <v>199</v>
      </c>
      <c r="D44" s="140"/>
      <c r="E44" s="140"/>
      <c r="F44" s="140"/>
      <c r="G44" s="143"/>
      <c r="H44" s="141"/>
      <c r="I44" s="137"/>
      <c r="J44" s="138"/>
      <c r="K44" s="142"/>
      <c r="L44" s="100">
        <f>L42-L43</f>
        <v>104200.8</v>
      </c>
      <c r="M44" s="52"/>
      <c r="N44" s="52"/>
      <c r="X44" t="s">
        <v>200</v>
      </c>
    </row>
    <row r="45" spans="1:38" ht="15.5" x14ac:dyDescent="0.35">
      <c r="A45" s="132"/>
      <c r="B45" s="133"/>
      <c r="C45" s="139" t="s">
        <v>9</v>
      </c>
      <c r="D45" s="140"/>
      <c r="E45" s="140"/>
      <c r="F45" s="140"/>
      <c r="G45" s="143">
        <v>0.34100000000000003</v>
      </c>
      <c r="H45" s="141"/>
      <c r="I45" s="137"/>
      <c r="J45" s="138"/>
      <c r="K45" s="142"/>
      <c r="L45" s="100">
        <f>G45*(L41+L43)</f>
        <v>39536.631200000003</v>
      </c>
      <c r="M45" s="52"/>
      <c r="N45" s="52"/>
      <c r="X45" s="92">
        <f>L12+L49</f>
        <v>64600</v>
      </c>
      <c r="Y45" s="92">
        <f>Y42-X45</f>
        <v>3600</v>
      </c>
      <c r="Z45" t="s">
        <v>201</v>
      </c>
    </row>
    <row r="46" spans="1:38" ht="15.5" x14ac:dyDescent="0.35">
      <c r="A46" s="132"/>
      <c r="B46" s="133"/>
      <c r="C46" s="139" t="s">
        <v>10</v>
      </c>
      <c r="D46" s="140"/>
      <c r="E46" s="140"/>
      <c r="F46" s="140"/>
      <c r="G46" s="143">
        <v>4.5400000000000003E-2</v>
      </c>
      <c r="H46" s="141"/>
      <c r="I46" s="137"/>
      <c r="J46" s="138"/>
      <c r="K46" s="142"/>
      <c r="L46" s="100">
        <f>(L41+L43+L45)*G46</f>
        <v>7058.784336480001</v>
      </c>
      <c r="M46" s="52"/>
      <c r="N46" s="52"/>
    </row>
    <row r="47" spans="1:38" ht="15.5" x14ac:dyDescent="0.35">
      <c r="A47" s="132"/>
      <c r="B47" s="133"/>
      <c r="C47" s="144" t="s">
        <v>202</v>
      </c>
      <c r="D47" s="145"/>
      <c r="E47" s="145"/>
      <c r="F47" s="145"/>
      <c r="G47" s="146">
        <f>L47/L40</f>
        <v>0.26167138083945052</v>
      </c>
      <c r="H47" s="147"/>
      <c r="K47" s="148"/>
      <c r="L47" s="149">
        <f>L44-L45-L46</f>
        <v>57605.38446352</v>
      </c>
      <c r="M47" s="52"/>
      <c r="N47" s="52"/>
    </row>
    <row r="48" spans="1:38" ht="16" thickBot="1" x14ac:dyDescent="0.4">
      <c r="A48" s="16"/>
      <c r="B48" s="27"/>
      <c r="C48" s="17"/>
      <c r="D48" s="18"/>
      <c r="E48" s="18"/>
      <c r="F48" s="18"/>
      <c r="G48" s="42"/>
      <c r="H48" s="43"/>
      <c r="K48" s="115"/>
      <c r="L48" s="101"/>
      <c r="M48" s="54"/>
      <c r="N48" s="53" t="s">
        <v>30</v>
      </c>
      <c r="O48" t="s">
        <v>30</v>
      </c>
      <c r="P48">
        <f>96000</f>
        <v>96000</v>
      </c>
    </row>
    <row r="49" spans="1:19" ht="29" x14ac:dyDescent="0.35">
      <c r="A49" s="73" t="s">
        <v>203</v>
      </c>
      <c r="B49" s="74" t="s">
        <v>204</v>
      </c>
      <c r="C49" s="75">
        <v>4500</v>
      </c>
      <c r="D49" s="67"/>
      <c r="E49" s="67"/>
      <c r="F49" s="67"/>
      <c r="G49" s="69">
        <v>3600</v>
      </c>
      <c r="H49" s="72"/>
      <c r="K49" s="116">
        <f>G49*K7</f>
        <v>36000</v>
      </c>
      <c r="L49" s="169">
        <f>G49*L7</f>
        <v>57600</v>
      </c>
      <c r="M49" s="52"/>
      <c r="N49" s="167" t="s">
        <v>30</v>
      </c>
      <c r="P49" s="90">
        <v>50000</v>
      </c>
      <c r="S49" s="92" t="s">
        <v>30</v>
      </c>
    </row>
    <row r="50" spans="1:19" ht="15.5" x14ac:dyDescent="0.35">
      <c r="A50" s="57"/>
      <c r="B50" s="58" t="s">
        <v>205</v>
      </c>
      <c r="C50" s="1"/>
      <c r="D50" s="2"/>
      <c r="E50" s="2"/>
      <c r="F50" s="2"/>
      <c r="G50" s="39">
        <v>230</v>
      </c>
      <c r="H50" s="60"/>
      <c r="K50" s="117">
        <f>G50*K7</f>
        <v>2300</v>
      </c>
      <c r="L50" s="102">
        <f>G50*L7</f>
        <v>3680</v>
      </c>
      <c r="O50" s="45"/>
      <c r="P50" s="45">
        <f>P48-P49</f>
        <v>46000</v>
      </c>
    </row>
    <row r="51" spans="1:19" ht="15.5" x14ac:dyDescent="0.35">
      <c r="A51" s="2"/>
      <c r="B51" s="2"/>
      <c r="C51" s="152" t="s">
        <v>206</v>
      </c>
      <c r="D51" s="2"/>
      <c r="E51" s="2"/>
      <c r="F51" s="2"/>
      <c r="G51" s="39"/>
      <c r="H51" s="76"/>
      <c r="K51" s="118"/>
      <c r="L51" s="103">
        <f>L49+L50</f>
        <v>61280</v>
      </c>
      <c r="P51" s="54">
        <f>P50/P48</f>
        <v>0.47916666666666669</v>
      </c>
    </row>
    <row r="52" spans="1:19" ht="15.5" x14ac:dyDescent="0.35">
      <c r="A52" s="2"/>
      <c r="B52" s="2"/>
      <c r="C52" s="3" t="s">
        <v>10</v>
      </c>
      <c r="D52" s="2"/>
      <c r="E52" s="2"/>
      <c r="F52" s="2"/>
      <c r="G52" s="153">
        <v>4.5400000000000003E-2</v>
      </c>
      <c r="H52" s="76"/>
      <c r="K52" s="118">
        <f>SUM(K49:K51)</f>
        <v>38300</v>
      </c>
      <c r="L52" s="103">
        <f>G52*L51</f>
        <v>2782.1120000000001</v>
      </c>
      <c r="P52" s="54">
        <f>P51-I65</f>
        <v>0.47916666666666669</v>
      </c>
    </row>
    <row r="53" spans="1:19" ht="15.5" x14ac:dyDescent="0.35">
      <c r="A53" s="2"/>
      <c r="B53" s="2"/>
      <c r="C53" s="3" t="s">
        <v>207</v>
      </c>
      <c r="D53" s="2"/>
      <c r="E53" s="2"/>
      <c r="F53" s="2"/>
      <c r="G53" s="153"/>
      <c r="H53" s="76"/>
      <c r="K53" s="118"/>
      <c r="L53" s="103">
        <f>L52+L51</f>
        <v>64062.112000000001</v>
      </c>
      <c r="N53" s="92"/>
      <c r="P53" s="54"/>
    </row>
    <row r="54" spans="1:19" ht="15.5" x14ac:dyDescent="0.35">
      <c r="A54" s="2"/>
      <c r="B54" s="2"/>
      <c r="C54" s="3" t="s">
        <v>208</v>
      </c>
      <c r="D54" s="2"/>
      <c r="E54" s="2"/>
      <c r="F54" s="2"/>
      <c r="G54" s="39">
        <f>G49*1.17</f>
        <v>4212</v>
      </c>
      <c r="H54" s="76"/>
      <c r="K54" s="119">
        <f>G54*K7</f>
        <v>42120</v>
      </c>
      <c r="L54" s="104">
        <f>G54*L7</f>
        <v>67392</v>
      </c>
      <c r="M54" s="89"/>
    </row>
    <row r="55" spans="1:19" ht="16" thickBot="1" x14ac:dyDescent="0.4">
      <c r="A55" s="18"/>
      <c r="B55" s="18"/>
      <c r="C55" s="71" t="s">
        <v>209</v>
      </c>
      <c r="D55" s="18"/>
      <c r="E55" s="18"/>
      <c r="F55" s="18"/>
      <c r="G55" s="42"/>
      <c r="H55" s="77"/>
      <c r="K55" s="120">
        <f>(K54-K52)/K54</f>
        <v>9.069325735992402E-2</v>
      </c>
      <c r="L55" s="105">
        <f>(L54-L53)/L54</f>
        <v>4.941073124406456E-2</v>
      </c>
      <c r="N55" t="s">
        <v>210</v>
      </c>
    </row>
    <row r="56" spans="1:19" ht="15.5" x14ac:dyDescent="0.35">
      <c r="A56" s="67"/>
      <c r="B56" s="67"/>
      <c r="C56" s="68" t="s">
        <v>211</v>
      </c>
      <c r="D56" s="67"/>
      <c r="E56" s="67"/>
      <c r="F56" s="67"/>
      <c r="G56" s="69"/>
      <c r="H56" s="70"/>
      <c r="K56" s="121">
        <f>G54+K8</f>
        <v>13104</v>
      </c>
      <c r="L56" s="106">
        <f>L8</f>
        <v>13759</v>
      </c>
      <c r="N56">
        <v>12480</v>
      </c>
      <c r="O56">
        <f>N56*0.05</f>
        <v>624</v>
      </c>
      <c r="P56">
        <f>N56+O56</f>
        <v>13104</v>
      </c>
    </row>
    <row r="57" spans="1:19" ht="15.5" x14ac:dyDescent="0.35">
      <c r="A57" s="2"/>
      <c r="B57" s="2"/>
      <c r="C57" s="3" t="s">
        <v>212</v>
      </c>
      <c r="D57" s="2"/>
      <c r="E57" s="2"/>
      <c r="F57" s="2"/>
      <c r="G57" s="64"/>
      <c r="H57" s="59"/>
      <c r="K57" s="122">
        <f>K56*K7</f>
        <v>131040</v>
      </c>
      <c r="L57" s="107">
        <f>L8*L7-L54</f>
        <v>152752</v>
      </c>
      <c r="P57" s="89">
        <f>P56-K56</f>
        <v>0</v>
      </c>
    </row>
    <row r="58" spans="1:19" ht="15.5" x14ac:dyDescent="0.35">
      <c r="A58" s="2"/>
      <c r="B58" s="2"/>
      <c r="C58" s="3" t="s">
        <v>207</v>
      </c>
      <c r="D58" s="2"/>
      <c r="E58" s="2"/>
      <c r="F58" s="2"/>
      <c r="G58" s="39"/>
      <c r="H58" s="59"/>
      <c r="K58" s="123">
        <f>K52+K41</f>
        <v>85506.8</v>
      </c>
      <c r="L58" s="108">
        <f>L51+L50</f>
        <v>64960</v>
      </c>
    </row>
    <row r="59" spans="1:19" ht="15.5" x14ac:dyDescent="0.35">
      <c r="A59" s="2"/>
      <c r="B59" s="2"/>
      <c r="C59" s="150" t="s">
        <v>213</v>
      </c>
      <c r="D59" s="135"/>
      <c r="E59" s="135"/>
      <c r="F59" s="135"/>
      <c r="G59" s="136"/>
      <c r="H59" s="151"/>
      <c r="I59" s="137"/>
      <c r="K59" s="123">
        <f>K57-K58</f>
        <v>45533.2</v>
      </c>
      <c r="L59" s="108">
        <f>L57-L58</f>
        <v>87792</v>
      </c>
      <c r="O59">
        <f>9600</f>
        <v>9600</v>
      </c>
    </row>
    <row r="60" spans="1:19" ht="15.5" x14ac:dyDescent="0.35">
      <c r="A60" s="2"/>
      <c r="B60" s="2"/>
      <c r="C60" s="154" t="s">
        <v>214</v>
      </c>
      <c r="D60" s="155"/>
      <c r="E60" s="155"/>
      <c r="F60" s="155"/>
      <c r="G60" s="156"/>
      <c r="H60" s="157"/>
      <c r="K60" s="158">
        <f>K59/K57</f>
        <v>0.34747557997557993</v>
      </c>
      <c r="L60" s="159">
        <f>L59/L57</f>
        <v>0.57473551901120767</v>
      </c>
      <c r="O60">
        <f>O56</f>
        <v>624</v>
      </c>
    </row>
    <row r="61" spans="1:19" x14ac:dyDescent="0.35">
      <c r="C61" s="160" t="s">
        <v>198</v>
      </c>
      <c r="D61" s="161"/>
      <c r="E61" s="161"/>
      <c r="F61" s="161"/>
      <c r="G61" s="162">
        <v>0.3</v>
      </c>
      <c r="H61" s="163"/>
      <c r="I61" s="164"/>
      <c r="J61" s="161"/>
      <c r="K61" s="163"/>
      <c r="L61" s="165">
        <f>G61*L57</f>
        <v>45825.599999999999</v>
      </c>
      <c r="O61">
        <f>SUM(O59:O60)</f>
        <v>10224</v>
      </c>
    </row>
    <row r="62" spans="1:19" x14ac:dyDescent="0.35">
      <c r="C62" s="160" t="s">
        <v>199</v>
      </c>
      <c r="D62" s="161"/>
      <c r="E62" s="161"/>
      <c r="F62" s="161"/>
      <c r="G62" s="162"/>
      <c r="H62" s="163"/>
      <c r="I62" s="164"/>
      <c r="J62" s="161"/>
      <c r="K62" s="163"/>
      <c r="L62" s="165">
        <f>L59-L61</f>
        <v>41966.400000000001</v>
      </c>
    </row>
    <row r="63" spans="1:19" x14ac:dyDescent="0.35">
      <c r="C63" s="160" t="s">
        <v>9</v>
      </c>
      <c r="D63" s="161"/>
      <c r="E63" s="161"/>
      <c r="F63" s="161"/>
      <c r="G63" s="162">
        <v>0.34100000000000003</v>
      </c>
      <c r="H63" s="163"/>
      <c r="I63" s="164"/>
      <c r="J63" s="161"/>
      <c r="K63" s="163"/>
      <c r="L63" s="165">
        <f>G63*(L58+L61)</f>
        <v>37777.889600000002</v>
      </c>
    </row>
    <row r="64" spans="1:19" x14ac:dyDescent="0.35">
      <c r="C64" s="160" t="s">
        <v>10</v>
      </c>
      <c r="D64" s="161"/>
      <c r="E64" s="161"/>
      <c r="F64" s="161"/>
      <c r="G64" s="162">
        <v>4.5400000000000003E-2</v>
      </c>
      <c r="H64" s="163"/>
      <c r="I64" s="164"/>
      <c r="J64" s="161"/>
      <c r="K64" s="163"/>
      <c r="L64" s="165">
        <f>G64*(L63+L61+L58)</f>
        <v>6744.7824278400003</v>
      </c>
    </row>
    <row r="65" spans="3:14" x14ac:dyDescent="0.35">
      <c r="C65" s="160" t="s">
        <v>202</v>
      </c>
      <c r="D65" s="161"/>
      <c r="E65" s="161"/>
      <c r="F65" s="161"/>
      <c r="G65" s="162">
        <f>L65/L57</f>
        <v>-1.6734785978841527E-2</v>
      </c>
      <c r="H65" s="161"/>
      <c r="I65" s="166"/>
      <c r="J65" s="161"/>
      <c r="K65" s="163"/>
      <c r="L65" s="165">
        <f>L62-L63-L64</f>
        <v>-2556.2720278400011</v>
      </c>
      <c r="M65" s="54"/>
      <c r="N65" s="54"/>
    </row>
    <row r="69" spans="3:14" x14ac:dyDescent="0.35">
      <c r="C69" t="s">
        <v>149</v>
      </c>
      <c r="H69" s="94">
        <f>H8</f>
        <v>13759</v>
      </c>
    </row>
    <row r="70" spans="3:14" x14ac:dyDescent="0.35">
      <c r="C70" t="s">
        <v>215</v>
      </c>
      <c r="H70" s="93">
        <f>6300+800</f>
        <v>7100</v>
      </c>
      <c r="M70" s="170">
        <v>233654</v>
      </c>
    </row>
    <row r="71" spans="3:14" x14ac:dyDescent="0.35">
      <c r="C71" t="s">
        <v>216</v>
      </c>
      <c r="H71" s="93">
        <f>H70/H7</f>
        <v>443.75</v>
      </c>
      <c r="I71" s="129" t="s">
        <v>220</v>
      </c>
    </row>
    <row r="72" spans="3:14" x14ac:dyDescent="0.35">
      <c r="C72" t="s">
        <v>217</v>
      </c>
      <c r="H72" s="91">
        <f>H71/H69</f>
        <v>3.2251617123337455E-2</v>
      </c>
    </row>
    <row r="73" spans="3:14" x14ac:dyDescent="0.35">
      <c r="C73" t="s">
        <v>218</v>
      </c>
    </row>
  </sheetData>
  <mergeCells count="2">
    <mergeCell ref="A10:B10"/>
    <mergeCell ref="A17:B17"/>
  </mergeCells>
  <conditionalFormatting sqref="A1:XFD5">
    <cfRule type="cellIs" dxfId="0" priority="1" operator="lessThan">
      <formula>0</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3adb0ca3-6aed-498b-a868-7ea0b699adef">
      <UserInfo>
        <DisplayName>Mollee Elniski</DisplayName>
        <AccountId>17</AccountId>
        <AccountType/>
      </UserInfo>
    </SharedWithUsers>
    <TaxCatchAll xmlns="3adb0ca3-6aed-498b-a868-7ea0b699adef" xsi:nil="true"/>
    <lcf76f155ced4ddcb4097134ff3c332f xmlns="e1d1f964-45b3-4015-9caa-f7891bf7ffe1">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D99CC9D088E8749971BE5E4DFAAAC26" ma:contentTypeVersion="20" ma:contentTypeDescription="Create a new document." ma:contentTypeScope="" ma:versionID="bbf432b7bcbdf77ad731feaa82e108db">
  <xsd:schema xmlns:xsd="http://www.w3.org/2001/XMLSchema" xmlns:xs="http://www.w3.org/2001/XMLSchema" xmlns:p="http://schemas.microsoft.com/office/2006/metadata/properties" xmlns:ns2="e1d1f964-45b3-4015-9caa-f7891bf7ffe1" xmlns:ns3="3adb0ca3-6aed-498b-a868-7ea0b699adef" targetNamespace="http://schemas.microsoft.com/office/2006/metadata/properties" ma:root="true" ma:fieldsID="5e58b99886bf7efa2ef5c02feebf67e9" ns2:_="" ns3:_="">
    <xsd:import namespace="e1d1f964-45b3-4015-9caa-f7891bf7ffe1"/>
    <xsd:import namespace="3adb0ca3-6aed-498b-a868-7ea0b699ad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3:TaxCatchAll" minOccurs="0"/>
                <xsd:element ref="ns2:lcf76f155ced4ddcb4097134ff3c332f"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d1f964-45b3-4015-9caa-f7891bf7ff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733ad1a4-bcb6-4664-8873-2816a39d139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adb0ca3-6aed-498b-a868-7ea0b699ade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fe57e7cf-3ac9-4ed0-890e-ae1667ed7796}" ma:internalName="TaxCatchAll" ma:showField="CatchAllData" ma:web="3adb0ca3-6aed-498b-a868-7ea0b699ad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BB6127-4AEB-4AF4-B49F-990BB7604836}">
  <ds:schemaRefs>
    <ds:schemaRef ds:uri="http://schemas.microsoft.com/office/2006/metadata/properties"/>
    <ds:schemaRef ds:uri="http://schemas.microsoft.com/office/infopath/2007/PartnerControls"/>
    <ds:schemaRef ds:uri="3adb0ca3-6aed-498b-a868-7ea0b699adef"/>
    <ds:schemaRef ds:uri="e1d1f964-45b3-4015-9caa-f7891bf7ffe1"/>
  </ds:schemaRefs>
</ds:datastoreItem>
</file>

<file path=customXml/itemProps2.xml><?xml version="1.0" encoding="utf-8"?>
<ds:datastoreItem xmlns:ds="http://schemas.openxmlformats.org/officeDocument/2006/customXml" ds:itemID="{B14DC7E0-46D4-4487-9644-3CFC64A64BE2}">
  <ds:schemaRefs>
    <ds:schemaRef ds:uri="http://schemas.microsoft.com/sharepoint/v3/contenttype/forms"/>
  </ds:schemaRefs>
</ds:datastoreItem>
</file>

<file path=customXml/itemProps3.xml><?xml version="1.0" encoding="utf-8"?>
<ds:datastoreItem xmlns:ds="http://schemas.openxmlformats.org/officeDocument/2006/customXml" ds:itemID="{A49E49E4-D731-41DE-8742-9DF9B4E156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d1f964-45b3-4015-9caa-f7891bf7ffe1"/>
    <ds:schemaRef ds:uri="3adb0ca3-6aed-498b-a868-7ea0b699ad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FY23-24 Q1-Q2 Summer-Fall '23v6</vt:lpstr>
      <vt:lpstr>FY22-23 Q1-Q2 Summer-Fall '23v5</vt:lpstr>
      <vt:lpstr>FY22-23 Q1-Q2 Summer-Fall '23v3</vt:lpstr>
      <vt:lpstr>FY22-23 Q1-Q2 Summer-Fall '23v2</vt:lpstr>
      <vt:lpstr>FY22-23 Q1-Q2 Summer-Fall '23</vt:lpstr>
      <vt:lpstr>FY21-22 Q1-Q2 - Summer-Fall v3</vt:lpstr>
      <vt:lpstr>FY21-22 Q1-Q2 - Summer-Fall v2</vt:lpstr>
      <vt:lpstr>FY21-22 Q1-Q2 - Summer-Fall '22</vt:lpstr>
      <vt:lpstr>FY23Q1-Q2 - Back-up Copy</vt:lpstr>
      <vt:lpstr>pass throughs</vt:lpstr>
      <vt:lpstr>Kaist GLP 2021 Budget Final</vt:lpstr>
    </vt:vector>
  </TitlesOfParts>
  <Manager/>
  <Company>Paul Merage School of Business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Davenport, Joseph</dc:creator>
  <cp:keywords/>
  <dc:description/>
  <cp:lastModifiedBy>Mollee Elniski</cp:lastModifiedBy>
  <cp:revision/>
  <dcterms:created xsi:type="dcterms:W3CDTF">2012-06-05T23:31:43Z</dcterms:created>
  <dcterms:modified xsi:type="dcterms:W3CDTF">2023-07-25T23:16:35Z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0x0101000D99CC9D088E8749971BE5E4DFAAAC26</vt:lpwstr>
  </property>
  <property fmtid="{D5CDD505-2E9C-101B-9397-08002B2CF9AE}" pid="3" name="IsMyDocuments">
    <vt:bool>true</vt:bool>
  </property>
  <property fmtid="{D5CDD505-2E9C-101B-9397-08002B2CF9AE}" pid="4" name="Order">
    <vt:r8>440600</vt:r8>
  </property>
  <property fmtid="{D5CDD505-2E9C-101B-9397-08002B2CF9AE}" pid="5" name="ComplianceAssetId">
    <vt:lpwstr/>
  </property>
  <property fmtid="{D5CDD505-2E9C-101B-9397-08002B2CF9AE}" pid="6" name="MediaServiceImageTags">
    <vt:lpwstr/>
  </property>
</Properties>
</file>