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ssue Tracker" sheetId="1" r:id="rId3"/>
    <sheet state="hidden" name="calculations" sheetId="2" r:id="rId4"/>
  </sheets>
  <definedNames>
    <definedName name="type">calculations!$J$9</definedName>
    <definedName name="maxdate">calculations!$J$5</definedName>
    <definedName name="days">calculations!$J$7</definedName>
    <definedName name="mindate">calculations!$J$4</definedName>
    <definedName name="keydate">calculations!$J$8</definedName>
    <definedName name="priority">calculations!$J$10</definedName>
    <definedName name="RowTitleRegion1..J2">'Issue Tracker'!$G$1</definedName>
  </definedNames>
  <calcPr/>
</workbook>
</file>

<file path=xl/sharedStrings.xml><?xml version="1.0" encoding="utf-8"?>
<sst xmlns="http://schemas.openxmlformats.org/spreadsheetml/2006/main" count="308" uniqueCount="124">
  <si>
    <t>*** This sheet should remain hidden ***</t>
  </si>
  <si>
    <t>Min</t>
  </si>
  <si>
    <r>
      <rPr>
        <rFont val="Calibri"/>
        <b/>
        <color rgb="FF5BD2D5"/>
        <sz val="28.0"/>
      </rPr>
      <t>OPEN</t>
    </r>
    <r>
      <rPr>
        <rFont val="Calibri"/>
        <color rgb="FFFFFFFF"/>
        <sz val="28.0"/>
      </rPr>
      <t xml:space="preserve"> vs. </t>
    </r>
    <r>
      <rPr>
        <rFont val="Calibri"/>
        <b/>
        <color rgb="FFFCB606"/>
        <sz val="28.0"/>
      </rPr>
      <t>CLOSED</t>
    </r>
    <r>
      <rPr>
        <rFont val="Calibri"/>
        <color rgb="FFFFFFFF"/>
        <sz val="28.0"/>
      </rPr>
      <t xml:space="preserve"> ISSUE TRACKER</t>
    </r>
  </si>
  <si>
    <t>TYPE</t>
  </si>
  <si>
    <t>PRIORITY</t>
  </si>
  <si>
    <t>DATE</t>
  </si>
  <si>
    <t>LAST (days)</t>
  </si>
  <si>
    <t>Max</t>
  </si>
  <si>
    <t>Days</t>
  </si>
  <si>
    <t>Date</t>
  </si>
  <si>
    <t>Type</t>
  </si>
  <si>
    <t>*</t>
  </si>
  <si>
    <t>Priority</t>
  </si>
  <si>
    <t>Issue Tracker Chart showing Opened vs. Closed issues per day for a given time frame is in cells A2 through J4.</t>
  </si>
  <si>
    <t>Sorted</t>
  </si>
  <si>
    <t>Opened</t>
  </si>
  <si>
    <t>Closed</t>
  </si>
  <si>
    <t>Types</t>
  </si>
  <si>
    <t>Priorities</t>
  </si>
  <si>
    <t>#</t>
  </si>
  <si>
    <t>ISSUE</t>
  </si>
  <si>
    <t>OPENED ON</t>
  </si>
  <si>
    <t>OPENED BY</t>
  </si>
  <si>
    <t>CLOSED ON</t>
  </si>
  <si>
    <t>CLOSED BY</t>
  </si>
  <si>
    <t>NOTES</t>
  </si>
  <si>
    <t>Issue #1</t>
  </si>
  <si>
    <t>Type 2</t>
  </si>
  <si>
    <t>Medium</t>
  </si>
  <si>
    <t>Issue #2</t>
  </si>
  <si>
    <t>Low</t>
  </si>
  <si>
    <t>Issue #3</t>
  </si>
  <si>
    <t>Type 3</t>
  </si>
  <si>
    <t>Issue #4</t>
  </si>
  <si>
    <t>Type 1</t>
  </si>
  <si>
    <t>Issue #5</t>
  </si>
  <si>
    <t>Issue #6</t>
  </si>
  <si>
    <t>Issue #7</t>
  </si>
  <si>
    <t>High</t>
  </si>
  <si>
    <t>Issue #8</t>
  </si>
  <si>
    <t>Issue #9</t>
  </si>
  <si>
    <t>Issue #10</t>
  </si>
  <si>
    <t>Type 4</t>
  </si>
  <si>
    <t>Issue #11</t>
  </si>
  <si>
    <t>Issue #12</t>
  </si>
  <si>
    <t>Issue #13</t>
  </si>
  <si>
    <t>Issue #14</t>
  </si>
  <si>
    <t>Issue #15</t>
  </si>
  <si>
    <t>Issue #16</t>
  </si>
  <si>
    <t>Issue #17</t>
  </si>
  <si>
    <t>Issue #18</t>
  </si>
  <si>
    <t>Issue #19</t>
  </si>
  <si>
    <t>Issue #20</t>
  </si>
  <si>
    <t>Issue #21</t>
  </si>
  <si>
    <t>Issue #22</t>
  </si>
  <si>
    <t>Issue #23</t>
  </si>
  <si>
    <t>Issue #24</t>
  </si>
  <si>
    <t>Issue #25</t>
  </si>
  <si>
    <t>Issue #26</t>
  </si>
  <si>
    <t>Issue #27</t>
  </si>
  <si>
    <t>Issue #28</t>
  </si>
  <si>
    <t>Issue #29</t>
  </si>
  <si>
    <t>Issue #30</t>
  </si>
  <si>
    <t>Issue #31</t>
  </si>
  <si>
    <t>Issue #32</t>
  </si>
  <si>
    <t>Issue #33</t>
  </si>
  <si>
    <t>Issue #34</t>
  </si>
  <si>
    <t>Issue #35</t>
  </si>
  <si>
    <t>Issue #36</t>
  </si>
  <si>
    <t>Issue #37</t>
  </si>
  <si>
    <t>Issue #38</t>
  </si>
  <si>
    <t>Issue #39</t>
  </si>
  <si>
    <t>Issue #40</t>
  </si>
  <si>
    <t>Issue #41</t>
  </si>
  <si>
    <t>Issue #42</t>
  </si>
  <si>
    <t>Issue #43</t>
  </si>
  <si>
    <t>Issue #44</t>
  </si>
  <si>
    <t>Issue #45</t>
  </si>
  <si>
    <t>Issue #46</t>
  </si>
  <si>
    <t>Issue #47</t>
  </si>
  <si>
    <t>Issue #48</t>
  </si>
  <si>
    <t>Issue #49</t>
  </si>
  <si>
    <t>Issue #50</t>
  </si>
  <si>
    <t>Issue #51</t>
  </si>
  <si>
    <t>Issue #52</t>
  </si>
  <si>
    <t>Issue #53</t>
  </si>
  <si>
    <t>Issue #54</t>
  </si>
  <si>
    <t>Issue #55</t>
  </si>
  <si>
    <t>Issue #56</t>
  </si>
  <si>
    <t>Issue #57</t>
  </si>
  <si>
    <t>Issue #58</t>
  </si>
  <si>
    <t>Issue #59</t>
  </si>
  <si>
    <t>Issue #60</t>
  </si>
  <si>
    <t>Issue #61</t>
  </si>
  <si>
    <t>Issue #62</t>
  </si>
  <si>
    <t>Issue #63</t>
  </si>
  <si>
    <t>Issue #64</t>
  </si>
  <si>
    <t>Issue #65</t>
  </si>
  <si>
    <t>Issue #66</t>
  </si>
  <si>
    <t>Issue #67</t>
  </si>
  <si>
    <t>Issue #68</t>
  </si>
  <si>
    <t>Issue #69</t>
  </si>
  <si>
    <t>Issue #70</t>
  </si>
  <si>
    <t>Issue #71</t>
  </si>
  <si>
    <t>Issue #72</t>
  </si>
  <si>
    <t>Issue #73</t>
  </si>
  <si>
    <t>Issue #74</t>
  </si>
  <si>
    <t>Issue #75</t>
  </si>
  <si>
    <t>Issue #76</t>
  </si>
  <si>
    <t>Issue #77</t>
  </si>
  <si>
    <t>Issue #78</t>
  </si>
  <si>
    <t>Issue #79</t>
  </si>
  <si>
    <t>Issue #80</t>
  </si>
  <si>
    <t>Issue #81</t>
  </si>
  <si>
    <t>Issue #82</t>
  </si>
  <si>
    <t>Issue #83</t>
  </si>
  <si>
    <t>Issue #84</t>
  </si>
  <si>
    <t>Issue #85</t>
  </si>
  <si>
    <t>Issue #86</t>
  </si>
  <si>
    <t>Issue #87</t>
  </si>
  <si>
    <t>Issue #88</t>
  </si>
  <si>
    <t>Issue #89</t>
  </si>
  <si>
    <t>Issue #90</t>
  </si>
  <si>
    <t>Issue #91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</si>
</sst>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FFFFFF"/>
      <name val="Calibri"/>
    </font>
    <font>
      <sz val="28.0"/>
      <color rgb="FFFFFFFF"/>
      <name val="Calibri"/>
    </font>
    <font/>
    <font>
      <b/>
      <sz val="19.0"/>
      <color rgb="FFFFFFFF"/>
      <name val="Calibri"/>
    </font>
    <font>
      <sz val="13.0"/>
      <color rgb="FFFFFFFF"/>
      <name val="Calibri"/>
    </font>
    <font>
      <sz val="12.0"/>
      <color rgb="FF595959"/>
      <name val="Calibri"/>
    </font>
    <font>
      <b/>
      <sz val="16.0"/>
      <color rgb="FFFFFFFF"/>
      <name val="Calibri"/>
    </font>
    <font>
      <b/>
      <sz val="16.0"/>
      <color rgb="FF5BD2D5"/>
      <name val="Calibri"/>
    </font>
    <font>
      <b/>
      <sz val="16.0"/>
      <color rgb="FFFCB606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262626"/>
        <bgColor rgb="FF262626"/>
      </patternFill>
    </fill>
  </fills>
  <borders count="12">
    <border>
      <left/>
      <right/>
      <top/>
      <bottom/>
    </border>
    <border>
      <left/>
      <top style="thick">
        <color rgb="FF7F7F7F"/>
      </top>
    </border>
    <border>
      <top style="thick">
        <color rgb="FF7F7F7F"/>
      </top>
    </border>
    <border>
      <right/>
      <top style="thick">
        <color rgb="FF7F7F7F"/>
      </top>
    </border>
    <border>
      <left/>
      <right/>
      <top style="thick">
        <color rgb="FF7F7F7F"/>
      </top>
      <bottom/>
    </border>
    <border>
      <left/>
      <bottom/>
    </border>
    <border>
      <bottom/>
    </border>
    <border>
      <right/>
      <bottom/>
    </border>
    <border>
      <left/>
      <top/>
    </border>
    <border>
      <top/>
    </border>
    <border>
      <right/>
      <top/>
    </border>
    <border/>
  </borders>
  <cellStyleXfs count="1">
    <xf borderId="0" fillId="2" fontId="0" numFmtId="0" applyAlignment="1" applyBorder="1" applyFill="1" applyFont="1"/>
  </cellStyleXfs>
  <cellXfs count="20">
    <xf borderId="0" fillId="2" fontId="0" numFmtId="0" xfId="0" applyAlignment="1" applyBorder="1" applyFill="1" applyFont="1">
      <alignment horizontal="left" readingOrder="0" shrinkToFit="0" vertical="center" wrapText="1"/>
    </xf>
    <xf borderId="0" fillId="2" fontId="0" numFmtId="14" xfId="0" applyAlignment="1" applyBorder="1" applyFill="1" applyFont="1" applyNumberFormat="1">
      <alignment horizontal="left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4" fillId="3" fontId="3" numFmtId="0" xfId="0" applyAlignment="1" applyBorder="1" applyFont="1">
      <alignment horizontal="left" shrinkToFit="0" vertical="bottom" wrapText="0"/>
    </xf>
    <xf borderId="5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0" fillId="3" fontId="4" numFmtId="0" xfId="0" applyAlignment="1" applyBorder="1" applyFont="1">
      <alignment horizontal="left" shrinkToFit="0" vertical="top" wrapText="0"/>
    </xf>
    <xf borderId="0" fillId="3" fontId="4" numFmtId="14" xfId="0" applyAlignment="1" applyBorder="1" applyFont="1" applyNumberFormat="1">
      <alignment horizontal="left" shrinkToFit="0" vertical="top" wrapText="0"/>
    </xf>
    <xf borderId="8" fillId="2" fontId="5" numFmtId="0" xfId="0" applyAlignment="1" applyBorder="1" applyFont="1">
      <alignment horizontal="left" shrinkToFit="0" vertical="bottom" wrapText="0"/>
    </xf>
    <xf borderId="9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0" fillId="2" fontId="6" numFmtId="0" xfId="0" applyAlignment="1" applyBorder="1" applyFont="1">
      <alignment horizontal="left" shrinkToFit="0" vertical="center" wrapText="0"/>
    </xf>
    <xf borderId="0" fillId="2" fontId="7" numFmtId="0" xfId="0" applyAlignment="1" applyBorder="1" applyFont="1">
      <alignment horizontal="left" shrinkToFit="0" vertical="center" wrapText="0"/>
    </xf>
    <xf borderId="0" fillId="2" fontId="8" numFmtId="0" xfId="0" applyAlignment="1" applyBorder="1" applyFont="1">
      <alignment horizontal="left" shrinkToFit="0" vertical="center" wrapText="0"/>
    </xf>
    <xf borderId="11" fillId="0" fontId="2" numFmtId="0" xfId="0" applyAlignment="1" applyFont="1">
      <alignment horizontal="left" shrinkToFit="0" vertical="center" wrapText="1"/>
    </xf>
    <xf borderId="0" fillId="2" fontId="0" numFmtId="14" xfId="0" applyAlignment="1" applyBorder="1" applyFont="1" applyNumberFormat="1">
      <alignment horizontal="left" shrinkToFit="0" vertical="center" wrapText="0"/>
    </xf>
    <xf borderId="0" fillId="2" fontId="0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262626"/>
          <bgColor rgb="FF262626"/>
        </patternFill>
      </fill>
      <border/>
    </dxf>
    <dxf>
      <font/>
      <fill>
        <patternFill patternType="solid">
          <fgColor rgb="FF3F3F3F"/>
          <bgColor rgb="FF3F3F3F"/>
        </patternFill>
      </fill>
      <border/>
    </dxf>
  </dxfs>
  <tableStyles count="1">
    <tableStyle count="3" pivot="0" name="Issue Tracker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0</xdr:col>
      <xdr:colOff>9525</xdr:colOff>
      <xdr:row>2</xdr:row>
      <xdr:rowOff>0</xdr:rowOff>
    </xdr:from>
    <xdr:to>
      <xdr:col>9</xdr:col>
      <xdr:colOff>2076450</xdr:colOff>
      <xdr:row>3</xdr:row>
      <xdr:rowOff>2028825</xdr:rowOff>
    </xdr:to>
    <xdr:grpSp>
      <xdr:nvGrpSpPr>
        <xdr:cNvPr id="2" name="Shape 2"/>
        <xdr:cNvGrpSpPr/>
      </xdr:nvGrpSpPr>
      <xdr:grpSpPr>
        <a:xfrm>
          <a:off x="0" y="1594013"/>
          <a:ext cx="10692000" cy="4371975"/>
          <a:chOff x="0" y="1594013"/>
          <a:chExt cx="10692000" cy="4371975"/>
        </a:xfrm>
      </xdr:grpSpPr>
      <xdr:grpSp>
        <xdr:nvGrpSpPr>
          <xdr:cNvPr descr="Issue Tracker Chart showing Opened vs. Closed issues per day for a given time frame" id="3" name="Shape 3"/>
          <xdr:cNvGrpSpPr/>
        </xdr:nvGrpSpPr>
        <xdr:grpSpPr>
          <a:xfrm>
            <a:off x="0" y="1594013"/>
            <a:ext cx="10692000" cy="4371975"/>
            <a:chOff x="9525" y="831683"/>
            <a:chExt cx="13115925" cy="4378492"/>
          </a:xfrm>
        </xdr:grpSpPr>
        <xdr:sp>
          <xdr:nvSpPr>
            <xdr:cNvPr id="4" name="Shape 4"/>
            <xdr:cNvSpPr/>
          </xdr:nvSpPr>
          <xdr:spPr>
            <a:xfrm>
              <a:off x="9525" y="831683"/>
              <a:ext cx="13115925" cy="43784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5" name="Shape 5"/>
            <xdr:cNvSpPr txBox="1"/>
          </xdr:nvSpPr>
          <xdr:spPr>
            <a:xfrm>
              <a:off x="200025" y="4848225"/>
              <a:ext cx="12868276" cy="361950"/>
            </a:xfrm>
            <a:prstGeom prst="rect">
              <a:avLst/>
            </a:prstGeom>
            <a:solidFill>
              <a:srgbClr val="3F3F3F"/>
            </a:solidFill>
            <a:ln cap="flat" cmpd="sng" w="9525">
              <a:solidFill>
                <a:srgbClr val="7F7F7F"/>
              </a:solidFill>
              <a:prstDash val="solid"/>
              <a:round/>
              <a:headEnd len="sm" w="sm" type="none"/>
              <a:tailEnd len="sm" w="sm" type="none"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</xdr:grpSp>
    </xdr:grp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B5:J96" displayName="Table_1" id="1">
  <tableColumns count="9">
    <tableColumn name="#" id="1"/>
    <tableColumn name="ISSUE" id="2"/>
    <tableColumn name="TYPE" id="3"/>
    <tableColumn name="PRIORITY" id="4"/>
    <tableColumn name="OPENED ON" id="5"/>
    <tableColumn name="OPENED BY" id="6"/>
    <tableColumn name="CLOSED ON" id="7"/>
    <tableColumn name="CLOSED BY" id="8"/>
    <tableColumn name="NOTES" id="9"/>
  </tableColumns>
  <tableStyleInfo name="Issue Tracker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96D1"/>
    <pageSetUpPr fitToPage="1"/>
  </sheetPr>
  <sheetViews>
    <sheetView showGridLines="0" workbookViewId="0"/>
  </sheetViews>
  <sheetFormatPr customHeight="1" defaultColWidth="11.22" defaultRowHeight="15.0"/>
  <cols>
    <col customWidth="1" min="1" max="1" width="2.67"/>
    <col customWidth="1" min="2" max="2" width="6.22"/>
    <col customWidth="1" min="3" max="3" width="27.33"/>
    <col customWidth="1" min="4" max="9" width="18.11"/>
    <col customWidth="1" min="10" max="10" width="27.33"/>
    <col customWidth="1" min="11" max="11" width="2.67"/>
    <col customWidth="1" min="12" max="26" width="8.56"/>
  </cols>
  <sheetData>
    <row r="1" ht="45.0" customHeight="1">
      <c r="B1" s="2" t="s">
        <v>2</v>
      </c>
      <c r="C1" s="3"/>
      <c r="D1" s="3"/>
      <c r="E1" s="3"/>
      <c r="F1" s="4"/>
      <c r="G1" s="5" t="s">
        <v>3</v>
      </c>
      <c r="H1" s="5" t="s">
        <v>4</v>
      </c>
      <c r="I1" s="5" t="s">
        <v>5</v>
      </c>
      <c r="J1" s="5" t="s">
        <v>6</v>
      </c>
    </row>
    <row r="2" ht="20.25" customHeight="1">
      <c r="B2" s="6"/>
      <c r="C2" s="7"/>
      <c r="D2" s="7"/>
      <c r="E2" s="7"/>
      <c r="F2" s="8"/>
      <c r="G2" s="9" t="s">
        <v>11</v>
      </c>
      <c r="H2" s="9" t="s">
        <v>11</v>
      </c>
      <c r="I2" s="10">
        <f>DATE(YEAR(TODAY()),5,30)</f>
        <v>43250</v>
      </c>
      <c r="J2" s="9">
        <v>30.0</v>
      </c>
    </row>
    <row r="3" ht="184.5" customHeight="1">
      <c r="A3" s="11" t="s">
        <v>13</v>
      </c>
      <c r="B3" s="12"/>
      <c r="C3" s="12"/>
      <c r="D3" s="12"/>
      <c r="E3" s="12"/>
      <c r="F3" s="12"/>
      <c r="G3" s="12"/>
      <c r="H3" s="12"/>
      <c r="I3" s="12"/>
      <c r="J3" s="13"/>
    </row>
    <row r="4" ht="184.5" customHeight="1">
      <c r="A4" s="6"/>
      <c r="B4" s="7"/>
      <c r="C4" s="7"/>
      <c r="D4" s="7"/>
      <c r="E4" s="7"/>
      <c r="F4" s="7"/>
      <c r="G4" s="7"/>
      <c r="H4" s="7"/>
      <c r="I4" s="7"/>
      <c r="J4" s="8"/>
    </row>
    <row r="5" ht="30.0" customHeight="1">
      <c r="B5" s="14" t="s">
        <v>19</v>
      </c>
      <c r="C5" s="14" t="s">
        <v>20</v>
      </c>
      <c r="D5" s="14" t="s">
        <v>3</v>
      </c>
      <c r="E5" s="14" t="s">
        <v>4</v>
      </c>
      <c r="F5" s="15" t="s">
        <v>21</v>
      </c>
      <c r="G5" s="14" t="s">
        <v>22</v>
      </c>
      <c r="H5" s="16" t="s">
        <v>23</v>
      </c>
      <c r="I5" s="14" t="s">
        <v>24</v>
      </c>
      <c r="J5" s="14" t="s">
        <v>25</v>
      </c>
    </row>
    <row r="6" ht="30.0" customHeight="1">
      <c r="B6" s="17">
        <v>1.0</v>
      </c>
      <c r="C6" s="17" t="s">
        <v>26</v>
      </c>
      <c r="D6" s="17" t="s">
        <v>27</v>
      </c>
      <c r="E6" s="17" t="s">
        <v>28</v>
      </c>
      <c r="F6" s="18">
        <f t="shared" ref="F6:F7" si="1">DATE(YEAR(TODAY()),2,1)</f>
        <v>43132</v>
      </c>
      <c r="G6" s="17"/>
      <c r="H6" s="18">
        <f>DATE(YEAR(TODAY()),2,4)</f>
        <v>43135</v>
      </c>
      <c r="I6" s="17"/>
      <c r="J6" s="19"/>
    </row>
    <row r="7" ht="30.0" customHeight="1">
      <c r="B7" s="17">
        <v>2.0</v>
      </c>
      <c r="C7" s="17" t="s">
        <v>29</v>
      </c>
      <c r="D7" s="17" t="s">
        <v>27</v>
      </c>
      <c r="E7" s="17" t="s">
        <v>30</v>
      </c>
      <c r="F7" s="18">
        <f t="shared" si="1"/>
        <v>43132</v>
      </c>
      <c r="G7" s="17"/>
      <c r="H7" s="18">
        <f>DATE(YEAR(TODAY()),2,1)</f>
        <v>43132</v>
      </c>
      <c r="I7" s="17"/>
      <c r="J7" s="19"/>
    </row>
    <row r="8" ht="30.0" customHeight="1">
      <c r="B8" s="17">
        <v>3.0</v>
      </c>
      <c r="C8" s="17" t="s">
        <v>31</v>
      </c>
      <c r="D8" s="17" t="s">
        <v>32</v>
      </c>
      <c r="E8" s="17" t="s">
        <v>30</v>
      </c>
      <c r="F8" s="18">
        <f t="shared" ref="F8:F10" si="2">DATE(YEAR(TODAY()),2,4)</f>
        <v>43135</v>
      </c>
      <c r="G8" s="17"/>
      <c r="H8" s="18">
        <f>DATE(YEAR(TODAY()),2,4)</f>
        <v>43135</v>
      </c>
      <c r="I8" s="17"/>
      <c r="J8" s="19"/>
    </row>
    <row r="9" ht="30.0" customHeight="1">
      <c r="B9" s="17">
        <v>4.0</v>
      </c>
      <c r="C9" s="17" t="s">
        <v>33</v>
      </c>
      <c r="D9" s="17" t="s">
        <v>34</v>
      </c>
      <c r="E9" s="17" t="s">
        <v>28</v>
      </c>
      <c r="F9" s="18">
        <f t="shared" si="2"/>
        <v>43135</v>
      </c>
      <c r="G9" s="17"/>
      <c r="H9" s="18">
        <f>DATE(YEAR(TODAY()),2,5)</f>
        <v>43136</v>
      </c>
      <c r="I9" s="17"/>
      <c r="J9" s="19"/>
    </row>
    <row r="10" ht="30.0" customHeight="1">
      <c r="B10" s="17">
        <v>5.0</v>
      </c>
      <c r="C10" s="17" t="s">
        <v>35</v>
      </c>
      <c r="D10" s="17" t="s">
        <v>34</v>
      </c>
      <c r="E10" s="17" t="s">
        <v>28</v>
      </c>
      <c r="F10" s="18">
        <f t="shared" si="2"/>
        <v>43135</v>
      </c>
      <c r="G10" s="17"/>
      <c r="H10" s="18">
        <f>DATE(YEAR(TODAY()),2,4)</f>
        <v>43135</v>
      </c>
      <c r="I10" s="17"/>
      <c r="J10" s="19"/>
    </row>
    <row r="11" ht="30.0" customHeight="1">
      <c r="B11" s="17">
        <v>6.0</v>
      </c>
      <c r="C11" s="17" t="s">
        <v>36</v>
      </c>
      <c r="D11" s="17" t="s">
        <v>34</v>
      </c>
      <c r="E11" s="17" t="s">
        <v>30</v>
      </c>
      <c r="F11" s="18">
        <f t="shared" ref="F11:F14" si="3">DATE(YEAR(TODAY()),2,8)</f>
        <v>43139</v>
      </c>
      <c r="G11" s="17"/>
      <c r="H11" s="18">
        <f>DATE(YEAR(TODAY()),2,8)</f>
        <v>43139</v>
      </c>
      <c r="I11" s="17"/>
      <c r="J11" s="17"/>
    </row>
    <row r="12" ht="30.0" customHeight="1">
      <c r="B12" s="17">
        <v>7.0</v>
      </c>
      <c r="C12" s="17" t="s">
        <v>37</v>
      </c>
      <c r="D12" s="17" t="s">
        <v>34</v>
      </c>
      <c r="E12" s="17" t="s">
        <v>38</v>
      </c>
      <c r="F12" s="18">
        <f t="shared" si="3"/>
        <v>43139</v>
      </c>
      <c r="G12" s="17"/>
      <c r="H12" s="18">
        <f>DATE(YEAR(TODAY()),2,13)</f>
        <v>43144</v>
      </c>
      <c r="I12" s="17"/>
      <c r="J12" s="17"/>
    </row>
    <row r="13" ht="30.0" customHeight="1">
      <c r="B13" s="17">
        <v>8.0</v>
      </c>
      <c r="C13" s="17" t="s">
        <v>39</v>
      </c>
      <c r="D13" s="17" t="s">
        <v>27</v>
      </c>
      <c r="E13" s="17" t="s">
        <v>28</v>
      </c>
      <c r="F13" s="18">
        <f t="shared" si="3"/>
        <v>43139</v>
      </c>
      <c r="G13" s="17"/>
      <c r="H13" s="18">
        <f t="shared" ref="H13:H14" si="4">DATE(YEAR(TODAY()),2,11)</f>
        <v>43142</v>
      </c>
      <c r="I13" s="17"/>
      <c r="J13" s="17"/>
    </row>
    <row r="14" ht="30.0" customHeight="1">
      <c r="B14" s="17">
        <v>9.0</v>
      </c>
      <c r="C14" s="17" t="s">
        <v>40</v>
      </c>
      <c r="D14" s="17" t="s">
        <v>32</v>
      </c>
      <c r="E14" s="17" t="s">
        <v>28</v>
      </c>
      <c r="F14" s="18">
        <f t="shared" si="3"/>
        <v>43139</v>
      </c>
      <c r="G14" s="17"/>
      <c r="H14" s="18">
        <f t="shared" si="4"/>
        <v>43142</v>
      </c>
      <c r="I14" s="17"/>
      <c r="J14" s="17"/>
    </row>
    <row r="15" ht="30.0" customHeight="1">
      <c r="B15" s="17">
        <v>10.0</v>
      </c>
      <c r="C15" s="17" t="s">
        <v>41</v>
      </c>
      <c r="D15" s="17" t="s">
        <v>42</v>
      </c>
      <c r="E15" s="17" t="s">
        <v>38</v>
      </c>
      <c r="F15" s="18">
        <f t="shared" ref="F15:F16" si="5">DATE(YEAR(TODAY()),2,12)</f>
        <v>43143</v>
      </c>
      <c r="G15" s="17"/>
      <c r="H15" s="18">
        <f>DATE(YEAR(TODAY()),2,12)</f>
        <v>43143</v>
      </c>
      <c r="I15" s="17"/>
      <c r="J15" s="17"/>
    </row>
    <row r="16" ht="30.0" customHeight="1">
      <c r="B16" s="17">
        <v>11.0</v>
      </c>
      <c r="C16" s="17" t="s">
        <v>43</v>
      </c>
      <c r="D16" s="17" t="s">
        <v>27</v>
      </c>
      <c r="E16" s="17" t="s">
        <v>28</v>
      </c>
      <c r="F16" s="18">
        <f t="shared" si="5"/>
        <v>43143</v>
      </c>
      <c r="G16" s="17"/>
      <c r="H16" s="18">
        <f>DATE(YEAR(TODAY()),2,13)</f>
        <v>43144</v>
      </c>
      <c r="I16" s="17"/>
      <c r="J16" s="17"/>
    </row>
    <row r="17" ht="30.0" customHeight="1">
      <c r="B17" s="17">
        <v>12.0</v>
      </c>
      <c r="C17" s="17" t="s">
        <v>44</v>
      </c>
      <c r="D17" s="17" t="s">
        <v>34</v>
      </c>
      <c r="E17" s="17" t="s">
        <v>38</v>
      </c>
      <c r="F17" s="18">
        <f>DATE(YEAR(TODAY()),2,15)</f>
        <v>43146</v>
      </c>
      <c r="G17" s="17"/>
      <c r="H17" s="18">
        <f>DATE(YEAR(TODAY()),2,18)</f>
        <v>43149</v>
      </c>
      <c r="I17" s="17"/>
      <c r="J17" s="17"/>
    </row>
    <row r="18" ht="30.0" customHeight="1">
      <c r="B18" s="17">
        <v>13.0</v>
      </c>
      <c r="C18" s="17" t="s">
        <v>45</v>
      </c>
      <c r="D18" s="17" t="s">
        <v>27</v>
      </c>
      <c r="E18" s="17" t="s">
        <v>38</v>
      </c>
      <c r="F18" s="18">
        <f>DATE(YEAR(TODAY()),2,20)</f>
        <v>43151</v>
      </c>
      <c r="G18" s="17"/>
      <c r="H18" s="18">
        <f>DATE(YEAR(TODAY()),2,20)</f>
        <v>43151</v>
      </c>
      <c r="I18" s="17"/>
      <c r="J18" s="17"/>
    </row>
    <row r="19" ht="30.0" customHeight="1">
      <c r="B19" s="17">
        <v>14.0</v>
      </c>
      <c r="C19" s="17" t="s">
        <v>46</v>
      </c>
      <c r="D19" s="17" t="s">
        <v>27</v>
      </c>
      <c r="E19" s="17" t="s">
        <v>38</v>
      </c>
      <c r="F19" s="18">
        <f>DATE(YEAR(TODAY()),2,23)</f>
        <v>43154</v>
      </c>
      <c r="G19" s="17"/>
      <c r="H19" s="18">
        <f>DATE(YEAR(TODAY()),2,23)</f>
        <v>43154</v>
      </c>
      <c r="I19" s="17"/>
      <c r="J19" s="17"/>
    </row>
    <row r="20" ht="30.0" customHeight="1">
      <c r="B20" s="17">
        <v>15.0</v>
      </c>
      <c r="C20" s="17" t="s">
        <v>47</v>
      </c>
      <c r="D20" s="17" t="s">
        <v>27</v>
      </c>
      <c r="E20" s="17" t="s">
        <v>30</v>
      </c>
      <c r="F20" s="18">
        <f t="shared" ref="F20:F22" si="6">DATE(YEAR(TODAY()),2,26)</f>
        <v>43157</v>
      </c>
      <c r="G20" s="17"/>
      <c r="H20" s="18">
        <f>DATE(YEAR(TODAY()),2,27)</f>
        <v>43158</v>
      </c>
      <c r="I20" s="17"/>
      <c r="J20" s="17"/>
    </row>
    <row r="21" ht="30.0" customHeight="1">
      <c r="B21" s="17">
        <v>16.0</v>
      </c>
      <c r="C21" s="17" t="s">
        <v>48</v>
      </c>
      <c r="D21" s="17" t="s">
        <v>42</v>
      </c>
      <c r="E21" s="17" t="s">
        <v>28</v>
      </c>
      <c r="F21" s="18">
        <f t="shared" si="6"/>
        <v>43157</v>
      </c>
      <c r="G21" s="17"/>
      <c r="H21" s="18">
        <f t="shared" ref="H21:H22" si="7">DATE(YEAR(TODAY()),2,26)</f>
        <v>43157</v>
      </c>
      <c r="I21" s="17"/>
      <c r="J21" s="17"/>
    </row>
    <row r="22" ht="30.0" customHeight="1">
      <c r="B22" s="17">
        <v>17.0</v>
      </c>
      <c r="C22" s="17" t="s">
        <v>49</v>
      </c>
      <c r="D22" s="17" t="s">
        <v>27</v>
      </c>
      <c r="E22" s="17" t="s">
        <v>30</v>
      </c>
      <c r="F22" s="18">
        <f t="shared" si="6"/>
        <v>43157</v>
      </c>
      <c r="G22" s="17"/>
      <c r="H22" s="18">
        <f t="shared" si="7"/>
        <v>43157</v>
      </c>
      <c r="I22" s="17"/>
      <c r="J22" s="17"/>
    </row>
    <row r="23" ht="30.0" customHeight="1">
      <c r="B23" s="17">
        <v>18.0</v>
      </c>
      <c r="C23" s="17" t="s">
        <v>50</v>
      </c>
      <c r="D23" s="17" t="s">
        <v>32</v>
      </c>
      <c r="E23" s="17" t="s">
        <v>38</v>
      </c>
      <c r="F23" s="18">
        <f t="shared" ref="F23:F24" si="8">DATE(YEAR(TODAY()),2,27)</f>
        <v>43158</v>
      </c>
      <c r="G23" s="17"/>
      <c r="H23" s="18">
        <f t="shared" ref="H23:H24" si="9">DATE(YEAR(TODAY()),2,27)</f>
        <v>43158</v>
      </c>
      <c r="I23" s="17"/>
      <c r="J23" s="17"/>
    </row>
    <row r="24" ht="30.0" customHeight="1">
      <c r="B24" s="17">
        <v>19.0</v>
      </c>
      <c r="C24" s="17" t="s">
        <v>51</v>
      </c>
      <c r="D24" s="17" t="s">
        <v>27</v>
      </c>
      <c r="E24" s="17" t="s">
        <v>30</v>
      </c>
      <c r="F24" s="18">
        <f t="shared" si="8"/>
        <v>43158</v>
      </c>
      <c r="G24" s="17"/>
      <c r="H24" s="18">
        <f t="shared" si="9"/>
        <v>43158</v>
      </c>
      <c r="I24" s="17"/>
      <c r="J24" s="17"/>
    </row>
    <row r="25" ht="30.0" customHeight="1">
      <c r="B25" s="17">
        <v>20.0</v>
      </c>
      <c r="C25" s="17" t="s">
        <v>52</v>
      </c>
      <c r="D25" s="17" t="s">
        <v>32</v>
      </c>
      <c r="E25" s="17" t="s">
        <v>30</v>
      </c>
      <c r="F25" s="18">
        <f t="shared" ref="F25:F27" si="10">DATE(YEAR(TODAY()),3,4)</f>
        <v>43163</v>
      </c>
      <c r="G25" s="17"/>
      <c r="H25" s="18">
        <f>DATE(YEAR(TODAY()),3,4)</f>
        <v>43163</v>
      </c>
      <c r="I25" s="17"/>
      <c r="J25" s="17"/>
    </row>
    <row r="26" ht="30.0" customHeight="1">
      <c r="B26" s="17">
        <v>21.0</v>
      </c>
      <c r="C26" s="17" t="s">
        <v>53</v>
      </c>
      <c r="D26" s="17" t="s">
        <v>42</v>
      </c>
      <c r="E26" s="17" t="s">
        <v>30</v>
      </c>
      <c r="F26" s="18">
        <f t="shared" si="10"/>
        <v>43163</v>
      </c>
      <c r="G26" s="17"/>
      <c r="H26" s="18">
        <f>DATE(YEAR(TODAY()),3,7)</f>
        <v>43166</v>
      </c>
      <c r="I26" s="17"/>
      <c r="J26" s="17"/>
    </row>
    <row r="27" ht="30.0" customHeight="1">
      <c r="B27" s="17">
        <v>22.0</v>
      </c>
      <c r="C27" s="17" t="s">
        <v>54</v>
      </c>
      <c r="D27" s="17" t="s">
        <v>32</v>
      </c>
      <c r="E27" s="17" t="s">
        <v>30</v>
      </c>
      <c r="F27" s="18">
        <f t="shared" si="10"/>
        <v>43163</v>
      </c>
      <c r="G27" s="17"/>
      <c r="H27" s="18">
        <f>DATE(YEAR(TODAY()),3,9)</f>
        <v>43168</v>
      </c>
      <c r="I27" s="17"/>
      <c r="J27" s="17"/>
    </row>
    <row r="28" ht="30.0" customHeight="1">
      <c r="B28" s="17">
        <v>23.0</v>
      </c>
      <c r="C28" s="17" t="s">
        <v>55</v>
      </c>
      <c r="D28" s="17" t="s">
        <v>32</v>
      </c>
      <c r="E28" s="17" t="s">
        <v>28</v>
      </c>
      <c r="F28" s="18">
        <f t="shared" ref="F28:F29" si="11">DATE(YEAR(TODAY()),3,5)</f>
        <v>43164</v>
      </c>
      <c r="G28" s="17"/>
      <c r="H28" s="18">
        <f t="shared" ref="H28:H29" si="12">DATE(YEAR(TODAY()),3,5)</f>
        <v>43164</v>
      </c>
      <c r="I28" s="17"/>
      <c r="J28" s="17"/>
    </row>
    <row r="29" ht="30.0" customHeight="1">
      <c r="B29" s="17">
        <v>24.0</v>
      </c>
      <c r="C29" s="17" t="s">
        <v>56</v>
      </c>
      <c r="D29" s="17" t="s">
        <v>32</v>
      </c>
      <c r="E29" s="17" t="s">
        <v>28</v>
      </c>
      <c r="F29" s="18">
        <f t="shared" si="11"/>
        <v>43164</v>
      </c>
      <c r="G29" s="17"/>
      <c r="H29" s="18">
        <f t="shared" si="12"/>
        <v>43164</v>
      </c>
      <c r="I29" s="17"/>
      <c r="J29" s="17"/>
    </row>
    <row r="30" ht="30.0" customHeight="1">
      <c r="B30" s="17">
        <v>25.0</v>
      </c>
      <c r="C30" s="17" t="s">
        <v>57</v>
      </c>
      <c r="D30" s="17" t="s">
        <v>34</v>
      </c>
      <c r="E30" s="17" t="s">
        <v>38</v>
      </c>
      <c r="F30" s="18">
        <f t="shared" ref="F30:F32" si="13">DATE(YEAR(TODAY()),3,6)</f>
        <v>43165</v>
      </c>
      <c r="G30" s="17"/>
      <c r="H30" s="18">
        <f>DATE(YEAR(TODAY()),3,10)</f>
        <v>43169</v>
      </c>
      <c r="I30" s="17"/>
      <c r="J30" s="17"/>
    </row>
    <row r="31" ht="30.0" customHeight="1">
      <c r="B31" s="17">
        <v>26.0</v>
      </c>
      <c r="C31" s="17" t="s">
        <v>58</v>
      </c>
      <c r="D31" s="17" t="s">
        <v>34</v>
      </c>
      <c r="E31" s="17" t="s">
        <v>38</v>
      </c>
      <c r="F31" s="18">
        <f t="shared" si="13"/>
        <v>43165</v>
      </c>
      <c r="G31" s="17"/>
      <c r="H31" s="18">
        <f t="shared" ref="H31:H32" si="14">DATE(YEAR(TODAY()),3,8)</f>
        <v>43167</v>
      </c>
      <c r="I31" s="17"/>
      <c r="J31" s="17"/>
    </row>
    <row r="32" ht="30.0" customHeight="1">
      <c r="B32" s="17">
        <v>27.0</v>
      </c>
      <c r="C32" s="17" t="s">
        <v>59</v>
      </c>
      <c r="D32" s="17" t="s">
        <v>34</v>
      </c>
      <c r="E32" s="17" t="s">
        <v>38</v>
      </c>
      <c r="F32" s="18">
        <f t="shared" si="13"/>
        <v>43165</v>
      </c>
      <c r="G32" s="17"/>
      <c r="H32" s="18">
        <f t="shared" si="14"/>
        <v>43167</v>
      </c>
      <c r="I32" s="17"/>
      <c r="J32" s="17"/>
    </row>
    <row r="33" ht="30.0" customHeight="1">
      <c r="B33" s="17">
        <v>28.0</v>
      </c>
      <c r="C33" s="17" t="s">
        <v>60</v>
      </c>
      <c r="D33" s="17" t="s">
        <v>42</v>
      </c>
      <c r="E33" s="17" t="s">
        <v>30</v>
      </c>
      <c r="F33" s="18">
        <f>DATE(YEAR(TODAY()),3,11)</f>
        <v>43170</v>
      </c>
      <c r="G33" s="17"/>
      <c r="H33" s="18">
        <f>DATE(YEAR(TODAY()),3,12)</f>
        <v>43171</v>
      </c>
      <c r="I33" s="17"/>
      <c r="J33" s="17"/>
    </row>
    <row r="34" ht="30.0" customHeight="1">
      <c r="B34" s="17">
        <v>29.0</v>
      </c>
      <c r="C34" s="17" t="s">
        <v>61</v>
      </c>
      <c r="D34" s="17" t="s">
        <v>32</v>
      </c>
      <c r="E34" s="17" t="s">
        <v>30</v>
      </c>
      <c r="F34" s="18">
        <f t="shared" ref="F34:F35" si="15">DATE(YEAR(TODAY()),3,12)</f>
        <v>43171</v>
      </c>
      <c r="G34" s="17"/>
      <c r="H34" s="18">
        <f t="shared" ref="H34:H35" si="16">DATE(YEAR(TODAY()),3,13)</f>
        <v>43172</v>
      </c>
      <c r="I34" s="17"/>
      <c r="J34" s="17"/>
    </row>
    <row r="35" ht="30.0" customHeight="1">
      <c r="B35" s="17">
        <v>30.0</v>
      </c>
      <c r="C35" s="17" t="s">
        <v>62</v>
      </c>
      <c r="D35" s="17" t="s">
        <v>27</v>
      </c>
      <c r="E35" s="17" t="s">
        <v>28</v>
      </c>
      <c r="F35" s="18">
        <f t="shared" si="15"/>
        <v>43171</v>
      </c>
      <c r="G35" s="17"/>
      <c r="H35" s="18">
        <f t="shared" si="16"/>
        <v>43172</v>
      </c>
      <c r="I35" s="17"/>
      <c r="J35" s="17"/>
    </row>
    <row r="36" ht="30.0" customHeight="1">
      <c r="B36" s="17">
        <v>31.0</v>
      </c>
      <c r="C36" s="17" t="s">
        <v>63</v>
      </c>
      <c r="D36" s="17" t="s">
        <v>42</v>
      </c>
      <c r="E36" s="17" t="s">
        <v>28</v>
      </c>
      <c r="F36" s="18">
        <f>DATE(YEAR(TODAY()),3,17)</f>
        <v>43176</v>
      </c>
      <c r="G36" s="17"/>
      <c r="H36" s="18">
        <f>DATE(YEAR(TODAY()),3,19)</f>
        <v>43178</v>
      </c>
      <c r="I36" s="17"/>
      <c r="J36" s="17"/>
    </row>
    <row r="37" ht="30.0" customHeight="1">
      <c r="B37" s="17">
        <v>32.0</v>
      </c>
      <c r="C37" s="17" t="s">
        <v>64</v>
      </c>
      <c r="D37" s="17" t="s">
        <v>42</v>
      </c>
      <c r="E37" s="17" t="s">
        <v>30</v>
      </c>
      <c r="F37" s="18">
        <f>DATE(YEAR(TODAY()),3,21)</f>
        <v>43180</v>
      </c>
      <c r="G37" s="17"/>
      <c r="H37" s="18">
        <f t="shared" ref="H37:H38" si="17">DATE(YEAR(TODAY()),3,26)</f>
        <v>43185</v>
      </c>
      <c r="I37" s="17"/>
      <c r="J37" s="17"/>
    </row>
    <row r="38" ht="30.0" customHeight="1">
      <c r="B38" s="17">
        <v>33.0</v>
      </c>
      <c r="C38" s="17" t="s">
        <v>65</v>
      </c>
      <c r="D38" s="17" t="s">
        <v>42</v>
      </c>
      <c r="E38" s="17" t="s">
        <v>30</v>
      </c>
      <c r="F38" s="18">
        <f t="shared" ref="F38:F39" si="18">DATE(YEAR(TODAY()),3,25)</f>
        <v>43184</v>
      </c>
      <c r="G38" s="17"/>
      <c r="H38" s="18">
        <f t="shared" si="17"/>
        <v>43185</v>
      </c>
      <c r="I38" s="17"/>
      <c r="J38" s="17"/>
    </row>
    <row r="39" ht="30.0" customHeight="1">
      <c r="B39" s="17">
        <v>34.0</v>
      </c>
      <c r="C39" s="17" t="s">
        <v>66</v>
      </c>
      <c r="D39" s="17" t="s">
        <v>32</v>
      </c>
      <c r="E39" s="17" t="s">
        <v>30</v>
      </c>
      <c r="F39" s="18">
        <f t="shared" si="18"/>
        <v>43184</v>
      </c>
      <c r="G39" s="17"/>
      <c r="H39" s="18">
        <f>DATE(YEAR(TODAY()),3,30)</f>
        <v>43189</v>
      </c>
      <c r="I39" s="17"/>
      <c r="J39" s="17"/>
    </row>
    <row r="40" ht="30.0" customHeight="1">
      <c r="B40" s="17">
        <v>35.0</v>
      </c>
      <c r="C40" s="17" t="s">
        <v>67</v>
      </c>
      <c r="D40" s="17" t="s">
        <v>34</v>
      </c>
      <c r="E40" s="17" t="s">
        <v>30</v>
      </c>
      <c r="F40" s="18">
        <f>DATE(YEAR(TODAY()),3,29)</f>
        <v>43188</v>
      </c>
      <c r="G40" s="17"/>
      <c r="H40" s="18">
        <f>DATE(YEAR(TODAY()),3,29)</f>
        <v>43188</v>
      </c>
      <c r="I40" s="17"/>
      <c r="J40" s="17"/>
    </row>
    <row r="41" ht="30.0" customHeight="1">
      <c r="B41" s="17">
        <v>36.0</v>
      </c>
      <c r="C41" s="17" t="s">
        <v>68</v>
      </c>
      <c r="D41" s="17" t="s">
        <v>42</v>
      </c>
      <c r="E41" s="17" t="s">
        <v>28</v>
      </c>
      <c r="F41" s="18">
        <f>DATE(YEAR(TODAY()),3,31)</f>
        <v>43190</v>
      </c>
      <c r="G41" s="17"/>
      <c r="H41" s="18">
        <f>DATE(YEAR(TODAY()),4,4)</f>
        <v>43194</v>
      </c>
      <c r="I41" s="17"/>
      <c r="J41" s="17"/>
    </row>
    <row r="42" ht="30.0" customHeight="1">
      <c r="B42" s="17">
        <v>37.0</v>
      </c>
      <c r="C42" s="17" t="s">
        <v>69</v>
      </c>
      <c r="D42" s="17" t="s">
        <v>42</v>
      </c>
      <c r="E42" s="17" t="s">
        <v>28</v>
      </c>
      <c r="F42" s="18">
        <f>DATE(YEAR(TODAY()),4,5)</f>
        <v>43195</v>
      </c>
      <c r="G42" s="17"/>
      <c r="H42" s="18">
        <f>DATE(YEAR(TODAY()),4,6)</f>
        <v>43196</v>
      </c>
      <c r="I42" s="17"/>
      <c r="J42" s="17"/>
    </row>
    <row r="43" ht="30.0" customHeight="1">
      <c r="B43" s="17">
        <v>38.0</v>
      </c>
      <c r="C43" s="17" t="s">
        <v>70</v>
      </c>
      <c r="D43" s="17" t="s">
        <v>27</v>
      </c>
      <c r="E43" s="17" t="s">
        <v>38</v>
      </c>
      <c r="F43" s="18">
        <f>DATE(YEAR(TODAY()),4,9)</f>
        <v>43199</v>
      </c>
      <c r="G43" s="17"/>
      <c r="H43" s="18">
        <f>DATE(YEAR(TODAY()),4,14)</f>
        <v>43204</v>
      </c>
      <c r="I43" s="17"/>
      <c r="J43" s="17"/>
    </row>
    <row r="44" ht="30.0" customHeight="1">
      <c r="B44" s="17">
        <v>39.0</v>
      </c>
      <c r="C44" s="17" t="s">
        <v>71</v>
      </c>
      <c r="D44" s="17" t="s">
        <v>42</v>
      </c>
      <c r="E44" s="17" t="s">
        <v>30</v>
      </c>
      <c r="F44" s="18">
        <f t="shared" ref="F44:F45" si="19">DATE(YEAR(TODAY()),4,10)</f>
        <v>43200</v>
      </c>
      <c r="G44" s="17"/>
      <c r="H44" s="18">
        <f>DATE(YEAR(TODAY()),4,12)</f>
        <v>43202</v>
      </c>
      <c r="I44" s="17"/>
      <c r="J44" s="17"/>
    </row>
    <row r="45" ht="30.0" customHeight="1">
      <c r="B45" s="17">
        <v>40.0</v>
      </c>
      <c r="C45" s="17" t="s">
        <v>72</v>
      </c>
      <c r="D45" s="17" t="s">
        <v>32</v>
      </c>
      <c r="E45" s="17" t="s">
        <v>30</v>
      </c>
      <c r="F45" s="18">
        <f t="shared" si="19"/>
        <v>43200</v>
      </c>
      <c r="G45" s="17"/>
      <c r="H45" s="18">
        <f t="shared" ref="H45:H46" si="20">DATE(YEAR(TODAY()),4,13)</f>
        <v>43203</v>
      </c>
      <c r="I45" s="17"/>
      <c r="J45" s="17"/>
    </row>
    <row r="46" ht="30.0" customHeight="1">
      <c r="B46" s="17">
        <v>41.0</v>
      </c>
      <c r="C46" s="17" t="s">
        <v>73</v>
      </c>
      <c r="D46" s="17" t="s">
        <v>42</v>
      </c>
      <c r="E46" s="17" t="s">
        <v>30</v>
      </c>
      <c r="F46" s="18">
        <f>DATE(YEAR(TODAY()),4,12)</f>
        <v>43202</v>
      </c>
      <c r="G46" s="17"/>
      <c r="H46" s="18">
        <f t="shared" si="20"/>
        <v>43203</v>
      </c>
      <c r="I46" s="17"/>
      <c r="J46" s="17"/>
    </row>
    <row r="47" ht="30.0" customHeight="1">
      <c r="B47" s="17">
        <v>42.0</v>
      </c>
      <c r="C47" s="17" t="s">
        <v>74</v>
      </c>
      <c r="D47" s="17" t="s">
        <v>34</v>
      </c>
      <c r="E47" s="17" t="s">
        <v>28</v>
      </c>
      <c r="F47" s="18">
        <f>DATE(YEAR(TODAY()),4,16)</f>
        <v>43206</v>
      </c>
      <c r="G47" s="17"/>
      <c r="H47" s="18">
        <f>DATE(YEAR(TODAY()),4,16)</f>
        <v>43206</v>
      </c>
      <c r="I47" s="17"/>
      <c r="J47" s="17"/>
    </row>
    <row r="48" ht="30.0" customHeight="1">
      <c r="B48" s="17">
        <v>43.0</v>
      </c>
      <c r="C48" s="17" t="s">
        <v>75</v>
      </c>
      <c r="D48" s="17" t="s">
        <v>27</v>
      </c>
      <c r="E48" s="17" t="s">
        <v>28</v>
      </c>
      <c r="F48" s="18">
        <f t="shared" ref="F48:F49" si="21">DATE(YEAR(TODAY()),4,18)</f>
        <v>43208</v>
      </c>
      <c r="G48" s="17"/>
      <c r="H48" s="18">
        <f>DATE(YEAR(TODAY()),4,18)</f>
        <v>43208</v>
      </c>
      <c r="I48" s="17"/>
      <c r="J48" s="17"/>
    </row>
    <row r="49" ht="30.0" customHeight="1">
      <c r="B49" s="17">
        <v>44.0</v>
      </c>
      <c r="C49" s="17" t="s">
        <v>76</v>
      </c>
      <c r="D49" s="17" t="s">
        <v>34</v>
      </c>
      <c r="E49" s="17" t="s">
        <v>28</v>
      </c>
      <c r="F49" s="18">
        <f t="shared" si="21"/>
        <v>43208</v>
      </c>
      <c r="G49" s="17"/>
      <c r="H49" s="18">
        <f>DATE(YEAR(TODAY()),4,22)</f>
        <v>43212</v>
      </c>
      <c r="I49" s="17"/>
      <c r="J49" s="17"/>
    </row>
    <row r="50" ht="30.0" customHeight="1">
      <c r="B50" s="17">
        <v>45.0</v>
      </c>
      <c r="C50" s="17" t="s">
        <v>77</v>
      </c>
      <c r="D50" s="17" t="s">
        <v>34</v>
      </c>
      <c r="E50" s="17" t="s">
        <v>28</v>
      </c>
      <c r="F50" s="18">
        <f>DATE(YEAR(TODAY()),4,22)</f>
        <v>43212</v>
      </c>
      <c r="G50" s="17"/>
      <c r="H50" s="18">
        <f>DATE(YEAR(TODAY()),4,23)</f>
        <v>43213</v>
      </c>
      <c r="I50" s="17"/>
      <c r="J50" s="17"/>
    </row>
    <row r="51" ht="30.0" customHeight="1">
      <c r="B51" s="17">
        <v>46.0</v>
      </c>
      <c r="C51" s="17" t="s">
        <v>78</v>
      </c>
      <c r="D51" s="17" t="s">
        <v>27</v>
      </c>
      <c r="E51" s="17" t="s">
        <v>38</v>
      </c>
      <c r="F51" s="18">
        <f>DATE(YEAR(TODAY()),4,23)</f>
        <v>43213</v>
      </c>
      <c r="G51" s="17"/>
      <c r="H51" s="18">
        <f>DATE(YEAR(TODAY()),4,24)</f>
        <v>43214</v>
      </c>
      <c r="I51" s="17"/>
      <c r="J51" s="17"/>
    </row>
    <row r="52" ht="30.0" customHeight="1">
      <c r="B52" s="17">
        <v>47.0</v>
      </c>
      <c r="C52" s="17" t="s">
        <v>79</v>
      </c>
      <c r="D52" s="17" t="s">
        <v>34</v>
      </c>
      <c r="E52" s="17" t="s">
        <v>28</v>
      </c>
      <c r="F52" s="18">
        <f>DATE(YEAR(TODAY()),4,25)</f>
        <v>43215</v>
      </c>
      <c r="G52" s="17"/>
      <c r="H52" s="18">
        <f>DATE(YEAR(TODAY()),4,25)</f>
        <v>43215</v>
      </c>
      <c r="I52" s="17"/>
      <c r="J52" s="17"/>
    </row>
    <row r="53" ht="30.0" customHeight="1">
      <c r="B53" s="17">
        <v>48.0</v>
      </c>
      <c r="C53" s="17" t="s">
        <v>80</v>
      </c>
      <c r="D53" s="17" t="s">
        <v>32</v>
      </c>
      <c r="E53" s="17" t="s">
        <v>28</v>
      </c>
      <c r="F53" s="18">
        <f>DATE(YEAR(TODAY()),4,30)</f>
        <v>43220</v>
      </c>
      <c r="G53" s="17"/>
      <c r="H53" s="18">
        <f>DATE(YEAR(TODAY()),5,1)</f>
        <v>43221</v>
      </c>
      <c r="I53" s="17"/>
      <c r="J53" s="17"/>
    </row>
    <row r="54" ht="30.0" customHeight="1">
      <c r="B54" s="17">
        <v>49.0</v>
      </c>
      <c r="C54" s="17" t="s">
        <v>81</v>
      </c>
      <c r="D54" s="17" t="s">
        <v>34</v>
      </c>
      <c r="E54" s="17" t="s">
        <v>28</v>
      </c>
      <c r="F54" s="18">
        <f t="shared" ref="F54:F55" si="22">DATE(YEAR(TODAY()),5,5)</f>
        <v>43225</v>
      </c>
      <c r="G54" s="17"/>
      <c r="H54" s="18">
        <f>DATE(YEAR(TODAY()),5,5)</f>
        <v>43225</v>
      </c>
      <c r="I54" s="17"/>
      <c r="J54" s="17"/>
    </row>
    <row r="55" ht="30.0" customHeight="1">
      <c r="B55" s="17">
        <v>50.0</v>
      </c>
      <c r="C55" s="17" t="s">
        <v>82</v>
      </c>
      <c r="D55" s="17" t="s">
        <v>27</v>
      </c>
      <c r="E55" s="17" t="s">
        <v>28</v>
      </c>
      <c r="F55" s="18">
        <f t="shared" si="22"/>
        <v>43225</v>
      </c>
      <c r="G55" s="17"/>
      <c r="H55" s="18">
        <f>DATE(YEAR(TODAY()),5,9)</f>
        <v>43229</v>
      </c>
      <c r="I55" s="17"/>
      <c r="J55" s="17"/>
    </row>
    <row r="56" ht="30.0" customHeight="1">
      <c r="B56" s="17">
        <v>51.0</v>
      </c>
      <c r="C56" s="17" t="s">
        <v>83</v>
      </c>
      <c r="D56" s="17" t="s">
        <v>27</v>
      </c>
      <c r="E56" s="17" t="s">
        <v>38</v>
      </c>
      <c r="F56" s="18">
        <f>DATE(YEAR(TODAY()),5,8)</f>
        <v>43228</v>
      </c>
      <c r="G56" s="17"/>
      <c r="H56" s="18">
        <f>DATE(YEAR(TODAY()),5,12)</f>
        <v>43232</v>
      </c>
      <c r="I56" s="17"/>
      <c r="J56" s="17"/>
    </row>
    <row r="57" ht="30.0" customHeight="1">
      <c r="B57" s="17">
        <v>52.0</v>
      </c>
      <c r="C57" s="17" t="s">
        <v>84</v>
      </c>
      <c r="D57" s="17" t="s">
        <v>32</v>
      </c>
      <c r="E57" s="17" t="s">
        <v>30</v>
      </c>
      <c r="F57" s="18">
        <f t="shared" ref="F57:F58" si="23">DATE(YEAR(TODAY()),5,11)</f>
        <v>43231</v>
      </c>
      <c r="G57" s="17"/>
      <c r="H57" s="18">
        <f>DATE(YEAR(TODAY()),5,14)</f>
        <v>43234</v>
      </c>
      <c r="I57" s="17"/>
      <c r="J57" s="17"/>
    </row>
    <row r="58" ht="30.0" customHeight="1">
      <c r="B58" s="17">
        <v>53.0</v>
      </c>
      <c r="C58" s="17" t="s">
        <v>85</v>
      </c>
      <c r="D58" s="17" t="s">
        <v>42</v>
      </c>
      <c r="E58" s="17" t="s">
        <v>28</v>
      </c>
      <c r="F58" s="18">
        <f t="shared" si="23"/>
        <v>43231</v>
      </c>
      <c r="G58" s="17"/>
      <c r="H58" s="18">
        <f>DATE(YEAR(TODAY()),5,11)</f>
        <v>43231</v>
      </c>
      <c r="I58" s="17"/>
      <c r="J58" s="17"/>
    </row>
    <row r="59" ht="30.0" customHeight="1">
      <c r="B59" s="17">
        <v>54.0</v>
      </c>
      <c r="C59" s="17" t="s">
        <v>86</v>
      </c>
      <c r="D59" s="17" t="s">
        <v>34</v>
      </c>
      <c r="E59" s="17" t="s">
        <v>30</v>
      </c>
      <c r="F59" s="18">
        <f>DATE(YEAR(TODAY()),5,12)</f>
        <v>43232</v>
      </c>
      <c r="G59" s="17"/>
      <c r="H59" s="18">
        <f>DATE(YEAR(TODAY()),5,12)</f>
        <v>43232</v>
      </c>
      <c r="I59" s="17"/>
      <c r="J59" s="17"/>
    </row>
    <row r="60" ht="30.0" customHeight="1">
      <c r="B60" s="17">
        <v>55.0</v>
      </c>
      <c r="C60" s="17" t="s">
        <v>87</v>
      </c>
      <c r="D60" s="17" t="s">
        <v>34</v>
      </c>
      <c r="E60" s="17" t="s">
        <v>30</v>
      </c>
      <c r="F60" s="18">
        <f>DATE(YEAR(TODAY()),5,15)</f>
        <v>43235</v>
      </c>
      <c r="G60" s="17"/>
      <c r="H60" s="18">
        <f>DATE(YEAR(TODAY()),5,15)</f>
        <v>43235</v>
      </c>
      <c r="I60" s="17"/>
      <c r="J60" s="17"/>
    </row>
    <row r="61" ht="30.0" customHeight="1">
      <c r="B61" s="17">
        <v>56.0</v>
      </c>
      <c r="C61" s="17" t="s">
        <v>88</v>
      </c>
      <c r="D61" s="17" t="s">
        <v>34</v>
      </c>
      <c r="E61" s="17" t="s">
        <v>28</v>
      </c>
      <c r="F61" s="18">
        <f t="shared" ref="F61:F63" si="24">DATE(YEAR(TODAY()),5,17)</f>
        <v>43237</v>
      </c>
      <c r="G61" s="17"/>
      <c r="H61" s="18">
        <f>DATE(YEAR(TODAY()),5,17)</f>
        <v>43237</v>
      </c>
      <c r="I61" s="17"/>
      <c r="J61" s="17"/>
    </row>
    <row r="62" ht="30.0" customHeight="1">
      <c r="B62" s="17">
        <v>57.0</v>
      </c>
      <c r="C62" s="17" t="s">
        <v>89</v>
      </c>
      <c r="D62" s="17" t="s">
        <v>34</v>
      </c>
      <c r="E62" s="17" t="s">
        <v>38</v>
      </c>
      <c r="F62" s="18">
        <f t="shared" si="24"/>
        <v>43237</v>
      </c>
      <c r="G62" s="17"/>
      <c r="H62" s="18">
        <f>DATE(YEAR(TODAY()),5,21)</f>
        <v>43241</v>
      </c>
      <c r="I62" s="17"/>
      <c r="J62" s="17"/>
    </row>
    <row r="63" ht="30.0" customHeight="1">
      <c r="B63" s="17">
        <v>58.0</v>
      </c>
      <c r="C63" s="17" t="s">
        <v>90</v>
      </c>
      <c r="D63" s="17" t="s">
        <v>34</v>
      </c>
      <c r="E63" s="17" t="s">
        <v>38</v>
      </c>
      <c r="F63" s="18">
        <f t="shared" si="24"/>
        <v>43237</v>
      </c>
      <c r="G63" s="17"/>
      <c r="H63" s="18">
        <f>DATE(YEAR(TODAY()),5,19)</f>
        <v>43239</v>
      </c>
      <c r="I63" s="17"/>
      <c r="J63" s="17"/>
    </row>
    <row r="64" ht="30.0" customHeight="1">
      <c r="B64" s="17">
        <v>59.0</v>
      </c>
      <c r="C64" s="17" t="s">
        <v>91</v>
      </c>
      <c r="D64" s="17" t="s">
        <v>32</v>
      </c>
      <c r="E64" s="17" t="s">
        <v>28</v>
      </c>
      <c r="F64" s="18">
        <f>DATE(YEAR(TODAY()),5,21)</f>
        <v>43241</v>
      </c>
      <c r="G64" s="17"/>
      <c r="H64" s="18">
        <f>DATE(YEAR(TODAY()),5,21)</f>
        <v>43241</v>
      </c>
      <c r="I64" s="17"/>
      <c r="J64" s="17"/>
    </row>
    <row r="65" ht="30.0" customHeight="1">
      <c r="B65" s="17">
        <v>60.0</v>
      </c>
      <c r="C65" s="17" t="s">
        <v>92</v>
      </c>
      <c r="D65" s="17" t="s">
        <v>32</v>
      </c>
      <c r="E65" s="17" t="s">
        <v>38</v>
      </c>
      <c r="F65" s="18">
        <f>DATE(YEAR(TODAY()),5,24)</f>
        <v>43244</v>
      </c>
      <c r="G65" s="17"/>
      <c r="H65" s="18">
        <f>DATE(YEAR(TODAY()),5,26)</f>
        <v>43246</v>
      </c>
      <c r="I65" s="17"/>
      <c r="J65" s="17"/>
    </row>
    <row r="66" ht="30.0" customHeight="1">
      <c r="B66" s="17">
        <v>61.0</v>
      </c>
      <c r="C66" s="17" t="s">
        <v>93</v>
      </c>
      <c r="D66" s="17" t="s">
        <v>27</v>
      </c>
      <c r="E66" s="17" t="s">
        <v>28</v>
      </c>
      <c r="F66" s="18">
        <f>DATE(YEAR(TODAY()),5,25)</f>
        <v>43245</v>
      </c>
      <c r="G66" s="17"/>
      <c r="H66" s="18">
        <f>DATE(YEAR(TODAY()),5,25)</f>
        <v>43245</v>
      </c>
      <c r="I66" s="17"/>
      <c r="J66" s="17"/>
    </row>
    <row r="67" ht="30.0" customHeight="1">
      <c r="B67" s="17">
        <v>62.0</v>
      </c>
      <c r="C67" s="17" t="s">
        <v>94</v>
      </c>
      <c r="D67" s="17" t="s">
        <v>32</v>
      </c>
      <c r="E67" s="17" t="s">
        <v>30</v>
      </c>
      <c r="F67" s="18">
        <f>DATE(YEAR(TODAY()),5,30)</f>
        <v>43250</v>
      </c>
      <c r="G67" s="17"/>
      <c r="H67" s="18">
        <f>DATE(YEAR(TODAY()),6,3)</f>
        <v>43254</v>
      </c>
      <c r="I67" s="17"/>
      <c r="J67" s="17"/>
    </row>
    <row r="68" ht="30.0" customHeight="1">
      <c r="B68" s="17">
        <v>63.0</v>
      </c>
      <c r="C68" s="17" t="s">
        <v>95</v>
      </c>
      <c r="D68" s="17" t="s">
        <v>42</v>
      </c>
      <c r="E68" s="17" t="s">
        <v>30</v>
      </c>
      <c r="F68" s="18">
        <f>DATE(YEAR(TODAY()),6,4)</f>
        <v>43255</v>
      </c>
      <c r="G68" s="17"/>
      <c r="H68" s="18">
        <f>DATE(YEAR(TODAY()),6,4)</f>
        <v>43255</v>
      </c>
      <c r="I68" s="17"/>
      <c r="J68" s="17"/>
    </row>
    <row r="69" ht="30.0" customHeight="1">
      <c r="B69" s="17">
        <v>64.0</v>
      </c>
      <c r="C69" s="17" t="s">
        <v>96</v>
      </c>
      <c r="D69" s="17" t="s">
        <v>42</v>
      </c>
      <c r="E69" s="17" t="s">
        <v>30</v>
      </c>
      <c r="F69" s="18">
        <f t="shared" ref="F69:F70" si="25">DATE(YEAR(TODAY()),6,7)</f>
        <v>43258</v>
      </c>
      <c r="G69" s="17"/>
      <c r="H69" s="18">
        <f>DATE(YEAR(TODAY()),6,9)</f>
        <v>43260</v>
      </c>
      <c r="I69" s="17"/>
      <c r="J69" s="17"/>
    </row>
    <row r="70" ht="30.0" customHeight="1">
      <c r="B70" s="17">
        <v>65.0</v>
      </c>
      <c r="C70" s="17" t="s">
        <v>97</v>
      </c>
      <c r="D70" s="17" t="s">
        <v>42</v>
      </c>
      <c r="E70" s="17" t="s">
        <v>38</v>
      </c>
      <c r="F70" s="18">
        <f t="shared" si="25"/>
        <v>43258</v>
      </c>
      <c r="G70" s="17"/>
      <c r="H70" s="18">
        <f>DATE(YEAR(TODAY()),6,7)</f>
        <v>43258</v>
      </c>
      <c r="I70" s="17"/>
      <c r="J70" s="17"/>
    </row>
    <row r="71" ht="30.0" customHeight="1">
      <c r="B71" s="17">
        <v>66.0</v>
      </c>
      <c r="C71" s="17" t="s">
        <v>98</v>
      </c>
      <c r="D71" s="17" t="s">
        <v>42</v>
      </c>
      <c r="E71" s="17" t="s">
        <v>28</v>
      </c>
      <c r="F71" s="18">
        <f>DATE(YEAR(TODAY()),6,12)</f>
        <v>43263</v>
      </c>
      <c r="G71" s="17"/>
      <c r="H71" s="18">
        <f>DATE(YEAR(TODAY()),6,12)</f>
        <v>43263</v>
      </c>
      <c r="I71" s="17"/>
      <c r="J71" s="17"/>
    </row>
    <row r="72" ht="30.0" customHeight="1">
      <c r="B72" s="17">
        <v>67.0</v>
      </c>
      <c r="C72" s="17" t="s">
        <v>99</v>
      </c>
      <c r="D72" s="17" t="s">
        <v>34</v>
      </c>
      <c r="E72" s="17" t="s">
        <v>28</v>
      </c>
      <c r="F72" s="18">
        <f>DATE(YEAR(TODAY()),6,17)</f>
        <v>43268</v>
      </c>
      <c r="G72" s="17"/>
      <c r="H72" s="18">
        <f>DATE(YEAR(TODAY()),6,17)</f>
        <v>43268</v>
      </c>
      <c r="I72" s="17"/>
      <c r="J72" s="17"/>
    </row>
    <row r="73" ht="30.0" customHeight="1">
      <c r="B73" s="17">
        <v>68.0</v>
      </c>
      <c r="C73" s="17" t="s">
        <v>100</v>
      </c>
      <c r="D73" s="17" t="s">
        <v>42</v>
      </c>
      <c r="E73" s="17" t="s">
        <v>30</v>
      </c>
      <c r="F73" s="18">
        <f t="shared" ref="F73:F75" si="26">DATE(YEAR(TODAY()),6,18)</f>
        <v>43269</v>
      </c>
      <c r="G73" s="17"/>
      <c r="H73" s="18">
        <f t="shared" ref="H73:H75" si="27">DATE(YEAR(TODAY()),6,18)</f>
        <v>43269</v>
      </c>
      <c r="I73" s="17"/>
      <c r="J73" s="17"/>
    </row>
    <row r="74" ht="30.0" customHeight="1">
      <c r="B74" s="17">
        <v>69.0</v>
      </c>
      <c r="C74" s="17" t="s">
        <v>101</v>
      </c>
      <c r="D74" s="17" t="s">
        <v>32</v>
      </c>
      <c r="E74" s="17" t="s">
        <v>28</v>
      </c>
      <c r="F74" s="18">
        <f t="shared" si="26"/>
        <v>43269</v>
      </c>
      <c r="G74" s="17"/>
      <c r="H74" s="18">
        <f t="shared" si="27"/>
        <v>43269</v>
      </c>
      <c r="I74" s="17"/>
      <c r="J74" s="17"/>
    </row>
    <row r="75" ht="30.0" customHeight="1">
      <c r="B75" s="17">
        <v>70.0</v>
      </c>
      <c r="C75" s="17" t="s">
        <v>102</v>
      </c>
      <c r="D75" s="17" t="s">
        <v>42</v>
      </c>
      <c r="E75" s="17" t="s">
        <v>38</v>
      </c>
      <c r="F75" s="18">
        <f t="shared" si="26"/>
        <v>43269</v>
      </c>
      <c r="G75" s="17"/>
      <c r="H75" s="18">
        <f t="shared" si="27"/>
        <v>43269</v>
      </c>
      <c r="I75" s="17"/>
      <c r="J75" s="17"/>
    </row>
    <row r="76" ht="30.0" customHeight="1">
      <c r="B76" s="17">
        <v>71.0</v>
      </c>
      <c r="C76" s="17" t="s">
        <v>103</v>
      </c>
      <c r="D76" s="17" t="s">
        <v>32</v>
      </c>
      <c r="E76" s="17" t="s">
        <v>38</v>
      </c>
      <c r="F76" s="18">
        <f>DATE(YEAR(TODAY()),6,19)</f>
        <v>43270</v>
      </c>
      <c r="G76" s="17"/>
      <c r="H76" s="18">
        <f>DATE(YEAR(TODAY()),6,19)</f>
        <v>43270</v>
      </c>
      <c r="I76" s="17"/>
      <c r="J76" s="17"/>
    </row>
    <row r="77" ht="30.0" customHeight="1">
      <c r="B77" s="17">
        <v>72.0</v>
      </c>
      <c r="C77" s="17" t="s">
        <v>104</v>
      </c>
      <c r="D77" s="17" t="s">
        <v>27</v>
      </c>
      <c r="E77" s="17" t="s">
        <v>38</v>
      </c>
      <c r="F77" s="18">
        <f>DATE(YEAR(TODAY()),6,23)</f>
        <v>43274</v>
      </c>
      <c r="G77" s="17"/>
      <c r="H77" s="18">
        <f>DATE(YEAR(TODAY()),6,23)</f>
        <v>43274</v>
      </c>
      <c r="I77" s="17"/>
      <c r="J77" s="17"/>
    </row>
    <row r="78" ht="30.0" customHeight="1">
      <c r="B78" s="17">
        <v>73.0</v>
      </c>
      <c r="C78" s="17" t="s">
        <v>105</v>
      </c>
      <c r="D78" s="17" t="s">
        <v>42</v>
      </c>
      <c r="E78" s="17" t="s">
        <v>30</v>
      </c>
      <c r="F78" s="18">
        <f t="shared" ref="F78:F79" si="28">DATE(YEAR(TODAY()),6,28)</f>
        <v>43279</v>
      </c>
      <c r="G78" s="17"/>
      <c r="H78" s="18">
        <f>DATE(YEAR(TODAY()),6,30)</f>
        <v>43281</v>
      </c>
      <c r="I78" s="17"/>
      <c r="J78" s="17"/>
    </row>
    <row r="79" ht="30.0" customHeight="1">
      <c r="B79" s="17">
        <v>74.0</v>
      </c>
      <c r="C79" s="17" t="s">
        <v>106</v>
      </c>
      <c r="D79" s="17" t="s">
        <v>34</v>
      </c>
      <c r="E79" s="17" t="s">
        <v>30</v>
      </c>
      <c r="F79" s="18">
        <f t="shared" si="28"/>
        <v>43279</v>
      </c>
      <c r="G79" s="17"/>
      <c r="H79" s="18">
        <f>DATE(YEAR(TODAY()),6,28)</f>
        <v>43279</v>
      </c>
      <c r="I79" s="17"/>
      <c r="J79" s="17"/>
    </row>
    <row r="80" ht="30.0" customHeight="1">
      <c r="B80" s="17">
        <v>75.0</v>
      </c>
      <c r="C80" s="17" t="s">
        <v>107</v>
      </c>
      <c r="D80" s="17" t="s">
        <v>42</v>
      </c>
      <c r="E80" s="17" t="s">
        <v>38</v>
      </c>
      <c r="F80" s="18">
        <f>DATE(YEAR(TODAY()),7,3)</f>
        <v>43284</v>
      </c>
      <c r="G80" s="17"/>
      <c r="H80" s="18">
        <f>DATE(YEAR(TODAY()),7,3)</f>
        <v>43284</v>
      </c>
      <c r="I80" s="17"/>
      <c r="J80" s="17"/>
    </row>
    <row r="81" ht="30.0" customHeight="1">
      <c r="B81" s="17">
        <v>76.0</v>
      </c>
      <c r="C81" s="17" t="s">
        <v>108</v>
      </c>
      <c r="D81" s="17" t="s">
        <v>32</v>
      </c>
      <c r="E81" s="17" t="s">
        <v>38</v>
      </c>
      <c r="F81" s="18">
        <f t="shared" ref="F81:F82" si="29">DATE(YEAR(TODAY()),7,4)</f>
        <v>43285</v>
      </c>
      <c r="G81" s="17"/>
      <c r="H81" s="18">
        <f>DATE(YEAR(TODAY()),7,8)</f>
        <v>43289</v>
      </c>
      <c r="I81" s="17"/>
      <c r="J81" s="17"/>
    </row>
    <row r="82" ht="30.0" customHeight="1">
      <c r="B82" s="17">
        <v>77.0</v>
      </c>
      <c r="C82" s="17" t="s">
        <v>109</v>
      </c>
      <c r="D82" s="17" t="s">
        <v>27</v>
      </c>
      <c r="E82" s="17" t="s">
        <v>38</v>
      </c>
      <c r="F82" s="18">
        <f t="shared" si="29"/>
        <v>43285</v>
      </c>
      <c r="G82" s="17"/>
      <c r="H82" s="18">
        <f>DATE(YEAR(TODAY()),7,4)</f>
        <v>43285</v>
      </c>
      <c r="I82" s="17"/>
      <c r="J82" s="17"/>
    </row>
    <row r="83" ht="30.0" customHeight="1">
      <c r="B83" s="17">
        <v>78.0</v>
      </c>
      <c r="C83" s="17" t="s">
        <v>110</v>
      </c>
      <c r="D83" s="17" t="s">
        <v>27</v>
      </c>
      <c r="E83" s="17" t="s">
        <v>38</v>
      </c>
      <c r="F83" s="18">
        <f>DATE(YEAR(TODAY()),7,5)</f>
        <v>43286</v>
      </c>
      <c r="G83" s="17"/>
      <c r="H83" s="18">
        <f>DATE(YEAR(TODAY()),7,10)</f>
        <v>43291</v>
      </c>
      <c r="I83" s="17"/>
      <c r="J83" s="17"/>
    </row>
    <row r="84" ht="30.0" customHeight="1">
      <c r="B84" s="17">
        <v>79.0</v>
      </c>
      <c r="C84" s="17" t="s">
        <v>111</v>
      </c>
      <c r="D84" s="17" t="s">
        <v>42</v>
      </c>
      <c r="E84" s="17" t="s">
        <v>28</v>
      </c>
      <c r="F84" s="18">
        <f t="shared" ref="F84:F85" si="30">DATE(YEAR(TODAY()),7,10)</f>
        <v>43291</v>
      </c>
      <c r="G84" s="17"/>
      <c r="H84" s="18">
        <f>DATE(YEAR(TODAY()),7,15)</f>
        <v>43296</v>
      </c>
      <c r="I84" s="17"/>
      <c r="J84" s="17"/>
    </row>
    <row r="85" ht="30.0" customHeight="1">
      <c r="B85" s="17">
        <v>80.0</v>
      </c>
      <c r="C85" s="17" t="s">
        <v>112</v>
      </c>
      <c r="D85" s="17" t="s">
        <v>34</v>
      </c>
      <c r="E85" s="17" t="s">
        <v>38</v>
      </c>
      <c r="F85" s="18">
        <f t="shared" si="30"/>
        <v>43291</v>
      </c>
      <c r="G85" s="17"/>
      <c r="H85" s="18">
        <f>DATE(YEAR(TODAY()),7,12)</f>
        <v>43293</v>
      </c>
      <c r="I85" s="17"/>
      <c r="J85" s="17"/>
    </row>
    <row r="86" ht="30.0" customHeight="1">
      <c r="B86" s="17">
        <v>81.0</v>
      </c>
      <c r="C86" s="17" t="s">
        <v>113</v>
      </c>
      <c r="D86" s="17" t="s">
        <v>42</v>
      </c>
      <c r="E86" s="17" t="s">
        <v>38</v>
      </c>
      <c r="F86" s="18">
        <f>DATE(YEAR(TODAY()),7,11)</f>
        <v>43292</v>
      </c>
      <c r="G86" s="17"/>
      <c r="H86" s="18">
        <f>DATE(YEAR(TODAY()),7,13)</f>
        <v>43294</v>
      </c>
      <c r="I86" s="17"/>
      <c r="J86" s="17"/>
    </row>
    <row r="87" ht="30.0" customHeight="1">
      <c r="B87" s="17">
        <v>82.0</v>
      </c>
      <c r="C87" s="17" t="s">
        <v>114</v>
      </c>
      <c r="D87" s="17" t="s">
        <v>34</v>
      </c>
      <c r="E87" s="17" t="s">
        <v>38</v>
      </c>
      <c r="F87" s="18">
        <f>DATE(YEAR(TODAY()),7,15)</f>
        <v>43296</v>
      </c>
      <c r="G87" s="17"/>
      <c r="H87" s="18">
        <f>DATE(YEAR(TODAY()),7,18)</f>
        <v>43299</v>
      </c>
      <c r="I87" s="17"/>
      <c r="J87" s="17"/>
    </row>
    <row r="88" ht="30.0" customHeight="1">
      <c r="B88" s="17">
        <v>83.0</v>
      </c>
      <c r="C88" s="17" t="s">
        <v>115</v>
      </c>
      <c r="D88" s="17" t="s">
        <v>42</v>
      </c>
      <c r="E88" s="17" t="s">
        <v>38</v>
      </c>
      <c r="F88" s="18">
        <f>DATE(YEAR(TODAY()),7,17)</f>
        <v>43298</v>
      </c>
      <c r="G88" s="17"/>
      <c r="H88" s="18">
        <f t="shared" ref="H88:H89" si="31">DATE(YEAR(TODAY()),7,20)</f>
        <v>43301</v>
      </c>
      <c r="I88" s="17"/>
      <c r="J88" s="17"/>
    </row>
    <row r="89" ht="30.0" customHeight="1">
      <c r="B89" s="17">
        <v>84.0</v>
      </c>
      <c r="C89" s="17" t="s">
        <v>116</v>
      </c>
      <c r="D89" s="17" t="s">
        <v>27</v>
      </c>
      <c r="E89" s="17" t="s">
        <v>30</v>
      </c>
      <c r="F89" s="18">
        <f>DATE(YEAR(TODAY()),7,20)</f>
        <v>43301</v>
      </c>
      <c r="G89" s="17"/>
      <c r="H89" s="18">
        <f t="shared" si="31"/>
        <v>43301</v>
      </c>
      <c r="I89" s="17"/>
      <c r="J89" s="17"/>
    </row>
    <row r="90" ht="30.0" customHeight="1">
      <c r="B90" s="17">
        <v>85.0</v>
      </c>
      <c r="C90" s="17" t="s">
        <v>117</v>
      </c>
      <c r="D90" s="17" t="s">
        <v>34</v>
      </c>
      <c r="E90" s="17" t="s">
        <v>28</v>
      </c>
      <c r="F90" s="18">
        <f>DATE(YEAR(TODAY()),7,23)</f>
        <v>43304</v>
      </c>
      <c r="G90" s="17"/>
      <c r="H90" s="18">
        <f>DATE(YEAR(TODAY()),7,23)</f>
        <v>43304</v>
      </c>
      <c r="I90" s="17"/>
      <c r="J90" s="17"/>
    </row>
    <row r="91" ht="30.0" customHeight="1">
      <c r="B91" s="17">
        <v>86.0</v>
      </c>
      <c r="C91" s="17" t="s">
        <v>118</v>
      </c>
      <c r="D91" s="17" t="s">
        <v>32</v>
      </c>
      <c r="E91" s="17" t="s">
        <v>28</v>
      </c>
      <c r="F91" s="18">
        <f t="shared" ref="F91:F92" si="32">DATE(YEAR(TODAY()),7,28)</f>
        <v>43309</v>
      </c>
      <c r="G91" s="17"/>
      <c r="H91" s="18">
        <f>DATE(YEAR(TODAY()),7,28)</f>
        <v>43309</v>
      </c>
      <c r="I91" s="17"/>
      <c r="J91" s="17"/>
    </row>
    <row r="92" ht="30.0" customHeight="1">
      <c r="B92" s="17">
        <v>87.0</v>
      </c>
      <c r="C92" s="17" t="s">
        <v>119</v>
      </c>
      <c r="D92" s="17" t="s">
        <v>27</v>
      </c>
      <c r="E92" s="17" t="s">
        <v>28</v>
      </c>
      <c r="F92" s="18">
        <f t="shared" si="32"/>
        <v>43309</v>
      </c>
      <c r="G92" s="17"/>
      <c r="H92" s="18">
        <f>DATE(YEAR(TODAY()),8,2)</f>
        <v>43314</v>
      </c>
      <c r="I92" s="17"/>
      <c r="J92" s="17"/>
    </row>
    <row r="93" ht="30.0" customHeight="1">
      <c r="B93" s="17">
        <v>88.0</v>
      </c>
      <c r="C93" s="17" t="s">
        <v>120</v>
      </c>
      <c r="D93" s="17" t="s">
        <v>27</v>
      </c>
      <c r="E93" s="17" t="s">
        <v>28</v>
      </c>
      <c r="F93" s="18">
        <f>DATE(YEAR(TODAY()),7,31)</f>
        <v>43312</v>
      </c>
      <c r="G93" s="17"/>
      <c r="H93" s="18">
        <f>DATE(YEAR(TODAY()),7,31)</f>
        <v>43312</v>
      </c>
      <c r="I93" s="17"/>
      <c r="J93" s="17"/>
    </row>
    <row r="94" ht="30.0" customHeight="1">
      <c r="B94" s="17">
        <v>89.0</v>
      </c>
      <c r="C94" s="17" t="s">
        <v>121</v>
      </c>
      <c r="D94" s="17" t="s">
        <v>32</v>
      </c>
      <c r="E94" s="17" t="s">
        <v>38</v>
      </c>
      <c r="F94" s="18">
        <f>DATE(YEAR(TODAY()),8,2)</f>
        <v>43314</v>
      </c>
      <c r="G94" s="17"/>
      <c r="H94" s="18">
        <f t="shared" ref="H94:H95" si="33">DATE(YEAR(TODAY()),8,6)</f>
        <v>43318</v>
      </c>
      <c r="I94" s="17"/>
      <c r="J94" s="17"/>
    </row>
    <row r="95" ht="30.0" customHeight="1">
      <c r="B95" s="17">
        <v>90.0</v>
      </c>
      <c r="C95" s="17" t="s">
        <v>122</v>
      </c>
      <c r="D95" s="17" t="s">
        <v>42</v>
      </c>
      <c r="E95" s="17" t="s">
        <v>28</v>
      </c>
      <c r="F95" s="18">
        <f>DATE(YEAR(TODAY()),8,6)</f>
        <v>43318</v>
      </c>
      <c r="G95" s="17"/>
      <c r="H95" s="18">
        <f t="shared" si="33"/>
        <v>43318</v>
      </c>
      <c r="I95" s="17"/>
      <c r="J95" s="17"/>
    </row>
    <row r="96" ht="30.0" customHeight="1">
      <c r="B96" s="17">
        <v>91.0</v>
      </c>
      <c r="C96" s="17" t="s">
        <v>123</v>
      </c>
      <c r="D96" s="17" t="s">
        <v>27</v>
      </c>
      <c r="E96" s="17" t="s">
        <v>38</v>
      </c>
      <c r="F96" s="18">
        <f>DATE(YEAR(TODAY()),8,8)</f>
        <v>43320</v>
      </c>
      <c r="G96" s="17"/>
      <c r="H96" s="18">
        <f>DATE(YEAR(TODAY()),8,10)</f>
        <v>43322</v>
      </c>
      <c r="I96" s="17"/>
      <c r="J96" s="17"/>
    </row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2">
    <mergeCell ref="B1:F2"/>
    <mergeCell ref="A3:J4"/>
  </mergeCells>
  <dataValidations>
    <dataValidation type="list" allowBlank="1" showInputMessage="1" prompt="Select Priority in this cell. Press ALT+DOWN ARROW for options, then DOWN ARROW and ENTER to make selection" sqref="H2">
      <formula1>priorities</formula1>
    </dataValidation>
    <dataValidation type="list" allowBlank="1" showInputMessage="1" prompt="Select issue Type in this cell. Press ALT+DOWN ARROW for options, then DOWN ARROW and ENTER to make selection" sqref="G2">
      <formula1>types</formula1>
    </dataValidation>
  </dataValidations>
  <printOptions horizontalCentered="1"/>
  <pageMargins bottom="0.75" footer="0.0" header="0.0" left="0.7" right="0.7" top="0.75"/>
  <pageSetup fitToHeight="0" orientation="portrait"/>
  <headerFooter>
    <oddFooter/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8.56"/>
    <col customWidth="1" min="8" max="8" width="11.0"/>
    <col customWidth="1" min="9" max="9" width="8.56"/>
    <col customWidth="1" min="10" max="10" width="11.33"/>
    <col customWidth="1" min="11" max="13" width="8.56"/>
    <col customWidth="1" min="14" max="15" width="14.33"/>
    <col customWidth="1" min="16" max="26" width="8.56"/>
  </cols>
  <sheetData>
    <row r="1" ht="15.75" customHeight="1">
      <c r="A1" t="s">
        <v>0</v>
      </c>
    </row>
    <row r="2" ht="15.75" customHeight="1"/>
    <row r="3" ht="15.75" customHeight="1"/>
    <row r="4" ht="15.75" customHeight="1">
      <c r="I4" t="s">
        <v>1</v>
      </c>
      <c r="J4" s="1">
        <f>DATE((YEAR(TODAY())-1),1,1)</f>
        <v>42736</v>
      </c>
    </row>
    <row r="5" ht="15.75" customHeight="1">
      <c r="I5" t="s">
        <v>7</v>
      </c>
      <c r="J5" s="1"/>
    </row>
    <row r="6" ht="15.75" customHeight="1"/>
    <row r="7" ht="15.75" customHeight="1">
      <c r="I7" t="s">
        <v>8</v>
      </c>
      <c r="J7">
        <f>'Issue Tracker'!J2</f>
        <v>30</v>
      </c>
    </row>
    <row r="8" ht="15.75" customHeight="1">
      <c r="I8" t="s">
        <v>9</v>
      </c>
      <c r="J8" s="1">
        <f>'Issue Tracker'!I2</f>
        <v>43250</v>
      </c>
      <c r="N8">
        <f>COUNT(typesUnsorted)</f>
        <v>0</v>
      </c>
    </row>
    <row r="9" ht="15.75" customHeight="1">
      <c r="I9" t="s">
        <v>10</v>
      </c>
      <c r="J9" t="str">
        <f>'Issue Tracker'!G2</f>
        <v>*</v>
      </c>
    </row>
    <row r="10" ht="15.75" customHeight="1">
      <c r="I10" t="s">
        <v>12</v>
      </c>
      <c r="J10" t="str">
        <f>'Issue Tracker'!H2</f>
        <v>*</v>
      </c>
    </row>
    <row r="11" ht="15.75" customHeight="1"/>
    <row r="12" ht="15.75" customHeight="1">
      <c r="N12" t="str">
        <f>OFFSET($N$16,,,$N$13)</f>
        <v>#REF!</v>
      </c>
      <c r="O12" t="str">
        <f>OFFSET($O$16,,,$O$13)</f>
        <v>#REF!</v>
      </c>
    </row>
    <row r="13" ht="15.75" customHeight="1">
      <c r="N13">
        <f t="shared" ref="N13:O13" si="1">COUNTA(N16:N45)-COUNTIF(N16:N45,NA())</f>
        <v>4</v>
      </c>
      <c r="O13">
        <f t="shared" si="1"/>
        <v>3</v>
      </c>
      <c r="S13" t="s">
        <v>14</v>
      </c>
      <c r="T13" t="s">
        <v>14</v>
      </c>
    </row>
    <row r="14" ht="15.75" customHeight="1">
      <c r="H14" t="s">
        <v>9</v>
      </c>
      <c r="I14" t="s">
        <v>15</v>
      </c>
      <c r="J14" t="s">
        <v>16</v>
      </c>
      <c r="N14" t="s">
        <v>17</v>
      </c>
      <c r="O14" t="s">
        <v>18</v>
      </c>
      <c r="S14" t="s">
        <v>17</v>
      </c>
      <c r="T14" t="s">
        <v>18</v>
      </c>
    </row>
    <row r="15" ht="15.75" customHeight="1">
      <c r="N15" t="s">
        <v>11</v>
      </c>
      <c r="O15" t="s">
        <v>11</v>
      </c>
    </row>
    <row r="16" ht="15.75" customHeight="1">
      <c r="G16">
        <v>1.0</v>
      </c>
      <c r="H16" s="1">
        <f>keydate-days+G16</f>
        <v>43221</v>
      </c>
      <c r="I16">
        <f>I15+COUNTIFS('Issue Tracker'!$F$6:$F$96,H16,'Issue Tracker'!$D$6:$D$96,type,'Issue Tracker'!$E$6:$E$96,priority)</f>
        <v>0</v>
      </c>
      <c r="J16">
        <f>J15+COUNTIFS('Issue Tracker'!$H$6:$H$96,H16,'Issue Tracker'!$D$6:$D$96,type,'Issue Tracker'!$E$6:$E$96,priority)</f>
        <v>1</v>
      </c>
      <c r="N16" t="str">
        <f t="array" ref="N16">INDEX('Issue Tracker'!$D$6:$D$96,MATCH(0,COUNTIF(N$15:N15, 'Issue Tracker'!$D$6:$D$96),0))</f>
        <v>Type 2</v>
      </c>
      <c r="O16" t="str">
        <f t="array" ref="O16">INDEX('Issue Tracker'!$E$6:$E$96,MATCH(0,COUNTIF(O$15:O15,'Issue Tracker'!$E$6:$E$96),0))</f>
        <v>Medium</v>
      </c>
      <c r="S16" t="str">
        <f t="shared" ref="S16:S45" si="2">INDEX(typesUnsorted, MATCH(SMALL(COUNTIF(typesUnsorted, "&lt;"&amp;typesUnsorted), ROW(1:1)), COUNTIF(typesUnsorted, "&lt;"&amp;typesUnsorted), 0))</f>
        <v>#NAME?</v>
      </c>
      <c r="T16" t="str">
        <f t="shared" ref="T16:T45" si="3">INDEX(prioritiesUnsorted, MATCH(SMALL(COUNTIF(prioritiesUnsorted, "&lt;"&amp;prioritiesUnsorted), ROW(1:1)), COUNTIF(prioritiesUnsorted, "&lt;"&amp;prioritiesUnsorted), 0))</f>
        <v>#NAME?</v>
      </c>
    </row>
    <row r="17" ht="15.75" customHeight="1">
      <c r="G17">
        <v>2.0</v>
      </c>
      <c r="H17" s="1">
        <f>keydate-days+G17</f>
        <v>43222</v>
      </c>
      <c r="I17">
        <f>I16+COUNTIFS('Issue Tracker'!$F$6:$F$96,H17,'Issue Tracker'!$D$6:$D$96,type,'Issue Tracker'!$E$6:$E$96,priority)</f>
        <v>0</v>
      </c>
      <c r="J17">
        <f>J16+COUNTIFS('Issue Tracker'!$H$6:$H$96,H17,'Issue Tracker'!$D$6:$D$96,type,'Issue Tracker'!$E$6:$E$96,priority)</f>
        <v>1</v>
      </c>
      <c r="N17" t="str">
        <f t="array" ref="N17">INDEX('Issue Tracker'!$D$6:$D$96,MATCH(0,COUNTIF(N$15:N16, 'Issue Tracker'!$D$6:$D$96),0))</f>
        <v>Type 3</v>
      </c>
      <c r="O17" t="str">
        <f t="array" ref="O17">INDEX('Issue Tracker'!$E$6:$E$96,MATCH(0,COUNTIF(O$15:O16,'Issue Tracker'!$E$6:$E$96),0))</f>
        <v>Low</v>
      </c>
      <c r="S17" t="str">
        <f t="shared" si="2"/>
        <v>#NAME?</v>
      </c>
      <c r="T17" t="str">
        <f t="shared" si="3"/>
        <v>#NAME?</v>
      </c>
    </row>
    <row r="18" ht="15.75" customHeight="1">
      <c r="G18">
        <v>3.0</v>
      </c>
      <c r="H18" s="1">
        <f>keydate-days+G18</f>
        <v>43223</v>
      </c>
      <c r="I18">
        <f>I17+COUNTIFS('Issue Tracker'!$F$6:$F$96,H18,'Issue Tracker'!$D$6:$D$96,type,'Issue Tracker'!$E$6:$E$96,priority)</f>
        <v>0</v>
      </c>
      <c r="J18">
        <f>J17+COUNTIFS('Issue Tracker'!$H$6:$H$96,H18,'Issue Tracker'!$D$6:$D$96,type,'Issue Tracker'!$E$6:$E$96,priority)</f>
        <v>1</v>
      </c>
      <c r="N18" t="str">
        <f t="array" ref="N18">INDEX('Issue Tracker'!$D$6:$D$96,MATCH(0,COUNTIF(N$15:N17, 'Issue Tracker'!$D$6:$D$96),0))</f>
        <v>Type 1</v>
      </c>
      <c r="O18" t="str">
        <f t="array" ref="O18">INDEX('Issue Tracker'!$E$6:$E$96,MATCH(0,COUNTIF(O$15:O17,'Issue Tracker'!$E$6:$E$96),0))</f>
        <v>High</v>
      </c>
      <c r="S18" t="str">
        <f t="shared" si="2"/>
        <v>#NAME?</v>
      </c>
      <c r="T18" t="str">
        <f t="shared" si="3"/>
        <v>#NAME?</v>
      </c>
    </row>
    <row r="19" ht="15.75" customHeight="1">
      <c r="G19">
        <v>4.0</v>
      </c>
      <c r="H19" s="1">
        <f>keydate-days+G19</f>
        <v>43224</v>
      </c>
      <c r="I19">
        <f>I18+COUNTIFS('Issue Tracker'!$F$6:$F$96,H19,'Issue Tracker'!$D$6:$D$96,type,'Issue Tracker'!$E$6:$E$96,priority)</f>
        <v>0</v>
      </c>
      <c r="J19">
        <f>J18+COUNTIFS('Issue Tracker'!$H$6:$H$96,H19,'Issue Tracker'!$D$6:$D$96,type,'Issue Tracker'!$E$6:$E$96,priority)</f>
        <v>1</v>
      </c>
      <c r="N19" t="str">
        <f t="array" ref="N19">INDEX('Issue Tracker'!$D$6:$D$96,MATCH(0,COUNTIF(N$15:N18, 'Issue Tracker'!$D$6:$D$96),0))</f>
        <v>Type 4</v>
      </c>
      <c r="O19" t="str">
        <f t="array" ref="O19">INDEX('Issue Tracker'!$E$6:$E$96,MATCH(0,COUNTIF(O$15:O18,'Issue Tracker'!$E$6:$E$96),0))</f>
        <v>#N/A</v>
      </c>
      <c r="S19" t="str">
        <f t="shared" si="2"/>
        <v>#NAME?</v>
      </c>
      <c r="T19" t="str">
        <f t="shared" si="3"/>
        <v>#NAME?</v>
      </c>
    </row>
    <row r="20" ht="15.75" customHeight="1">
      <c r="G20">
        <v>5.0</v>
      </c>
      <c r="H20" s="1">
        <f>keydate-days+G20</f>
        <v>43225</v>
      </c>
      <c r="I20">
        <f>I19+COUNTIFS('Issue Tracker'!$F$6:$F$96,H20,'Issue Tracker'!$D$6:$D$96,type,'Issue Tracker'!$E$6:$E$96,priority)</f>
        <v>2</v>
      </c>
      <c r="J20">
        <f>J19+COUNTIFS('Issue Tracker'!$H$6:$H$96,H20,'Issue Tracker'!$D$6:$D$96,type,'Issue Tracker'!$E$6:$E$96,priority)</f>
        <v>2</v>
      </c>
      <c r="N20" t="str">
        <f t="array" ref="N20">INDEX('Issue Tracker'!$D$6:$D$96,MATCH(0,COUNTIF(N$15:N19, 'Issue Tracker'!$D$6:$D$96),0))</f>
        <v>#N/A</v>
      </c>
      <c r="O20" t="str">
        <f t="array" ref="O20">INDEX('Issue Tracker'!$E$6:$E$96,MATCH(0,COUNTIF(O$15:O19,'Issue Tracker'!$E$6:$E$96),0))</f>
        <v>#N/A</v>
      </c>
      <c r="S20" t="str">
        <f t="shared" si="2"/>
        <v>#NAME?</v>
      </c>
      <c r="T20" t="str">
        <f t="shared" si="3"/>
        <v>#NAME?</v>
      </c>
    </row>
    <row r="21" ht="15.75" customHeight="1">
      <c r="G21">
        <v>6.0</v>
      </c>
      <c r="H21" s="1">
        <f>keydate-days+G21</f>
        <v>43226</v>
      </c>
      <c r="I21">
        <f>I20+COUNTIFS('Issue Tracker'!$F$6:$F$96,H21,'Issue Tracker'!$D$6:$D$96,type,'Issue Tracker'!$E$6:$E$96,priority)</f>
        <v>2</v>
      </c>
      <c r="J21">
        <f>J20+COUNTIFS('Issue Tracker'!$H$6:$H$96,H21,'Issue Tracker'!$D$6:$D$96,type,'Issue Tracker'!$E$6:$E$96,priority)</f>
        <v>2</v>
      </c>
      <c r="N21" t="str">
        <f t="array" ref="N21">INDEX('Issue Tracker'!$D$6:$D$96,MATCH(0,COUNTIF(N$15:N20, 'Issue Tracker'!$D$6:$D$96),0))</f>
        <v>#N/A</v>
      </c>
      <c r="O21" t="str">
        <f t="array" ref="O21">INDEX('Issue Tracker'!$E$6:$E$96,MATCH(0,COUNTIF(O$15:O20,'Issue Tracker'!$E$6:$E$96),0))</f>
        <v>#N/A</v>
      </c>
      <c r="S21" t="str">
        <f t="shared" si="2"/>
        <v>#NAME?</v>
      </c>
      <c r="T21" t="str">
        <f t="shared" si="3"/>
        <v>#NAME?</v>
      </c>
    </row>
    <row r="22" ht="15.75" customHeight="1">
      <c r="G22">
        <v>7.0</v>
      </c>
      <c r="H22" s="1">
        <f>keydate-days+G22</f>
        <v>43227</v>
      </c>
      <c r="I22">
        <f>I21+COUNTIFS('Issue Tracker'!$F$6:$F$96,H22,'Issue Tracker'!$D$6:$D$96,type,'Issue Tracker'!$E$6:$E$96,priority)</f>
        <v>2</v>
      </c>
      <c r="J22">
        <f>J21+COUNTIFS('Issue Tracker'!$H$6:$H$96,H22,'Issue Tracker'!$D$6:$D$96,type,'Issue Tracker'!$E$6:$E$96,priority)</f>
        <v>2</v>
      </c>
      <c r="N22" t="str">
        <f t="array" ref="N22">INDEX('Issue Tracker'!$D$6:$D$96,MATCH(0,COUNTIF(N$15:N21, 'Issue Tracker'!$D$6:$D$96),0))</f>
        <v>#N/A</v>
      </c>
      <c r="O22" t="str">
        <f t="array" ref="O22">INDEX('Issue Tracker'!$E$6:$E$96,MATCH(0,COUNTIF(O$15:O21,'Issue Tracker'!$E$6:$E$96),0))</f>
        <v>#N/A</v>
      </c>
      <c r="S22" t="str">
        <f t="shared" si="2"/>
        <v>#NAME?</v>
      </c>
      <c r="T22" t="str">
        <f t="shared" si="3"/>
        <v>#NAME?</v>
      </c>
    </row>
    <row r="23" ht="15.75" customHeight="1">
      <c r="G23">
        <v>8.0</v>
      </c>
      <c r="H23" s="1">
        <f>keydate-days+G23</f>
        <v>43228</v>
      </c>
      <c r="I23">
        <f>I22+COUNTIFS('Issue Tracker'!$F$6:$F$96,H23,'Issue Tracker'!$D$6:$D$96,type,'Issue Tracker'!$E$6:$E$96,priority)</f>
        <v>3</v>
      </c>
      <c r="J23">
        <f>J22+COUNTIFS('Issue Tracker'!$H$6:$H$96,H23,'Issue Tracker'!$D$6:$D$96,type,'Issue Tracker'!$E$6:$E$96,priority)</f>
        <v>2</v>
      </c>
      <c r="N23" t="str">
        <f t="array" ref="N23">INDEX('Issue Tracker'!$D$6:$D$96,MATCH(0,COUNTIF(N$15:N22, 'Issue Tracker'!$D$6:$D$96),0))</f>
        <v>#N/A</v>
      </c>
      <c r="O23" t="str">
        <f t="array" ref="O23">INDEX('Issue Tracker'!$E$6:$E$96,MATCH(0,COUNTIF(O$15:O22,'Issue Tracker'!$E$6:$E$96),0))</f>
        <v>#N/A</v>
      </c>
      <c r="S23" t="str">
        <f t="shared" si="2"/>
        <v>#NAME?</v>
      </c>
      <c r="T23" t="str">
        <f t="shared" si="3"/>
        <v>#NAME?</v>
      </c>
    </row>
    <row r="24" ht="15.75" customHeight="1">
      <c r="G24">
        <v>9.0</v>
      </c>
      <c r="H24" s="1">
        <f>keydate-days+G24</f>
        <v>43229</v>
      </c>
      <c r="I24">
        <f>I23+COUNTIFS('Issue Tracker'!$F$6:$F$96,H24,'Issue Tracker'!$D$6:$D$96,type,'Issue Tracker'!$E$6:$E$96,priority)</f>
        <v>3</v>
      </c>
      <c r="J24">
        <f>J23+COUNTIFS('Issue Tracker'!$H$6:$H$96,H24,'Issue Tracker'!$D$6:$D$96,type,'Issue Tracker'!$E$6:$E$96,priority)</f>
        <v>3</v>
      </c>
      <c r="N24" t="str">
        <f t="array" ref="N24">INDEX('Issue Tracker'!$D$6:$D$96,MATCH(0,COUNTIF(N$15:N23, 'Issue Tracker'!$D$6:$D$96),0))</f>
        <v>#N/A</v>
      </c>
      <c r="O24" t="str">
        <f t="array" ref="O24">INDEX('Issue Tracker'!$E$6:$E$96,MATCH(0,COUNTIF(O$15:O23,'Issue Tracker'!$E$6:$E$96),0))</f>
        <v>#N/A</v>
      </c>
      <c r="S24" t="str">
        <f t="shared" si="2"/>
        <v>#NAME?</v>
      </c>
      <c r="T24" t="str">
        <f t="shared" si="3"/>
        <v>#NAME?</v>
      </c>
    </row>
    <row r="25" ht="15.75" customHeight="1">
      <c r="G25">
        <v>10.0</v>
      </c>
      <c r="H25" s="1">
        <f>keydate-days+G25</f>
        <v>43230</v>
      </c>
      <c r="I25">
        <f>I24+COUNTIFS('Issue Tracker'!$F$6:$F$96,H25,'Issue Tracker'!$D$6:$D$96,type,'Issue Tracker'!$E$6:$E$96,priority)</f>
        <v>3</v>
      </c>
      <c r="J25">
        <f>J24+COUNTIFS('Issue Tracker'!$H$6:$H$96,H25,'Issue Tracker'!$D$6:$D$96,type,'Issue Tracker'!$E$6:$E$96,priority)</f>
        <v>3</v>
      </c>
      <c r="N25" t="str">
        <f t="array" ref="N25">INDEX('Issue Tracker'!$D$6:$D$96,MATCH(0,COUNTIF(N$15:N24, 'Issue Tracker'!$D$6:$D$96),0))</f>
        <v>#N/A</v>
      </c>
      <c r="O25" t="str">
        <f t="array" ref="O25">INDEX('Issue Tracker'!$E$6:$E$96,MATCH(0,COUNTIF(O$15:O24,'Issue Tracker'!$E$6:$E$96),0))</f>
        <v>#N/A</v>
      </c>
      <c r="S25" t="str">
        <f t="shared" si="2"/>
        <v>#NAME?</v>
      </c>
      <c r="T25" t="str">
        <f t="shared" si="3"/>
        <v>#NAME?</v>
      </c>
    </row>
    <row r="26" ht="15.75" customHeight="1">
      <c r="G26">
        <v>11.0</v>
      </c>
      <c r="H26" s="1">
        <f>keydate-days+G26</f>
        <v>43231</v>
      </c>
      <c r="I26">
        <f>I25+COUNTIFS('Issue Tracker'!$F$6:$F$96,H26,'Issue Tracker'!$D$6:$D$96,type,'Issue Tracker'!$E$6:$E$96,priority)</f>
        <v>5</v>
      </c>
      <c r="J26">
        <f>J25+COUNTIFS('Issue Tracker'!$H$6:$H$96,H26,'Issue Tracker'!$D$6:$D$96,type,'Issue Tracker'!$E$6:$E$96,priority)</f>
        <v>4</v>
      </c>
      <c r="N26" t="str">
        <f t="array" ref="N26">INDEX('Issue Tracker'!$D$6:$D$96,MATCH(0,COUNTIF(N$15:N25, 'Issue Tracker'!$D$6:$D$96),0))</f>
        <v>#N/A</v>
      </c>
      <c r="O26" t="str">
        <f t="array" ref="O26">INDEX('Issue Tracker'!$E$6:$E$96,MATCH(0,COUNTIF(O$15:O25,'Issue Tracker'!$E$6:$E$96),0))</f>
        <v>#N/A</v>
      </c>
      <c r="S26" t="str">
        <f t="shared" si="2"/>
        <v>#NAME?</v>
      </c>
      <c r="T26" t="str">
        <f t="shared" si="3"/>
        <v>#NAME?</v>
      </c>
    </row>
    <row r="27" ht="15.75" customHeight="1">
      <c r="G27">
        <v>12.0</v>
      </c>
      <c r="H27" s="1">
        <f>keydate-days+G27</f>
        <v>43232</v>
      </c>
      <c r="I27">
        <f>I26+COUNTIFS('Issue Tracker'!$F$6:$F$96,H27,'Issue Tracker'!$D$6:$D$96,type,'Issue Tracker'!$E$6:$E$96,priority)</f>
        <v>6</v>
      </c>
      <c r="J27">
        <f>J26+COUNTIFS('Issue Tracker'!$H$6:$H$96,H27,'Issue Tracker'!$D$6:$D$96,type,'Issue Tracker'!$E$6:$E$96,priority)</f>
        <v>6</v>
      </c>
      <c r="N27" t="str">
        <f t="array" ref="N27">INDEX('Issue Tracker'!$D$6:$D$96,MATCH(0,COUNTIF(N$15:N26, 'Issue Tracker'!$D$6:$D$96),0))</f>
        <v>#N/A</v>
      </c>
      <c r="O27" t="str">
        <f t="array" ref="O27">INDEX('Issue Tracker'!$E$6:$E$96,MATCH(0,COUNTIF(O$15:O26,'Issue Tracker'!$E$6:$E$96),0))</f>
        <v>#N/A</v>
      </c>
      <c r="S27" t="str">
        <f t="shared" si="2"/>
        <v>#NAME?</v>
      </c>
      <c r="T27" t="str">
        <f t="shared" si="3"/>
        <v>#NAME?</v>
      </c>
    </row>
    <row r="28" ht="15.75" customHeight="1">
      <c r="G28">
        <v>13.0</v>
      </c>
      <c r="H28" s="1">
        <f>keydate-days+G28</f>
        <v>43233</v>
      </c>
      <c r="I28">
        <f>I27+COUNTIFS('Issue Tracker'!$F$6:$F$96,H28,'Issue Tracker'!$D$6:$D$96,type,'Issue Tracker'!$E$6:$E$96,priority)</f>
        <v>6</v>
      </c>
      <c r="J28">
        <f>J27+COUNTIFS('Issue Tracker'!$H$6:$H$96,H28,'Issue Tracker'!$D$6:$D$96,type,'Issue Tracker'!$E$6:$E$96,priority)</f>
        <v>6</v>
      </c>
      <c r="N28" t="str">
        <f t="array" ref="N28">INDEX('Issue Tracker'!$D$6:$D$96,MATCH(0,COUNTIF(N$15:N27, 'Issue Tracker'!$D$6:$D$96),0))</f>
        <v>#N/A</v>
      </c>
      <c r="O28" t="str">
        <f t="array" ref="O28">INDEX('Issue Tracker'!$E$6:$E$96,MATCH(0,COUNTIF(O$15:O27,'Issue Tracker'!$E$6:$E$96),0))</f>
        <v>#N/A</v>
      </c>
      <c r="S28" t="str">
        <f t="shared" si="2"/>
        <v>#NAME?</v>
      </c>
      <c r="T28" t="str">
        <f t="shared" si="3"/>
        <v>#NAME?</v>
      </c>
    </row>
    <row r="29" ht="15.75" customHeight="1">
      <c r="G29">
        <v>14.0</v>
      </c>
      <c r="H29" s="1">
        <f>keydate-days+G29</f>
        <v>43234</v>
      </c>
      <c r="I29">
        <f>I28+COUNTIFS('Issue Tracker'!$F$6:$F$96,H29,'Issue Tracker'!$D$6:$D$96,type,'Issue Tracker'!$E$6:$E$96,priority)</f>
        <v>6</v>
      </c>
      <c r="J29">
        <f>J28+COUNTIFS('Issue Tracker'!$H$6:$H$96,H29,'Issue Tracker'!$D$6:$D$96,type,'Issue Tracker'!$E$6:$E$96,priority)</f>
        <v>7</v>
      </c>
      <c r="N29" t="str">
        <f t="array" ref="N29">INDEX('Issue Tracker'!$D$6:$D$96,MATCH(0,COUNTIF(N$15:N28, 'Issue Tracker'!$D$6:$D$96),0))</f>
        <v>#N/A</v>
      </c>
      <c r="O29" t="str">
        <f t="array" ref="O29">INDEX('Issue Tracker'!$E$6:$E$96,MATCH(0,COUNTIF(O$15:O28,'Issue Tracker'!$E$6:$E$96),0))</f>
        <v>#N/A</v>
      </c>
      <c r="S29" t="str">
        <f t="shared" si="2"/>
        <v>#NAME?</v>
      </c>
      <c r="T29" t="str">
        <f t="shared" si="3"/>
        <v>#NAME?</v>
      </c>
    </row>
    <row r="30" ht="15.75" customHeight="1">
      <c r="G30">
        <v>15.0</v>
      </c>
      <c r="H30" s="1">
        <f>keydate-days+G30</f>
        <v>43235</v>
      </c>
      <c r="I30">
        <f>I29+COUNTIFS('Issue Tracker'!$F$6:$F$96,H30,'Issue Tracker'!$D$6:$D$96,type,'Issue Tracker'!$E$6:$E$96,priority)</f>
        <v>7</v>
      </c>
      <c r="J30">
        <f>J29+COUNTIFS('Issue Tracker'!$H$6:$H$96,H30,'Issue Tracker'!$D$6:$D$96,type,'Issue Tracker'!$E$6:$E$96,priority)</f>
        <v>8</v>
      </c>
      <c r="N30" t="str">
        <f t="array" ref="N30">INDEX('Issue Tracker'!$D$6:$D$96,MATCH(0,COUNTIF(N$15:N29, 'Issue Tracker'!$D$6:$D$96),0))</f>
        <v>#N/A</v>
      </c>
      <c r="O30" t="str">
        <f t="array" ref="O30">INDEX('Issue Tracker'!$E$6:$E$96,MATCH(0,COUNTIF(O$15:O29,'Issue Tracker'!$E$6:$E$96),0))</f>
        <v>#N/A</v>
      </c>
      <c r="S30" t="str">
        <f t="shared" si="2"/>
        <v>#NAME?</v>
      </c>
      <c r="T30" t="str">
        <f t="shared" si="3"/>
        <v>#NAME?</v>
      </c>
    </row>
    <row r="31" ht="15.75" customHeight="1">
      <c r="G31">
        <v>16.0</v>
      </c>
      <c r="H31" s="1">
        <f>keydate-days+G31</f>
        <v>43236</v>
      </c>
      <c r="I31">
        <f>I30+COUNTIFS('Issue Tracker'!$F$6:$F$96,H31,'Issue Tracker'!$D$6:$D$96,type,'Issue Tracker'!$E$6:$E$96,priority)</f>
        <v>7</v>
      </c>
      <c r="J31">
        <f>J30+COUNTIFS('Issue Tracker'!$H$6:$H$96,H31,'Issue Tracker'!$D$6:$D$96,type,'Issue Tracker'!$E$6:$E$96,priority)</f>
        <v>8</v>
      </c>
      <c r="N31" t="str">
        <f t="array" ref="N31">INDEX('Issue Tracker'!$D$6:$D$96,MATCH(0,COUNTIF(N$15:N30, 'Issue Tracker'!$D$6:$D$96),0))</f>
        <v>#N/A</v>
      </c>
      <c r="O31" t="str">
        <f t="array" ref="O31">INDEX('Issue Tracker'!$E$6:$E$96,MATCH(0,COUNTIF(O$15:O30,'Issue Tracker'!$E$6:$E$96),0))</f>
        <v>#N/A</v>
      </c>
      <c r="S31" t="str">
        <f t="shared" si="2"/>
        <v>#NAME?</v>
      </c>
      <c r="T31" t="str">
        <f t="shared" si="3"/>
        <v>#NAME?</v>
      </c>
    </row>
    <row r="32" ht="15.75" customHeight="1">
      <c r="G32">
        <v>17.0</v>
      </c>
      <c r="H32" s="1">
        <f>keydate-days+G32</f>
        <v>43237</v>
      </c>
      <c r="I32">
        <f>I31+COUNTIFS('Issue Tracker'!$F$6:$F$96,H32,'Issue Tracker'!$D$6:$D$96,type,'Issue Tracker'!$E$6:$E$96,priority)</f>
        <v>10</v>
      </c>
      <c r="J32">
        <f>J31+COUNTIFS('Issue Tracker'!$H$6:$H$96,H32,'Issue Tracker'!$D$6:$D$96,type,'Issue Tracker'!$E$6:$E$96,priority)</f>
        <v>9</v>
      </c>
      <c r="N32" t="str">
        <f t="array" ref="N32">INDEX('Issue Tracker'!$D$6:$D$96,MATCH(0,COUNTIF(N$15:N31, 'Issue Tracker'!$D$6:$D$96),0))</f>
        <v>#N/A</v>
      </c>
      <c r="O32" t="str">
        <f t="array" ref="O32">INDEX('Issue Tracker'!$E$6:$E$96,MATCH(0,COUNTIF(O$15:O31,'Issue Tracker'!$E$6:$E$96),0))</f>
        <v>#N/A</v>
      </c>
      <c r="S32" t="str">
        <f t="shared" si="2"/>
        <v>#NAME?</v>
      </c>
      <c r="T32" t="str">
        <f t="shared" si="3"/>
        <v>#NAME?</v>
      </c>
    </row>
    <row r="33" ht="15.75" customHeight="1">
      <c r="G33">
        <v>18.0</v>
      </c>
      <c r="H33" s="1">
        <f>keydate-days+G33</f>
        <v>43238</v>
      </c>
      <c r="I33">
        <f>I32+COUNTIFS('Issue Tracker'!$F$6:$F$96,H33,'Issue Tracker'!$D$6:$D$96,type,'Issue Tracker'!$E$6:$E$96,priority)</f>
        <v>10</v>
      </c>
      <c r="J33">
        <f>J32+COUNTIFS('Issue Tracker'!$H$6:$H$96,H33,'Issue Tracker'!$D$6:$D$96,type,'Issue Tracker'!$E$6:$E$96,priority)</f>
        <v>9</v>
      </c>
      <c r="N33" t="str">
        <f t="array" ref="N33">INDEX('Issue Tracker'!$D$6:$D$96,MATCH(0,COUNTIF(N$15:N32, 'Issue Tracker'!$D$6:$D$96),0))</f>
        <v>#N/A</v>
      </c>
      <c r="O33" t="str">
        <f t="array" ref="O33">INDEX('Issue Tracker'!$E$6:$E$96,MATCH(0,COUNTIF(O$15:O32,'Issue Tracker'!$E$6:$E$96),0))</f>
        <v>#N/A</v>
      </c>
      <c r="S33" t="str">
        <f t="shared" si="2"/>
        <v>#NAME?</v>
      </c>
      <c r="T33" t="str">
        <f t="shared" si="3"/>
        <v>#NAME?</v>
      </c>
    </row>
    <row r="34" ht="15.75" customHeight="1">
      <c r="G34">
        <v>19.0</v>
      </c>
      <c r="H34" s="1">
        <f>keydate-days+G34</f>
        <v>43239</v>
      </c>
      <c r="I34">
        <f>I33+COUNTIFS('Issue Tracker'!$F$6:$F$96,H34,'Issue Tracker'!$D$6:$D$96,type,'Issue Tracker'!$E$6:$E$96,priority)</f>
        <v>10</v>
      </c>
      <c r="J34">
        <f>J33+COUNTIFS('Issue Tracker'!$H$6:$H$96,H34,'Issue Tracker'!$D$6:$D$96,type,'Issue Tracker'!$E$6:$E$96,priority)</f>
        <v>10</v>
      </c>
      <c r="N34" t="str">
        <f t="array" ref="N34">INDEX('Issue Tracker'!$D$6:$D$96,MATCH(0,COUNTIF(N$15:N33, 'Issue Tracker'!$D$6:$D$96),0))</f>
        <v>#N/A</v>
      </c>
      <c r="O34" t="str">
        <f t="array" ref="O34">INDEX('Issue Tracker'!$E$6:$E$96,MATCH(0,COUNTIF(O$15:O33,'Issue Tracker'!$E$6:$E$96),0))</f>
        <v>#N/A</v>
      </c>
      <c r="S34" t="str">
        <f t="shared" si="2"/>
        <v>#NAME?</v>
      </c>
      <c r="T34" t="str">
        <f t="shared" si="3"/>
        <v>#NAME?</v>
      </c>
    </row>
    <row r="35" ht="15.75" customHeight="1">
      <c r="G35">
        <v>20.0</v>
      </c>
      <c r="H35" s="1">
        <f>keydate-days+G35</f>
        <v>43240</v>
      </c>
      <c r="I35">
        <f>I34+COUNTIFS('Issue Tracker'!$F$6:$F$96,H35,'Issue Tracker'!$D$6:$D$96,type,'Issue Tracker'!$E$6:$E$96,priority)</f>
        <v>10</v>
      </c>
      <c r="J35">
        <f>J34+COUNTIFS('Issue Tracker'!$H$6:$H$96,H35,'Issue Tracker'!$D$6:$D$96,type,'Issue Tracker'!$E$6:$E$96,priority)</f>
        <v>10</v>
      </c>
      <c r="N35" t="str">
        <f t="array" ref="N35">INDEX('Issue Tracker'!$D$6:$D$96,MATCH(0,COUNTIF(N$15:N34, 'Issue Tracker'!$D$6:$D$96),0))</f>
        <v>#N/A</v>
      </c>
      <c r="O35" t="str">
        <f t="array" ref="O35">INDEX('Issue Tracker'!$E$6:$E$96,MATCH(0,COUNTIF(O$15:O34,'Issue Tracker'!$E$6:$E$96),0))</f>
        <v>#N/A</v>
      </c>
      <c r="S35" t="str">
        <f t="shared" si="2"/>
        <v>#NAME?</v>
      </c>
      <c r="T35" t="str">
        <f t="shared" si="3"/>
        <v>#NAME?</v>
      </c>
    </row>
    <row r="36" ht="15.75" customHeight="1">
      <c r="G36">
        <v>21.0</v>
      </c>
      <c r="H36" s="1">
        <f>keydate-days+G36</f>
        <v>43241</v>
      </c>
      <c r="I36">
        <f>I35+COUNTIFS('Issue Tracker'!$F$6:$F$96,H36,'Issue Tracker'!$D$6:$D$96,type,'Issue Tracker'!$E$6:$E$96,priority)</f>
        <v>11</v>
      </c>
      <c r="J36">
        <f>J35+COUNTIFS('Issue Tracker'!$H$6:$H$96,H36,'Issue Tracker'!$D$6:$D$96,type,'Issue Tracker'!$E$6:$E$96,priority)</f>
        <v>12</v>
      </c>
      <c r="N36" t="str">
        <f t="array" ref="N36">INDEX('Issue Tracker'!$D$6:$D$96,MATCH(0,COUNTIF(N$15:N35, 'Issue Tracker'!$D$6:$D$96),0))</f>
        <v>#N/A</v>
      </c>
      <c r="O36" t="str">
        <f t="array" ref="O36">INDEX('Issue Tracker'!$E$6:$E$96,MATCH(0,COUNTIF(O$15:O35,'Issue Tracker'!$E$6:$E$96),0))</f>
        <v>#N/A</v>
      </c>
      <c r="S36" t="str">
        <f t="shared" si="2"/>
        <v>#NAME?</v>
      </c>
      <c r="T36" t="str">
        <f t="shared" si="3"/>
        <v>#NAME?</v>
      </c>
    </row>
    <row r="37" ht="15.75" customHeight="1">
      <c r="G37">
        <v>22.0</v>
      </c>
      <c r="H37" s="1">
        <f>keydate-days+G37</f>
        <v>43242</v>
      </c>
      <c r="I37">
        <f>I36+COUNTIFS('Issue Tracker'!$F$6:$F$96,H37,'Issue Tracker'!$D$6:$D$96,type,'Issue Tracker'!$E$6:$E$96,priority)</f>
        <v>11</v>
      </c>
      <c r="J37">
        <f>J36+COUNTIFS('Issue Tracker'!$H$6:$H$96,H37,'Issue Tracker'!$D$6:$D$96,type,'Issue Tracker'!$E$6:$E$96,priority)</f>
        <v>12</v>
      </c>
      <c r="N37" t="str">
        <f t="array" ref="N37">INDEX('Issue Tracker'!$D$6:$D$96,MATCH(0,COUNTIF(N$15:N36, 'Issue Tracker'!$D$6:$D$96),0))</f>
        <v>#N/A</v>
      </c>
      <c r="O37" t="str">
        <f t="array" ref="O37">INDEX('Issue Tracker'!$E$6:$E$96,MATCH(0,COUNTIF(O$15:O36,'Issue Tracker'!$E$6:$E$96),0))</f>
        <v>#N/A</v>
      </c>
      <c r="S37" t="str">
        <f t="shared" si="2"/>
        <v>#NAME?</v>
      </c>
      <c r="T37" t="str">
        <f t="shared" si="3"/>
        <v>#NAME?</v>
      </c>
    </row>
    <row r="38" ht="15.75" customHeight="1">
      <c r="G38">
        <v>23.0</v>
      </c>
      <c r="H38" s="1">
        <f>keydate-days+G38</f>
        <v>43243</v>
      </c>
      <c r="I38">
        <f>I37+COUNTIFS('Issue Tracker'!$F$6:$F$96,H38,'Issue Tracker'!$D$6:$D$96,type,'Issue Tracker'!$E$6:$E$96,priority)</f>
        <v>11</v>
      </c>
      <c r="J38">
        <f>J37+COUNTIFS('Issue Tracker'!$H$6:$H$96,H38,'Issue Tracker'!$D$6:$D$96,type,'Issue Tracker'!$E$6:$E$96,priority)</f>
        <v>12</v>
      </c>
      <c r="N38" t="str">
        <f t="array" ref="N38">INDEX('Issue Tracker'!$D$6:$D$96,MATCH(0,COUNTIF(N$15:N37, 'Issue Tracker'!$D$6:$D$96),0))</f>
        <v>#N/A</v>
      </c>
      <c r="O38" t="str">
        <f t="array" ref="O38">INDEX('Issue Tracker'!$E$6:$E$96,MATCH(0,COUNTIF(O$15:O37,'Issue Tracker'!$E$6:$E$96),0))</f>
        <v>#N/A</v>
      </c>
      <c r="S38" t="str">
        <f t="shared" si="2"/>
        <v>#NAME?</v>
      </c>
      <c r="T38" t="str">
        <f t="shared" si="3"/>
        <v>#NAME?</v>
      </c>
    </row>
    <row r="39" ht="15.75" customHeight="1">
      <c r="G39">
        <v>24.0</v>
      </c>
      <c r="H39" s="1">
        <f>keydate-days+G39</f>
        <v>43244</v>
      </c>
      <c r="I39">
        <f>I38+COUNTIFS('Issue Tracker'!$F$6:$F$96,H39,'Issue Tracker'!$D$6:$D$96,type,'Issue Tracker'!$E$6:$E$96,priority)</f>
        <v>12</v>
      </c>
      <c r="J39">
        <f>J38+COUNTIFS('Issue Tracker'!$H$6:$H$96,H39,'Issue Tracker'!$D$6:$D$96,type,'Issue Tracker'!$E$6:$E$96,priority)</f>
        <v>12</v>
      </c>
      <c r="N39" t="str">
        <f t="array" ref="N39">INDEX('Issue Tracker'!$D$6:$D$96,MATCH(0,COUNTIF(N$15:N38, 'Issue Tracker'!$D$6:$D$96),0))</f>
        <v>#N/A</v>
      </c>
      <c r="O39" t="str">
        <f t="array" ref="O39">INDEX('Issue Tracker'!$E$6:$E$96,MATCH(0,COUNTIF(O$15:O38,'Issue Tracker'!$E$6:$E$96),0))</f>
        <v>#N/A</v>
      </c>
      <c r="S39" t="str">
        <f t="shared" si="2"/>
        <v>#NAME?</v>
      </c>
      <c r="T39" t="str">
        <f t="shared" si="3"/>
        <v>#NAME?</v>
      </c>
    </row>
    <row r="40" ht="15.75" customHeight="1">
      <c r="G40">
        <v>25.0</v>
      </c>
      <c r="H40" s="1">
        <f>keydate-days+G40</f>
        <v>43245</v>
      </c>
      <c r="I40">
        <f>I39+COUNTIFS('Issue Tracker'!$F$6:$F$96,H40,'Issue Tracker'!$D$6:$D$96,type,'Issue Tracker'!$E$6:$E$96,priority)</f>
        <v>13</v>
      </c>
      <c r="J40">
        <f>J39+COUNTIFS('Issue Tracker'!$H$6:$H$96,H40,'Issue Tracker'!$D$6:$D$96,type,'Issue Tracker'!$E$6:$E$96,priority)</f>
        <v>13</v>
      </c>
      <c r="N40" t="str">
        <f t="array" ref="N40">INDEX('Issue Tracker'!$D$6:$D$96,MATCH(0,COUNTIF(N$15:N39, 'Issue Tracker'!$D$6:$D$96),0))</f>
        <v>#N/A</v>
      </c>
      <c r="O40" t="str">
        <f t="array" ref="O40">INDEX('Issue Tracker'!$E$6:$E$96,MATCH(0,COUNTIF(O$15:O39,'Issue Tracker'!$E$6:$E$96),0))</f>
        <v>#N/A</v>
      </c>
      <c r="S40" t="str">
        <f t="shared" si="2"/>
        <v>#NAME?</v>
      </c>
      <c r="T40" t="str">
        <f t="shared" si="3"/>
        <v>#NAME?</v>
      </c>
    </row>
    <row r="41" ht="15.75" customHeight="1">
      <c r="G41">
        <v>26.0</v>
      </c>
      <c r="H41" s="1">
        <f>keydate-days+G41</f>
        <v>43246</v>
      </c>
      <c r="I41">
        <f>I40+COUNTIFS('Issue Tracker'!$F$6:$F$96,H41,'Issue Tracker'!$D$6:$D$96,type,'Issue Tracker'!$E$6:$E$96,priority)</f>
        <v>13</v>
      </c>
      <c r="J41">
        <f>J40+COUNTIFS('Issue Tracker'!$H$6:$H$96,H41,'Issue Tracker'!$D$6:$D$96,type,'Issue Tracker'!$E$6:$E$96,priority)</f>
        <v>14</v>
      </c>
      <c r="N41" t="str">
        <f t="array" ref="N41">INDEX('Issue Tracker'!$D$6:$D$96,MATCH(0,COUNTIF(N$15:N40, 'Issue Tracker'!$D$6:$D$96),0))</f>
        <v>#N/A</v>
      </c>
      <c r="O41" t="str">
        <f t="array" ref="O41">INDEX('Issue Tracker'!$E$6:$E$96,MATCH(0,COUNTIF(O$15:O40,'Issue Tracker'!$E$6:$E$96),0))</f>
        <v>#N/A</v>
      </c>
      <c r="S41" t="str">
        <f t="shared" si="2"/>
        <v>#NAME?</v>
      </c>
      <c r="T41" t="str">
        <f t="shared" si="3"/>
        <v>#NAME?</v>
      </c>
    </row>
    <row r="42" ht="15.75" customHeight="1">
      <c r="G42">
        <v>27.0</v>
      </c>
      <c r="H42" s="1">
        <f>keydate-days+G42</f>
        <v>43247</v>
      </c>
      <c r="I42">
        <f>I41+COUNTIFS('Issue Tracker'!$F$6:$F$96,H42,'Issue Tracker'!$D$6:$D$96,type,'Issue Tracker'!$E$6:$E$96,priority)</f>
        <v>13</v>
      </c>
      <c r="J42">
        <f>J41+COUNTIFS('Issue Tracker'!$H$6:$H$96,H42,'Issue Tracker'!$D$6:$D$96,type,'Issue Tracker'!$E$6:$E$96,priority)</f>
        <v>14</v>
      </c>
      <c r="N42" t="str">
        <f t="array" ref="N42">INDEX('Issue Tracker'!$D$6:$D$96,MATCH(0,COUNTIF(N$15:N41, 'Issue Tracker'!$D$6:$D$96),0))</f>
        <v>#N/A</v>
      </c>
      <c r="O42" t="str">
        <f t="array" ref="O42">INDEX('Issue Tracker'!$E$6:$E$96,MATCH(0,COUNTIF(O$15:O41,'Issue Tracker'!$E$6:$E$96),0))</f>
        <v>#N/A</v>
      </c>
      <c r="S42" t="str">
        <f t="shared" si="2"/>
        <v>#NAME?</v>
      </c>
      <c r="T42" t="str">
        <f t="shared" si="3"/>
        <v>#NAME?</v>
      </c>
    </row>
    <row r="43" ht="15.75" customHeight="1">
      <c r="G43">
        <v>28.0</v>
      </c>
      <c r="H43" s="1">
        <f>keydate-days+G43</f>
        <v>43248</v>
      </c>
      <c r="I43">
        <f>I42+COUNTIFS('Issue Tracker'!$F$6:$F$96,H43,'Issue Tracker'!$D$6:$D$96,type,'Issue Tracker'!$E$6:$E$96,priority)</f>
        <v>13</v>
      </c>
      <c r="J43">
        <f>J42+COUNTIFS('Issue Tracker'!$H$6:$H$96,H43,'Issue Tracker'!$D$6:$D$96,type,'Issue Tracker'!$E$6:$E$96,priority)</f>
        <v>14</v>
      </c>
      <c r="N43" t="str">
        <f t="array" ref="N43">INDEX('Issue Tracker'!$D$6:$D$96,MATCH(0,COUNTIF(N$15:N42, 'Issue Tracker'!$D$6:$D$96),0))</f>
        <v>#N/A</v>
      </c>
      <c r="O43" t="str">
        <f t="array" ref="O43">INDEX('Issue Tracker'!$E$6:$E$96,MATCH(0,COUNTIF(O$15:O42,'Issue Tracker'!$E$6:$E$96),0))</f>
        <v>#N/A</v>
      </c>
      <c r="S43" t="str">
        <f t="shared" si="2"/>
        <v>#NAME?</v>
      </c>
      <c r="T43" t="str">
        <f t="shared" si="3"/>
        <v>#NAME?</v>
      </c>
    </row>
    <row r="44" ht="15.75" customHeight="1">
      <c r="G44">
        <v>29.0</v>
      </c>
      <c r="H44" s="1">
        <f>keydate-days+G44</f>
        <v>43249</v>
      </c>
      <c r="I44">
        <f>I43+COUNTIFS('Issue Tracker'!$F$6:$F$96,H44,'Issue Tracker'!$D$6:$D$96,type,'Issue Tracker'!$E$6:$E$96,priority)</f>
        <v>13</v>
      </c>
      <c r="J44">
        <f>J43+COUNTIFS('Issue Tracker'!$H$6:$H$96,H44,'Issue Tracker'!$D$6:$D$96,type,'Issue Tracker'!$E$6:$E$96,priority)</f>
        <v>14</v>
      </c>
      <c r="N44" t="str">
        <f t="array" ref="N44">INDEX('Issue Tracker'!$D$6:$D$96,MATCH(0,COUNTIF(N$15:N43, 'Issue Tracker'!$D$6:$D$96),0))</f>
        <v>#N/A</v>
      </c>
      <c r="O44" t="str">
        <f t="array" ref="O44">INDEX('Issue Tracker'!$E$6:$E$96,MATCH(0,COUNTIF(O$15:O43,'Issue Tracker'!$E$6:$E$96),0))</f>
        <v>#N/A</v>
      </c>
      <c r="S44" t="str">
        <f t="shared" si="2"/>
        <v>#NAME?</v>
      </c>
      <c r="T44" t="str">
        <f t="shared" si="3"/>
        <v>#NAME?</v>
      </c>
    </row>
    <row r="45" ht="15.75" customHeight="1">
      <c r="G45">
        <v>30.0</v>
      </c>
      <c r="H45" s="1">
        <f>keydate-days+G45</f>
        <v>43250</v>
      </c>
      <c r="I45">
        <f>I44+COUNTIFS('Issue Tracker'!$F$6:$F$96,H45,'Issue Tracker'!$D$6:$D$96,type,'Issue Tracker'!$E$6:$E$96,priority)</f>
        <v>14</v>
      </c>
      <c r="J45">
        <f>J44+COUNTIFS('Issue Tracker'!$H$6:$H$96,H45,'Issue Tracker'!$D$6:$D$96,type,'Issue Tracker'!$E$6:$E$96,priority)</f>
        <v>14</v>
      </c>
      <c r="N45" t="str">
        <f t="array" ref="N45">INDEX('Issue Tracker'!$D$6:$D$96,MATCH(0,COUNTIF(N$15:N44, 'Issue Tracker'!$D$6:$D$96),0))</f>
        <v>#N/A</v>
      </c>
      <c r="O45" t="str">
        <f t="array" ref="O45">INDEX('Issue Tracker'!$E$6:$E$96,MATCH(0,COUNTIF(O$15:O44,'Issue Tracker'!$E$6:$E$96),0))</f>
        <v>#N/A</v>
      </c>
      <c r="S45" t="str">
        <f t="shared" si="2"/>
        <v>#NAME?</v>
      </c>
      <c r="T45" t="str">
        <f t="shared" si="3"/>
        <v>#NAME?</v>
      </c>
    </row>
    <row r="46" ht="15.75" customHeight="1">
      <c r="G46">
        <v>31.0</v>
      </c>
      <c r="H46" s="1">
        <f>keydate-days+G46</f>
        <v>43251</v>
      </c>
      <c r="I46">
        <f>I45+COUNTIFS('Issue Tracker'!$F$6:$F$96,H46,'Issue Tracker'!$D$6:$D$96,type,'Issue Tracker'!$E$6:$E$96,priority)</f>
        <v>14</v>
      </c>
      <c r="J46">
        <f>J45+COUNTIFS('Issue Tracker'!$H$6:$H$96,H46,'Issue Tracker'!$D$6:$D$96,type,'Issue Tracker'!$E$6:$E$96,priority)</f>
        <v>14</v>
      </c>
    </row>
    <row r="47" ht="15.75" customHeight="1">
      <c r="G47">
        <v>32.0</v>
      </c>
      <c r="H47" s="1">
        <f>keydate-days+G47</f>
        <v>43252</v>
      </c>
      <c r="I47">
        <f>I46+COUNTIFS('Issue Tracker'!$F$6:$F$96,H47,'Issue Tracker'!$D$6:$D$96,type,'Issue Tracker'!$E$6:$E$96,priority)</f>
        <v>14</v>
      </c>
      <c r="J47">
        <f>J46+COUNTIFS('Issue Tracker'!$H$6:$H$96,H47,'Issue Tracker'!$D$6:$D$96,type,'Issue Tracker'!$E$6:$E$96,priority)</f>
        <v>14</v>
      </c>
    </row>
    <row r="48" ht="15.75" customHeight="1">
      <c r="G48">
        <v>33.0</v>
      </c>
      <c r="H48" s="1">
        <f>keydate-days+G48</f>
        <v>43253</v>
      </c>
      <c r="I48">
        <f>I47+COUNTIFS('Issue Tracker'!$F$6:$F$96,H48,'Issue Tracker'!$D$6:$D$96,type,'Issue Tracker'!$E$6:$E$96,priority)</f>
        <v>14</v>
      </c>
      <c r="J48">
        <f>J47+COUNTIFS('Issue Tracker'!$H$6:$H$96,H48,'Issue Tracker'!$D$6:$D$96,type,'Issue Tracker'!$E$6:$E$96,priority)</f>
        <v>14</v>
      </c>
    </row>
    <row r="49" ht="15.75" customHeight="1">
      <c r="G49">
        <v>34.0</v>
      </c>
      <c r="H49" s="1">
        <f>keydate-days+G49</f>
        <v>43254</v>
      </c>
      <c r="I49">
        <f>I48+COUNTIFS('Issue Tracker'!$F$6:$F$96,H49,'Issue Tracker'!$D$6:$D$96,type,'Issue Tracker'!$E$6:$E$96,priority)</f>
        <v>14</v>
      </c>
      <c r="J49">
        <f>J48+COUNTIFS('Issue Tracker'!$H$6:$H$96,H49,'Issue Tracker'!$D$6:$D$96,type,'Issue Tracker'!$E$6:$E$96,priority)</f>
        <v>15</v>
      </c>
    </row>
    <row r="50" ht="15.75" customHeight="1">
      <c r="G50">
        <v>35.0</v>
      </c>
      <c r="H50" s="1">
        <f>keydate-days+G50</f>
        <v>43255</v>
      </c>
      <c r="I50">
        <f>I49+COUNTIFS('Issue Tracker'!$F$6:$F$96,H50,'Issue Tracker'!$D$6:$D$96,type,'Issue Tracker'!$E$6:$E$96,priority)</f>
        <v>15</v>
      </c>
      <c r="J50">
        <f>J49+COUNTIFS('Issue Tracker'!$H$6:$H$96,H50,'Issue Tracker'!$D$6:$D$96,type,'Issue Tracker'!$E$6:$E$96,priority)</f>
        <v>16</v>
      </c>
    </row>
    <row r="51" ht="15.75" customHeight="1">
      <c r="G51">
        <v>36.0</v>
      </c>
      <c r="H51" s="1">
        <f>keydate-days+G51</f>
        <v>43256</v>
      </c>
      <c r="I51">
        <f>I50+COUNTIFS('Issue Tracker'!$F$6:$F$96,H51,'Issue Tracker'!$D$6:$D$96,type,'Issue Tracker'!$E$6:$E$96,priority)</f>
        <v>15</v>
      </c>
      <c r="J51">
        <f>J50+COUNTIFS('Issue Tracker'!$H$6:$H$96,H51,'Issue Tracker'!$D$6:$D$96,type,'Issue Tracker'!$E$6:$E$96,priority)</f>
        <v>16</v>
      </c>
    </row>
    <row r="52" ht="15.75" customHeight="1">
      <c r="G52">
        <v>37.0</v>
      </c>
      <c r="H52" s="1">
        <f>keydate-days+G52</f>
        <v>43257</v>
      </c>
      <c r="I52">
        <f>I51+COUNTIFS('Issue Tracker'!$F$6:$F$96,H52,'Issue Tracker'!$D$6:$D$96,type,'Issue Tracker'!$E$6:$E$96,priority)</f>
        <v>15</v>
      </c>
      <c r="J52">
        <f>J51+COUNTIFS('Issue Tracker'!$H$6:$H$96,H52,'Issue Tracker'!$D$6:$D$96,type,'Issue Tracker'!$E$6:$E$96,priority)</f>
        <v>16</v>
      </c>
    </row>
    <row r="53" ht="15.75" customHeight="1">
      <c r="G53">
        <v>38.0</v>
      </c>
      <c r="H53" s="1">
        <f>keydate-days+G53</f>
        <v>43258</v>
      </c>
      <c r="I53">
        <f>I52+COUNTIFS('Issue Tracker'!$F$6:$F$96,H53,'Issue Tracker'!$D$6:$D$96,type,'Issue Tracker'!$E$6:$E$96,priority)</f>
        <v>17</v>
      </c>
      <c r="J53">
        <f>J52+COUNTIFS('Issue Tracker'!$H$6:$H$96,H53,'Issue Tracker'!$D$6:$D$96,type,'Issue Tracker'!$E$6:$E$96,priority)</f>
        <v>17</v>
      </c>
    </row>
    <row r="54" ht="15.75" customHeight="1">
      <c r="G54">
        <v>39.0</v>
      </c>
      <c r="H54" s="1">
        <f>keydate-days+G54</f>
        <v>43259</v>
      </c>
      <c r="I54">
        <f>I53+COUNTIFS('Issue Tracker'!$F$6:$F$96,H54,'Issue Tracker'!$D$6:$D$96,type,'Issue Tracker'!$E$6:$E$96,priority)</f>
        <v>17</v>
      </c>
      <c r="J54">
        <f>J53+COUNTIFS('Issue Tracker'!$H$6:$H$96,H54,'Issue Tracker'!$D$6:$D$96,type,'Issue Tracker'!$E$6:$E$96,priority)</f>
        <v>17</v>
      </c>
    </row>
    <row r="55" ht="15.75" customHeight="1">
      <c r="G55">
        <v>40.0</v>
      </c>
      <c r="H55" s="1">
        <f>keydate-days+G55</f>
        <v>43260</v>
      </c>
      <c r="I55">
        <f>I54+COUNTIFS('Issue Tracker'!$F$6:$F$96,H55,'Issue Tracker'!$D$6:$D$96,type,'Issue Tracker'!$E$6:$E$96,priority)</f>
        <v>17</v>
      </c>
      <c r="J55">
        <f>J54+COUNTIFS('Issue Tracker'!$H$6:$H$96,H55,'Issue Tracker'!$D$6:$D$96,type,'Issue Tracker'!$E$6:$E$96,priority)</f>
        <v>18</v>
      </c>
    </row>
    <row r="56" ht="15.75" customHeight="1">
      <c r="G56">
        <v>41.0</v>
      </c>
      <c r="H56" s="1">
        <f>keydate-days+G56</f>
        <v>43261</v>
      </c>
      <c r="I56">
        <f>I55+COUNTIFS('Issue Tracker'!$F$6:$F$96,H56,'Issue Tracker'!$D$6:$D$96,type,'Issue Tracker'!$E$6:$E$96,priority)</f>
        <v>17</v>
      </c>
      <c r="J56">
        <f>J55+COUNTIFS('Issue Tracker'!$H$6:$H$96,H56,'Issue Tracker'!$D$6:$D$96,type,'Issue Tracker'!$E$6:$E$96,priority)</f>
        <v>18</v>
      </c>
    </row>
    <row r="57" ht="15.75" customHeight="1">
      <c r="G57">
        <v>42.0</v>
      </c>
      <c r="H57" s="1">
        <f>keydate-days+G57</f>
        <v>43262</v>
      </c>
      <c r="I57">
        <f>I56+COUNTIFS('Issue Tracker'!$F$6:$F$96,H57,'Issue Tracker'!$D$6:$D$96,type,'Issue Tracker'!$E$6:$E$96,priority)</f>
        <v>17</v>
      </c>
      <c r="J57">
        <f>J56+COUNTIFS('Issue Tracker'!$H$6:$H$96,H57,'Issue Tracker'!$D$6:$D$96,type,'Issue Tracker'!$E$6:$E$96,priority)</f>
        <v>18</v>
      </c>
    </row>
    <row r="58" ht="15.75" customHeight="1">
      <c r="G58">
        <v>43.0</v>
      </c>
      <c r="H58" s="1">
        <f>keydate-days+G58</f>
        <v>43263</v>
      </c>
      <c r="I58">
        <f>I57+COUNTIFS('Issue Tracker'!$F$6:$F$96,H58,'Issue Tracker'!$D$6:$D$96,type,'Issue Tracker'!$E$6:$E$96,priority)</f>
        <v>18</v>
      </c>
      <c r="J58">
        <f>J57+COUNTIFS('Issue Tracker'!$H$6:$H$96,H58,'Issue Tracker'!$D$6:$D$96,type,'Issue Tracker'!$E$6:$E$96,priority)</f>
        <v>19</v>
      </c>
    </row>
    <row r="59" ht="15.75" customHeight="1">
      <c r="G59">
        <v>44.0</v>
      </c>
      <c r="H59" s="1">
        <f>keydate-days+G59</f>
        <v>43264</v>
      </c>
      <c r="I59">
        <f>I58+COUNTIFS('Issue Tracker'!$F$6:$F$96,H59,'Issue Tracker'!$D$6:$D$96,type,'Issue Tracker'!$E$6:$E$96,priority)</f>
        <v>18</v>
      </c>
      <c r="J59">
        <f>J58+COUNTIFS('Issue Tracker'!$H$6:$H$96,H59,'Issue Tracker'!$D$6:$D$96,type,'Issue Tracker'!$E$6:$E$96,priority)</f>
        <v>19</v>
      </c>
    </row>
    <row r="60" ht="15.75" customHeight="1">
      <c r="G60">
        <v>45.0</v>
      </c>
      <c r="H60" s="1">
        <f>keydate-days+G60</f>
        <v>43265</v>
      </c>
      <c r="I60">
        <f>I59+COUNTIFS('Issue Tracker'!$F$6:$F$96,H60,'Issue Tracker'!$D$6:$D$96,type,'Issue Tracker'!$E$6:$E$96,priority)</f>
        <v>18</v>
      </c>
      <c r="J60">
        <f>J59+COUNTIFS('Issue Tracker'!$H$6:$H$96,H60,'Issue Tracker'!$D$6:$D$96,type,'Issue Tracker'!$E$6:$E$96,priority)</f>
        <v>19</v>
      </c>
    </row>
    <row r="61" ht="15.75" customHeight="1">
      <c r="G61">
        <v>46.0</v>
      </c>
      <c r="H61" s="1">
        <f>keydate-days+G61</f>
        <v>43266</v>
      </c>
      <c r="I61">
        <f>I60+COUNTIFS('Issue Tracker'!$F$6:$F$96,H61,'Issue Tracker'!$D$6:$D$96,type,'Issue Tracker'!$E$6:$E$96,priority)</f>
        <v>18</v>
      </c>
      <c r="J61">
        <f>J60+COUNTIFS('Issue Tracker'!$H$6:$H$96,H61,'Issue Tracker'!$D$6:$D$96,type,'Issue Tracker'!$E$6:$E$96,priority)</f>
        <v>19</v>
      </c>
    </row>
    <row r="62" ht="15.75" customHeight="1">
      <c r="G62">
        <v>47.0</v>
      </c>
      <c r="H62" s="1">
        <f>keydate-days+G62</f>
        <v>43267</v>
      </c>
      <c r="I62">
        <f>I61+COUNTIFS('Issue Tracker'!$F$6:$F$96,H62,'Issue Tracker'!$D$6:$D$96,type,'Issue Tracker'!$E$6:$E$96,priority)</f>
        <v>18</v>
      </c>
      <c r="J62">
        <f>J61+COUNTIFS('Issue Tracker'!$H$6:$H$96,H62,'Issue Tracker'!$D$6:$D$96,type,'Issue Tracker'!$E$6:$E$96,priority)</f>
        <v>19</v>
      </c>
    </row>
    <row r="63" ht="15.75" customHeight="1">
      <c r="G63">
        <v>48.0</v>
      </c>
      <c r="H63" s="1">
        <f>keydate-days+G63</f>
        <v>43268</v>
      </c>
      <c r="I63">
        <f>I62+COUNTIFS('Issue Tracker'!$F$6:$F$96,H63,'Issue Tracker'!$D$6:$D$96,type,'Issue Tracker'!$E$6:$E$96,priority)</f>
        <v>19</v>
      </c>
      <c r="J63">
        <f>J62+COUNTIFS('Issue Tracker'!$H$6:$H$96,H63,'Issue Tracker'!$D$6:$D$96,type,'Issue Tracker'!$E$6:$E$96,priority)</f>
        <v>20</v>
      </c>
    </row>
    <row r="64" ht="15.75" customHeight="1">
      <c r="G64">
        <v>49.0</v>
      </c>
      <c r="H64" s="1">
        <f>keydate-days+G64</f>
        <v>43269</v>
      </c>
      <c r="I64">
        <f>I63+COUNTIFS('Issue Tracker'!$F$6:$F$96,H64,'Issue Tracker'!$D$6:$D$96,type,'Issue Tracker'!$E$6:$E$96,priority)</f>
        <v>22</v>
      </c>
      <c r="J64">
        <f>J63+COUNTIFS('Issue Tracker'!$H$6:$H$96,H64,'Issue Tracker'!$D$6:$D$96,type,'Issue Tracker'!$E$6:$E$96,priority)</f>
        <v>23</v>
      </c>
    </row>
    <row r="65" ht="15.75" customHeight="1">
      <c r="G65">
        <v>50.0</v>
      </c>
      <c r="H65" s="1">
        <f>keydate-days+G65</f>
        <v>43270</v>
      </c>
      <c r="I65">
        <f>I64+COUNTIFS('Issue Tracker'!$F$6:$F$96,H65,'Issue Tracker'!$D$6:$D$96,type,'Issue Tracker'!$E$6:$E$96,priority)</f>
        <v>23</v>
      </c>
      <c r="J65">
        <f>J64+COUNTIFS('Issue Tracker'!$H$6:$H$96,H65,'Issue Tracker'!$D$6:$D$96,type,'Issue Tracker'!$E$6:$E$96,priority)</f>
        <v>24</v>
      </c>
    </row>
    <row r="66" ht="15.75" customHeight="1">
      <c r="G66">
        <v>51.0</v>
      </c>
      <c r="H66" s="1">
        <f>keydate-days+G66</f>
        <v>43271</v>
      </c>
      <c r="I66">
        <f>I65+COUNTIFS('Issue Tracker'!$F$6:$F$96,H66,'Issue Tracker'!$D$6:$D$96,type,'Issue Tracker'!$E$6:$E$96,priority)</f>
        <v>23</v>
      </c>
      <c r="J66">
        <f>J65+COUNTIFS('Issue Tracker'!$H$6:$H$96,H66,'Issue Tracker'!$D$6:$D$96,type,'Issue Tracker'!$E$6:$E$96,priority)</f>
        <v>24</v>
      </c>
    </row>
    <row r="67" ht="15.75" customHeight="1">
      <c r="G67">
        <v>52.0</v>
      </c>
      <c r="H67" s="1">
        <f>keydate-days+G67</f>
        <v>43272</v>
      </c>
      <c r="I67">
        <f>I66+COUNTIFS('Issue Tracker'!$F$6:$F$96,H67,'Issue Tracker'!$D$6:$D$96,type,'Issue Tracker'!$E$6:$E$96,priority)</f>
        <v>23</v>
      </c>
      <c r="J67">
        <f>J66+COUNTIFS('Issue Tracker'!$H$6:$H$96,H67,'Issue Tracker'!$D$6:$D$96,type,'Issue Tracker'!$E$6:$E$96,priority)</f>
        <v>24</v>
      </c>
    </row>
    <row r="68" ht="15.75" customHeight="1">
      <c r="G68">
        <v>53.0</v>
      </c>
      <c r="H68" s="1">
        <f>keydate-days+G68</f>
        <v>43273</v>
      </c>
      <c r="I68">
        <f>I67+COUNTIFS('Issue Tracker'!$F$6:$F$96,H68,'Issue Tracker'!$D$6:$D$96,type,'Issue Tracker'!$E$6:$E$96,priority)</f>
        <v>23</v>
      </c>
      <c r="J68">
        <f>J67+COUNTIFS('Issue Tracker'!$H$6:$H$96,H68,'Issue Tracker'!$D$6:$D$96,type,'Issue Tracker'!$E$6:$E$96,priority)</f>
        <v>24</v>
      </c>
    </row>
    <row r="69" ht="15.75" customHeight="1">
      <c r="G69">
        <v>54.0</v>
      </c>
      <c r="H69" s="1">
        <f>keydate-days+G69</f>
        <v>43274</v>
      </c>
      <c r="I69">
        <f>I68+COUNTIFS('Issue Tracker'!$F$6:$F$96,H69,'Issue Tracker'!$D$6:$D$96,type,'Issue Tracker'!$E$6:$E$96,priority)</f>
        <v>24</v>
      </c>
      <c r="J69">
        <f>J68+COUNTIFS('Issue Tracker'!$H$6:$H$96,H69,'Issue Tracker'!$D$6:$D$96,type,'Issue Tracker'!$E$6:$E$96,priority)</f>
        <v>25</v>
      </c>
    </row>
    <row r="70" ht="15.75" customHeight="1">
      <c r="G70">
        <v>55.0</v>
      </c>
      <c r="H70" s="1">
        <f>keydate-days+G70</f>
        <v>43275</v>
      </c>
      <c r="I70">
        <f>I69+COUNTIFS('Issue Tracker'!$F$6:$F$96,H70,'Issue Tracker'!$D$6:$D$96,type,'Issue Tracker'!$E$6:$E$96,priority)</f>
        <v>24</v>
      </c>
      <c r="J70">
        <f>J69+COUNTIFS('Issue Tracker'!$H$6:$H$96,H70,'Issue Tracker'!$D$6:$D$96,type,'Issue Tracker'!$E$6:$E$96,priority)</f>
        <v>25</v>
      </c>
    </row>
    <row r="71" ht="15.75" customHeight="1">
      <c r="G71">
        <v>56.0</v>
      </c>
      <c r="H71" s="1">
        <f>keydate-days+G71</f>
        <v>43276</v>
      </c>
      <c r="I71">
        <f>I70+COUNTIFS('Issue Tracker'!$F$6:$F$96,H71,'Issue Tracker'!$D$6:$D$96,type,'Issue Tracker'!$E$6:$E$96,priority)</f>
        <v>24</v>
      </c>
      <c r="J71">
        <f>J70+COUNTIFS('Issue Tracker'!$H$6:$H$96,H71,'Issue Tracker'!$D$6:$D$96,type,'Issue Tracker'!$E$6:$E$96,priority)</f>
        <v>25</v>
      </c>
    </row>
    <row r="72" ht="15.75" customHeight="1">
      <c r="G72">
        <v>57.0</v>
      </c>
      <c r="H72" s="1">
        <f>keydate-days+G72</f>
        <v>43277</v>
      </c>
      <c r="I72">
        <f>I71+COUNTIFS('Issue Tracker'!$F$6:$F$96,H72,'Issue Tracker'!$D$6:$D$96,type,'Issue Tracker'!$E$6:$E$96,priority)</f>
        <v>24</v>
      </c>
      <c r="J72">
        <f>J71+COUNTIFS('Issue Tracker'!$H$6:$H$96,H72,'Issue Tracker'!$D$6:$D$96,type,'Issue Tracker'!$E$6:$E$96,priority)</f>
        <v>25</v>
      </c>
    </row>
    <row r="73" ht="15.75" customHeight="1">
      <c r="G73">
        <v>58.0</v>
      </c>
      <c r="H73" s="1">
        <f>keydate-days+G73</f>
        <v>43278</v>
      </c>
      <c r="I73">
        <f>I72+COUNTIFS('Issue Tracker'!$F$6:$F$96,H73,'Issue Tracker'!$D$6:$D$96,type,'Issue Tracker'!$E$6:$E$96,priority)</f>
        <v>24</v>
      </c>
      <c r="J73">
        <f>J72+COUNTIFS('Issue Tracker'!$H$6:$H$96,H73,'Issue Tracker'!$D$6:$D$96,type,'Issue Tracker'!$E$6:$E$96,priority)</f>
        <v>25</v>
      </c>
    </row>
    <row r="74" ht="15.75" customHeight="1">
      <c r="G74">
        <v>59.0</v>
      </c>
      <c r="H74" s="1">
        <f>keydate-days+G74</f>
        <v>43279</v>
      </c>
      <c r="I74">
        <f>I73+COUNTIFS('Issue Tracker'!$F$6:$F$96,H74,'Issue Tracker'!$D$6:$D$96,type,'Issue Tracker'!$E$6:$E$96,priority)</f>
        <v>26</v>
      </c>
      <c r="J74">
        <f>J73+COUNTIFS('Issue Tracker'!$H$6:$H$96,H74,'Issue Tracker'!$D$6:$D$96,type,'Issue Tracker'!$E$6:$E$96,priority)</f>
        <v>26</v>
      </c>
    </row>
    <row r="75" ht="15.75" customHeight="1">
      <c r="G75">
        <v>60.0</v>
      </c>
      <c r="H75" s="1">
        <f>keydate-days+G75</f>
        <v>43280</v>
      </c>
      <c r="I75">
        <f>I74+COUNTIFS('Issue Tracker'!$F$6:$F$96,H75,'Issue Tracker'!$D$6:$D$96,type,'Issue Tracker'!$E$6:$E$96,priority)</f>
        <v>26</v>
      </c>
      <c r="J75">
        <f>J74+COUNTIFS('Issue Tracker'!$H$6:$H$96,H75,'Issue Tracker'!$D$6:$D$96,type,'Issue Tracker'!$E$6:$E$96,priority)</f>
        <v>26</v>
      </c>
    </row>
    <row r="76" ht="15.75" customHeight="1">
      <c r="G76">
        <v>61.0</v>
      </c>
      <c r="H76" s="1">
        <f>keydate-days+G76</f>
        <v>43281</v>
      </c>
      <c r="I76">
        <f>I75+COUNTIFS('Issue Tracker'!$F$6:$F$96,H76,'Issue Tracker'!$D$6:$D$96,type,'Issue Tracker'!$E$6:$E$96,priority)</f>
        <v>26</v>
      </c>
      <c r="J76">
        <f>J75+COUNTIFS('Issue Tracker'!$H$6:$H$96,H76,'Issue Tracker'!$D$6:$D$96,type,'Issue Tracker'!$E$6:$E$96,priority)</f>
        <v>27</v>
      </c>
    </row>
    <row r="77" ht="15.75" customHeight="1">
      <c r="G77">
        <v>62.0</v>
      </c>
      <c r="H77" s="1">
        <f>keydate-days+G77</f>
        <v>43282</v>
      </c>
      <c r="I77">
        <f>I76+COUNTIFS('Issue Tracker'!$F$6:$F$96,H77,'Issue Tracker'!$D$6:$D$96,type,'Issue Tracker'!$E$6:$E$96,priority)</f>
        <v>26</v>
      </c>
      <c r="J77">
        <f>J76+COUNTIFS('Issue Tracker'!$H$6:$H$96,H77,'Issue Tracker'!$D$6:$D$96,type,'Issue Tracker'!$E$6:$E$96,priority)</f>
        <v>27</v>
      </c>
    </row>
    <row r="78" ht="15.75" customHeight="1">
      <c r="G78">
        <v>63.0</v>
      </c>
      <c r="H78" s="1">
        <f>keydate-days+G78</f>
        <v>43283</v>
      </c>
      <c r="I78">
        <f>I77+COUNTIFS('Issue Tracker'!$F$6:$F$96,H78,'Issue Tracker'!$D$6:$D$96,type,'Issue Tracker'!$E$6:$E$96,priority)</f>
        <v>26</v>
      </c>
      <c r="J78">
        <f>J77+COUNTIFS('Issue Tracker'!$H$6:$H$96,H78,'Issue Tracker'!$D$6:$D$96,type,'Issue Tracker'!$E$6:$E$96,priority)</f>
        <v>27</v>
      </c>
    </row>
    <row r="79" ht="15.75" customHeight="1">
      <c r="G79">
        <v>64.0</v>
      </c>
      <c r="H79" s="1">
        <f>keydate-days+G79</f>
        <v>43284</v>
      </c>
      <c r="I79">
        <f>I78+COUNTIFS('Issue Tracker'!$F$6:$F$96,H79,'Issue Tracker'!$D$6:$D$96,type,'Issue Tracker'!$E$6:$E$96,priority)</f>
        <v>27</v>
      </c>
      <c r="J79">
        <f>J78+COUNTIFS('Issue Tracker'!$H$6:$H$96,H79,'Issue Tracker'!$D$6:$D$96,type,'Issue Tracker'!$E$6:$E$96,priority)</f>
        <v>28</v>
      </c>
    </row>
    <row r="80" ht="15.75" customHeight="1">
      <c r="G80">
        <v>65.0</v>
      </c>
      <c r="H80" s="1">
        <f>keydate-days+G80</f>
        <v>43285</v>
      </c>
      <c r="I80">
        <f>I79+COUNTIFS('Issue Tracker'!$F$6:$F$96,H80,'Issue Tracker'!$D$6:$D$96,type,'Issue Tracker'!$E$6:$E$96,priority)</f>
        <v>29</v>
      </c>
      <c r="J80">
        <f>J79+COUNTIFS('Issue Tracker'!$H$6:$H$96,H80,'Issue Tracker'!$D$6:$D$96,type,'Issue Tracker'!$E$6:$E$96,priority)</f>
        <v>29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