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540"/>
  </bookViews>
  <sheets>
    <sheet name="F2.1" sheetId="2" r:id="rId1"/>
    <sheet name="F2.2" sheetId="5" r:id="rId2"/>
    <sheet name="F2.3" sheetId="8" r:id="rId3"/>
    <sheet name="F2.4" sheetId="15" r:id="rId4"/>
    <sheet name="F2.5" sheetId="18" r:id="rId5"/>
    <sheet name="F2.6" sheetId="9" r:id="rId6"/>
    <sheet name="T2.1" sheetId="1" r:id="rId7"/>
    <sheet name="T2.2" sheetId="3" r:id="rId8"/>
    <sheet name="T2.3" sheetId="4" r:id="rId9"/>
    <sheet name="T2.4" sheetId="6" r:id="rId10"/>
    <sheet name="T2.5" sheetId="7" r:id="rId11"/>
    <sheet name="TS2.1" sheetId="11" r:id="rId12"/>
    <sheet name="TS2.2" sheetId="10" r:id="rId13"/>
    <sheet name="TS2.3" sheetId="12" r:id="rId14"/>
    <sheet name="TS2.4" sheetId="19" r:id="rId15"/>
    <sheet name="TS2.5" sheetId="20" r:id="rId16"/>
    <sheet name="CTS1.2" sheetId="14" r:id="rId17"/>
    <sheet name="CTS1.3" sheetId="13" r:id="rId18"/>
  </sheets>
  <definedNames>
    <definedName name="column_headings" localSheetId="16">#REF!</definedName>
    <definedName name="column_headings" localSheetId="17">#REF!</definedName>
    <definedName name="column_headings" localSheetId="6">#REF!</definedName>
    <definedName name="column_headings" localSheetId="7">#REF!</definedName>
    <definedName name="column_headings" localSheetId="8">#REF!</definedName>
    <definedName name="column_headings" localSheetId="9">#REF!</definedName>
    <definedName name="column_headings" localSheetId="10">#REF!</definedName>
    <definedName name="column_headings" localSheetId="11">#REF!</definedName>
    <definedName name="column_headings" localSheetId="12">#REF!</definedName>
    <definedName name="column_headings" localSheetId="13">#REF!</definedName>
    <definedName name="column_headings">#REF!</definedName>
    <definedName name="column_numbers" localSheetId="16">#REF!</definedName>
    <definedName name="column_numbers" localSheetId="17">#REF!</definedName>
    <definedName name="column_numbers" localSheetId="6">#REF!</definedName>
    <definedName name="column_numbers" localSheetId="7">#REF!</definedName>
    <definedName name="column_numbers" localSheetId="8">#REF!</definedName>
    <definedName name="column_numbers" localSheetId="9">#REF!</definedName>
    <definedName name="column_numbers" localSheetId="10">#REF!</definedName>
    <definedName name="column_numbers" localSheetId="11">#REF!</definedName>
    <definedName name="column_numbers" localSheetId="12">#REF!</definedName>
    <definedName name="column_numbers" localSheetId="13">#REF!</definedName>
    <definedName name="column_numbers">#REF!</definedName>
    <definedName name="data" localSheetId="16">#REF!</definedName>
    <definedName name="data" localSheetId="17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>#REF!</definedName>
    <definedName name="data2" localSheetId="16">#REF!</definedName>
    <definedName name="data2" localSheetId="17">#REF!</definedName>
    <definedName name="data2" localSheetId="6">#REF!</definedName>
    <definedName name="data2" localSheetId="7">#REF!</definedName>
    <definedName name="data2" localSheetId="8">#REF!</definedName>
    <definedName name="data2" localSheetId="9">#REF!</definedName>
    <definedName name="data2" localSheetId="10">#REF!</definedName>
    <definedName name="data2" localSheetId="11">#REF!</definedName>
    <definedName name="data2" localSheetId="12">#REF!</definedName>
    <definedName name="data2" localSheetId="13">#REF!</definedName>
    <definedName name="data2">#REF!</definedName>
    <definedName name="ea_flux" localSheetId="16">#REF!</definedName>
    <definedName name="ea_flux" localSheetId="17">#REF!</definedName>
    <definedName name="ea_flux" localSheetId="6">#REF!</definedName>
    <definedName name="ea_flux" localSheetId="7">#REF!</definedName>
    <definedName name="ea_flux" localSheetId="8">#REF!</definedName>
    <definedName name="ea_flux" localSheetId="9">#REF!</definedName>
    <definedName name="ea_flux" localSheetId="10">#REF!</definedName>
    <definedName name="ea_flux" localSheetId="11">#REF!</definedName>
    <definedName name="ea_flux" localSheetId="12">#REF!</definedName>
    <definedName name="ea_flux" localSheetId="13">#REF!</definedName>
    <definedName name="ea_flux">#REF!</definedName>
    <definedName name="Equilibre" localSheetId="16">#REF!</definedName>
    <definedName name="Equilibre" localSheetId="17">#REF!</definedName>
    <definedName name="Equilibre" localSheetId="6">#REF!</definedName>
    <definedName name="Equilibre" localSheetId="7">#REF!</definedName>
    <definedName name="Equilibre" localSheetId="8">#REF!</definedName>
    <definedName name="Equilibre" localSheetId="9">#REF!</definedName>
    <definedName name="Equilibre" localSheetId="10">#REF!</definedName>
    <definedName name="Equilibre" localSheetId="11">#REF!</definedName>
    <definedName name="Equilibre" localSheetId="12">#REF!</definedName>
    <definedName name="Equilibre" localSheetId="13">#REF!</definedName>
    <definedName name="Equilibre">#REF!</definedName>
    <definedName name="footnotes" localSheetId="16">#REF!</definedName>
    <definedName name="footnotes" localSheetId="17">#REF!</definedName>
    <definedName name="footnotes" localSheetId="6">#REF!</definedName>
    <definedName name="footnotes" localSheetId="7">#REF!</definedName>
    <definedName name="footnotes" localSheetId="8">#REF!</definedName>
    <definedName name="footnotes" localSheetId="9">#REF!</definedName>
    <definedName name="footnotes" localSheetId="10">#REF!</definedName>
    <definedName name="footnotes" localSheetId="11">#REF!</definedName>
    <definedName name="footnotes" localSheetId="12">#REF!</definedName>
    <definedName name="footnotes" localSheetId="13">#REF!</definedName>
    <definedName name="footnotes">#REF!</definedName>
    <definedName name="PIB" localSheetId="16">#REF!</definedName>
    <definedName name="PIB" localSheetId="17">#REF!</definedName>
    <definedName name="PIB" localSheetId="6">#REF!</definedName>
    <definedName name="PIB" localSheetId="7">#REF!</definedName>
    <definedName name="PIB" localSheetId="8">#REF!</definedName>
    <definedName name="PIB" localSheetId="9">#REF!</definedName>
    <definedName name="PIB" localSheetId="10">#REF!</definedName>
    <definedName name="PIB" localSheetId="11">#REF!</definedName>
    <definedName name="PIB" localSheetId="12">#REF!</definedName>
    <definedName name="PIB" localSheetId="13">#REF!</definedName>
    <definedName name="PIB">#REF!</definedName>
    <definedName name="ressources" localSheetId="16">#REF!</definedName>
    <definedName name="ressources" localSheetId="17">#REF!</definedName>
    <definedName name="ressources" localSheetId="6">#REF!</definedName>
    <definedName name="ressources" localSheetId="7">#REF!</definedName>
    <definedName name="ressources" localSheetId="8">#REF!</definedName>
    <definedName name="ressources" localSheetId="9">#REF!</definedName>
    <definedName name="ressources" localSheetId="10">#REF!</definedName>
    <definedName name="ressources" localSheetId="11">#REF!</definedName>
    <definedName name="ressources" localSheetId="12">#REF!</definedName>
    <definedName name="ressources" localSheetId="13">#REF!</definedName>
    <definedName name="ressources">#REF!</definedName>
    <definedName name="rpflux" localSheetId="16">#REF!</definedName>
    <definedName name="rpflux" localSheetId="17">#REF!</definedName>
    <definedName name="rpflux" localSheetId="6">#REF!</definedName>
    <definedName name="rpflux" localSheetId="7">#REF!</definedName>
    <definedName name="rpflux" localSheetId="8">#REF!</definedName>
    <definedName name="rpflux" localSheetId="9">#REF!</definedName>
    <definedName name="rpflux" localSheetId="10">#REF!</definedName>
    <definedName name="rpflux" localSheetId="11">#REF!</definedName>
    <definedName name="rpflux" localSheetId="12">#REF!</definedName>
    <definedName name="rpflux" localSheetId="13">#REF!</definedName>
    <definedName name="rpflux">#REF!</definedName>
    <definedName name="rptof" localSheetId="16">#REF!</definedName>
    <definedName name="rptof" localSheetId="17">#REF!</definedName>
    <definedName name="rptof" localSheetId="6">#REF!</definedName>
    <definedName name="rptof" localSheetId="7">#REF!</definedName>
    <definedName name="rptof" localSheetId="8">#REF!</definedName>
    <definedName name="rptof" localSheetId="9">#REF!</definedName>
    <definedName name="rptof" localSheetId="10">#REF!</definedName>
    <definedName name="rptof" localSheetId="11">#REF!</definedName>
    <definedName name="rptof" localSheetId="12">#REF!</definedName>
    <definedName name="rptof" localSheetId="13">#REF!</definedName>
    <definedName name="rptof">#REF!</definedName>
    <definedName name="spanners_level1" localSheetId="16">#REF!</definedName>
    <definedName name="spanners_level1" localSheetId="17">#REF!</definedName>
    <definedName name="spanners_level1" localSheetId="6">#REF!</definedName>
    <definedName name="spanners_level1" localSheetId="7">#REF!</definedName>
    <definedName name="spanners_level1" localSheetId="8">#REF!</definedName>
    <definedName name="spanners_level1" localSheetId="9">#REF!</definedName>
    <definedName name="spanners_level1" localSheetId="10">#REF!</definedName>
    <definedName name="spanners_level1" localSheetId="11">#REF!</definedName>
    <definedName name="spanners_level1" localSheetId="12">#REF!</definedName>
    <definedName name="spanners_level1" localSheetId="13">#REF!</definedName>
    <definedName name="spanners_level1">#REF!</definedName>
    <definedName name="spanners_level2" localSheetId="16">#REF!</definedName>
    <definedName name="spanners_level2" localSheetId="17">#REF!</definedName>
    <definedName name="spanners_level2" localSheetId="6">#REF!</definedName>
    <definedName name="spanners_level2" localSheetId="7">#REF!</definedName>
    <definedName name="spanners_level2" localSheetId="8">#REF!</definedName>
    <definedName name="spanners_level2" localSheetId="9">#REF!</definedName>
    <definedName name="spanners_level2" localSheetId="10">#REF!</definedName>
    <definedName name="spanners_level2" localSheetId="11">#REF!</definedName>
    <definedName name="spanners_level2" localSheetId="12">#REF!</definedName>
    <definedName name="spanners_level2" localSheetId="13">#REF!</definedName>
    <definedName name="spanners_level2">#REF!</definedName>
    <definedName name="spanners_level3" localSheetId="16">#REF!</definedName>
    <definedName name="spanners_level3" localSheetId="17">#REF!</definedName>
    <definedName name="spanners_level3" localSheetId="6">#REF!</definedName>
    <definedName name="spanners_level3" localSheetId="7">#REF!</definedName>
    <definedName name="spanners_level3" localSheetId="8">#REF!</definedName>
    <definedName name="spanners_level3" localSheetId="9">#REF!</definedName>
    <definedName name="spanners_level3" localSheetId="10">#REF!</definedName>
    <definedName name="spanners_level3" localSheetId="11">#REF!</definedName>
    <definedName name="spanners_level3" localSheetId="12">#REF!</definedName>
    <definedName name="spanners_level3" localSheetId="13">#REF!</definedName>
    <definedName name="spanners_level3">#REF!</definedName>
    <definedName name="spanners_level4" localSheetId="16">#REF!</definedName>
    <definedName name="spanners_level4" localSheetId="17">#REF!</definedName>
    <definedName name="spanners_level4" localSheetId="6">#REF!</definedName>
    <definedName name="spanners_level4" localSheetId="7">#REF!</definedName>
    <definedName name="spanners_level4" localSheetId="8">#REF!</definedName>
    <definedName name="spanners_level4" localSheetId="9">#REF!</definedName>
    <definedName name="spanners_level4" localSheetId="10">#REF!</definedName>
    <definedName name="spanners_level4" localSheetId="11">#REF!</definedName>
    <definedName name="spanners_level4" localSheetId="12">#REF!</definedName>
    <definedName name="spanners_level4" localSheetId="13">#REF!</definedName>
    <definedName name="spanners_level4">#REF!</definedName>
    <definedName name="spanners_level5" localSheetId="16">#REF!</definedName>
    <definedName name="spanners_level5" localSheetId="17">#REF!</definedName>
    <definedName name="spanners_level5" localSheetId="6">#REF!</definedName>
    <definedName name="spanners_level5" localSheetId="7">#REF!</definedName>
    <definedName name="spanners_level5" localSheetId="8">#REF!</definedName>
    <definedName name="spanners_level5" localSheetId="9">#REF!</definedName>
    <definedName name="spanners_level5" localSheetId="10">#REF!</definedName>
    <definedName name="spanners_level5" localSheetId="11">#REF!</definedName>
    <definedName name="spanners_level5" localSheetId="12">#REF!</definedName>
    <definedName name="spanners_level5" localSheetId="13">#REF!</definedName>
    <definedName name="spanners_level5">#REF!</definedName>
    <definedName name="stub_lines" localSheetId="16">#REF!</definedName>
    <definedName name="stub_lines" localSheetId="17">#REF!</definedName>
    <definedName name="stub_lines" localSheetId="6">#REF!</definedName>
    <definedName name="stub_lines" localSheetId="7">#REF!</definedName>
    <definedName name="stub_lines" localSheetId="8">#REF!</definedName>
    <definedName name="stub_lines" localSheetId="9">#REF!</definedName>
    <definedName name="stub_lines" localSheetId="10">#REF!</definedName>
    <definedName name="stub_lines" localSheetId="11">#REF!</definedName>
    <definedName name="stub_lines" localSheetId="12">#REF!</definedName>
    <definedName name="stub_lines" localSheetId="13">#REF!</definedName>
    <definedName name="stub_lines">#REF!</definedName>
    <definedName name="temp" localSheetId="6">#REF!</definedName>
    <definedName name="temp" localSheetId="7">#REF!</definedName>
    <definedName name="temp" localSheetId="8">#REF!</definedName>
    <definedName name="temp" localSheetId="9">#REF!</definedName>
    <definedName name="temp" localSheetId="10">#REF!</definedName>
    <definedName name="temp" localSheetId="11">#REF!</definedName>
    <definedName name="temp" localSheetId="13">#REF!</definedName>
    <definedName name="temp">#REF!</definedName>
    <definedName name="titles" localSheetId="16">#REF!</definedName>
    <definedName name="titles" localSheetId="17">#REF!</definedName>
    <definedName name="titles" localSheetId="6">#REF!</definedName>
    <definedName name="titles" localSheetId="7">#REF!</definedName>
    <definedName name="titles" localSheetId="8">#REF!</definedName>
    <definedName name="titles" localSheetId="9">#REF!</definedName>
    <definedName name="titles" localSheetId="10">#REF!</definedName>
    <definedName name="titles" localSheetId="11">#REF!</definedName>
    <definedName name="titles" localSheetId="12">#REF!</definedName>
    <definedName name="titles" localSheetId="13">#REF!</definedName>
    <definedName name="titles">#REF!</definedName>
    <definedName name="totals" localSheetId="16">#REF!</definedName>
    <definedName name="totals" localSheetId="17">#REF!</definedName>
    <definedName name="totals" localSheetId="6">#REF!</definedName>
    <definedName name="totals" localSheetId="7">#REF!</definedName>
    <definedName name="totals" localSheetId="8">#REF!</definedName>
    <definedName name="totals" localSheetId="9">#REF!</definedName>
    <definedName name="totals" localSheetId="10">#REF!</definedName>
    <definedName name="totals" localSheetId="11">#REF!</definedName>
    <definedName name="totals" localSheetId="12">#REF!</definedName>
    <definedName name="totals" localSheetId="13">#REF!</definedName>
    <definedName name="totals">#REF!</definedName>
    <definedName name="xxx" localSheetId="6">#REF!</definedName>
    <definedName name="xxx" localSheetId="7">#REF!</definedName>
    <definedName name="xxx" localSheetId="8">#REF!</definedName>
    <definedName name="xxx" localSheetId="9">#REF!</definedName>
    <definedName name="xxx" localSheetId="10">#REF!</definedName>
    <definedName name="xxx" localSheetId="11">#REF!</definedName>
    <definedName name="xxx" localSheetId="13">#REF!</definedName>
    <definedName name="xxx">#REF!</definedName>
    <definedName name="_xlnm.Print_Area" localSheetId="12">'TS2.2'!$A$4:$F$43,'TS2.2'!$H$4:$W$28,'TS2.2'!$Y$4:$AD$29,'TS2.2'!$AF$4:$AU$29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9" l="1"/>
  <c r="AG9" i="10"/>
  <c r="Z9" i="10"/>
  <c r="AG8" i="10"/>
  <c r="Z8" i="10"/>
  <c r="B8" i="10"/>
  <c r="B7" i="19"/>
  <c r="C8" i="19"/>
  <c r="AG10" i="10"/>
  <c r="Z10" i="10"/>
  <c r="B9" i="10"/>
  <c r="B8" i="19"/>
  <c r="C9" i="19"/>
  <c r="AG11" i="10"/>
  <c r="Z11" i="10"/>
  <c r="B10" i="10"/>
  <c r="B9" i="19"/>
  <c r="B9" i="12"/>
  <c r="C10" i="19"/>
  <c r="AG12" i="10"/>
  <c r="Z12" i="10"/>
  <c r="B11" i="10"/>
  <c r="B10" i="19"/>
  <c r="B10" i="12"/>
  <c r="C11" i="19"/>
  <c r="AG13" i="10"/>
  <c r="Z13" i="10"/>
  <c r="B12" i="10"/>
  <c r="B11" i="19"/>
  <c r="B12" i="12"/>
  <c r="C12" i="19"/>
  <c r="AG14" i="10"/>
  <c r="Z14" i="10"/>
  <c r="B13" i="10"/>
  <c r="B12" i="19"/>
  <c r="C13" i="19"/>
  <c r="AG15" i="10"/>
  <c r="Z15" i="10"/>
  <c r="B14" i="10"/>
  <c r="AG16" i="10"/>
  <c r="Z16" i="10"/>
  <c r="B15" i="10"/>
  <c r="B13" i="19"/>
  <c r="B15" i="12"/>
  <c r="C14" i="19"/>
  <c r="AG17" i="10"/>
  <c r="Z17" i="10"/>
  <c r="B16" i="10"/>
  <c r="B14" i="19"/>
  <c r="B20" i="19"/>
  <c r="B21" i="19"/>
  <c r="B22" i="19"/>
  <c r="B23" i="19"/>
  <c r="B24" i="19"/>
  <c r="B25" i="19"/>
  <c r="B26" i="19"/>
  <c r="C30" i="12"/>
  <c r="E10" i="19"/>
  <c r="C40" i="12"/>
  <c r="E11" i="19"/>
  <c r="C41" i="12"/>
  <c r="E12" i="19"/>
  <c r="C33" i="12"/>
  <c r="E13" i="19"/>
  <c r="C34" i="12"/>
  <c r="E14" i="19"/>
  <c r="C35" i="12"/>
  <c r="E15" i="19"/>
  <c r="C36" i="12"/>
  <c r="E16" i="19"/>
  <c r="E20" i="19"/>
  <c r="C31" i="12"/>
  <c r="E21" i="19"/>
  <c r="E22" i="19"/>
  <c r="E23" i="19"/>
  <c r="E24" i="19"/>
  <c r="E25" i="19"/>
  <c r="E29" i="19"/>
  <c r="F30" i="12"/>
  <c r="F10" i="19"/>
  <c r="F40" i="12"/>
  <c r="F11" i="19"/>
  <c r="F41" i="12"/>
  <c r="F12" i="19"/>
  <c r="F33" i="12"/>
  <c r="F13" i="19"/>
  <c r="F34" i="12"/>
  <c r="F14" i="19"/>
  <c r="F35" i="12"/>
  <c r="F15" i="19"/>
  <c r="F36" i="12"/>
  <c r="F16" i="19"/>
  <c r="F20" i="19"/>
  <c r="F31" i="12"/>
  <c r="F21" i="19"/>
  <c r="F22" i="19"/>
  <c r="F23" i="19"/>
  <c r="F24" i="19"/>
  <c r="F25" i="19"/>
  <c r="F29" i="19"/>
  <c r="C26" i="19"/>
  <c r="C25" i="19"/>
  <c r="C24" i="19"/>
  <c r="C23" i="19"/>
  <c r="C22" i="19"/>
  <c r="C21" i="19"/>
  <c r="C20" i="19"/>
  <c r="D11" i="11"/>
  <c r="D12" i="11"/>
  <c r="D13" i="11"/>
  <c r="D14" i="11"/>
  <c r="Q22" i="13"/>
  <c r="Q23" i="13"/>
  <c r="R22" i="13"/>
  <c r="R28" i="13"/>
  <c r="S22" i="13"/>
  <c r="S28" i="13"/>
  <c r="T22" i="13"/>
  <c r="T28" i="13"/>
  <c r="U22" i="13"/>
  <c r="U23" i="13"/>
  <c r="V22" i="13"/>
  <c r="V28" i="13"/>
  <c r="W22" i="13"/>
  <c r="W23" i="13"/>
  <c r="X22" i="13"/>
  <c r="X23" i="13"/>
  <c r="Y22" i="13"/>
  <c r="Y23" i="13"/>
  <c r="Z22" i="13"/>
  <c r="Z23" i="13"/>
  <c r="AA22" i="13"/>
  <c r="AA23" i="13"/>
  <c r="AA29" i="13"/>
  <c r="AA28" i="13"/>
  <c r="AB22" i="13"/>
  <c r="AB28" i="13"/>
  <c r="AC22" i="13"/>
  <c r="AD22" i="13"/>
  <c r="AD28" i="13"/>
  <c r="I10" i="10"/>
  <c r="I9" i="10"/>
  <c r="E20" i="12"/>
  <c r="D20" i="12"/>
  <c r="C20" i="12"/>
  <c r="B20" i="12"/>
  <c r="E19" i="12"/>
  <c r="D19" i="12"/>
  <c r="C19" i="12"/>
  <c r="B19" i="12"/>
  <c r="E17" i="12"/>
  <c r="D17" i="12"/>
  <c r="C17" i="12"/>
  <c r="B17" i="12"/>
  <c r="E16" i="12"/>
  <c r="D16" i="12"/>
  <c r="C16" i="12"/>
  <c r="B16" i="12"/>
  <c r="E15" i="12"/>
  <c r="D15" i="12"/>
  <c r="C15" i="12"/>
  <c r="E14" i="12"/>
  <c r="D14" i="12"/>
  <c r="C14" i="12"/>
  <c r="B14" i="12"/>
  <c r="E13" i="12"/>
  <c r="D13" i="12"/>
  <c r="C13" i="12"/>
  <c r="B13" i="12"/>
  <c r="E12" i="12"/>
  <c r="D12" i="12"/>
  <c r="C12" i="12"/>
  <c r="E11" i="12"/>
  <c r="D11" i="12"/>
  <c r="C11" i="12"/>
  <c r="B11" i="12"/>
  <c r="E10" i="12"/>
  <c r="D10" i="12"/>
  <c r="C10" i="12"/>
  <c r="E9" i="12"/>
  <c r="D9" i="12"/>
  <c r="C9" i="12"/>
  <c r="E8" i="12"/>
  <c r="D8" i="12"/>
  <c r="C8" i="12"/>
  <c r="B8" i="12"/>
  <c r="E7" i="12"/>
  <c r="D7" i="12"/>
  <c r="C7" i="12"/>
  <c r="B7" i="12"/>
  <c r="F20" i="12"/>
  <c r="F19" i="12"/>
  <c r="F17" i="12"/>
  <c r="F16" i="12"/>
  <c r="F15" i="12"/>
  <c r="F14" i="12"/>
  <c r="F13" i="12"/>
  <c r="F12" i="12"/>
  <c r="F11" i="12"/>
  <c r="F10" i="12"/>
  <c r="F9" i="12"/>
  <c r="F8" i="12"/>
  <c r="F7" i="12"/>
  <c r="B41" i="12"/>
  <c r="B40" i="12"/>
  <c r="B38" i="12"/>
  <c r="B37" i="12"/>
  <c r="B36" i="12"/>
  <c r="B35" i="12"/>
  <c r="B34" i="12"/>
  <c r="B33" i="12"/>
  <c r="B32" i="12"/>
  <c r="B31" i="12"/>
  <c r="B30" i="12"/>
  <c r="B29" i="12"/>
  <c r="B28" i="12"/>
  <c r="AD21" i="10"/>
  <c r="AC21" i="10"/>
  <c r="AD20" i="10"/>
  <c r="AC20" i="10"/>
  <c r="AD19" i="10"/>
  <c r="AC19" i="10"/>
  <c r="AD18" i="10"/>
  <c r="AC18" i="10"/>
  <c r="AG21" i="10"/>
  <c r="AG20" i="10"/>
  <c r="I20" i="10"/>
  <c r="Z20" i="10"/>
  <c r="AG19" i="10"/>
  <c r="Z19" i="10"/>
  <c r="B19" i="10"/>
  <c r="AG18" i="10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18" i="13"/>
  <c r="C18" i="13"/>
  <c r="D18" i="13"/>
  <c r="E18" i="13"/>
  <c r="F18" i="13"/>
  <c r="B20" i="13"/>
  <c r="C20" i="13"/>
  <c r="D20" i="13"/>
  <c r="E20" i="13"/>
  <c r="F20" i="13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D30" i="12"/>
  <c r="E30" i="12"/>
  <c r="G30" i="12"/>
  <c r="H30" i="12"/>
  <c r="I30" i="12"/>
  <c r="J30" i="12"/>
  <c r="K30" i="12"/>
  <c r="L30" i="12"/>
  <c r="M30" i="12"/>
  <c r="N30" i="12"/>
  <c r="O30" i="12"/>
  <c r="P30" i="12"/>
  <c r="D31" i="12"/>
  <c r="E31" i="12"/>
  <c r="G31" i="12"/>
  <c r="H31" i="12"/>
  <c r="I31" i="12"/>
  <c r="J31" i="12"/>
  <c r="K31" i="12"/>
  <c r="L31" i="12"/>
  <c r="M31" i="12"/>
  <c r="N31" i="12"/>
  <c r="O31" i="12"/>
  <c r="P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D33" i="12"/>
  <c r="E33" i="12"/>
  <c r="G33" i="12"/>
  <c r="H33" i="12"/>
  <c r="I33" i="12"/>
  <c r="J33" i="12"/>
  <c r="K33" i="12"/>
  <c r="L33" i="12"/>
  <c r="M33" i="12"/>
  <c r="N33" i="12"/>
  <c r="O33" i="12"/>
  <c r="P33" i="12"/>
  <c r="D34" i="12"/>
  <c r="E34" i="12"/>
  <c r="G34" i="12"/>
  <c r="H34" i="12"/>
  <c r="I34" i="12"/>
  <c r="J34" i="12"/>
  <c r="K34" i="12"/>
  <c r="L34" i="12"/>
  <c r="M34" i="12"/>
  <c r="N34" i="12"/>
  <c r="O34" i="12"/>
  <c r="P34" i="12"/>
  <c r="D35" i="12"/>
  <c r="E35" i="12"/>
  <c r="G35" i="12"/>
  <c r="H35" i="12"/>
  <c r="I35" i="12"/>
  <c r="J35" i="12"/>
  <c r="K35" i="12"/>
  <c r="L35" i="12"/>
  <c r="M35" i="12"/>
  <c r="N35" i="12"/>
  <c r="O35" i="12"/>
  <c r="P35" i="12"/>
  <c r="D36" i="12"/>
  <c r="E36" i="12"/>
  <c r="G36" i="12"/>
  <c r="H36" i="12"/>
  <c r="I36" i="12"/>
  <c r="J36" i="12"/>
  <c r="K36" i="12"/>
  <c r="L36" i="12"/>
  <c r="M36" i="12"/>
  <c r="N36" i="12"/>
  <c r="O36" i="12"/>
  <c r="P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D40" i="12"/>
  <c r="E40" i="12"/>
  <c r="G40" i="12"/>
  <c r="H40" i="12"/>
  <c r="I40" i="12"/>
  <c r="J40" i="12"/>
  <c r="K40" i="12"/>
  <c r="L40" i="12"/>
  <c r="M40" i="12"/>
  <c r="N40" i="12"/>
  <c r="O40" i="12"/>
  <c r="P40" i="12"/>
  <c r="D41" i="12"/>
  <c r="E41" i="12"/>
  <c r="G41" i="12"/>
  <c r="H41" i="12"/>
  <c r="I41" i="12"/>
  <c r="J41" i="12"/>
  <c r="K41" i="12"/>
  <c r="L41" i="12"/>
  <c r="M41" i="12"/>
  <c r="N41" i="12"/>
  <c r="O41" i="12"/>
  <c r="P41" i="12"/>
  <c r="D7" i="11"/>
  <c r="D8" i="11"/>
  <c r="D9" i="11"/>
  <c r="D10" i="11"/>
  <c r="Z21" i="10"/>
  <c r="B20" i="10"/>
  <c r="AA9" i="10"/>
  <c r="AA8" i="10"/>
  <c r="C8" i="10"/>
  <c r="AB9" i="10"/>
  <c r="AB8" i="10"/>
  <c r="AC9" i="10"/>
  <c r="AC8" i="10"/>
  <c r="E8" i="10"/>
  <c r="AD9" i="10"/>
  <c r="AD8" i="10"/>
  <c r="AD11" i="10"/>
  <c r="F7" i="4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AA10" i="10"/>
  <c r="C9" i="10"/>
  <c r="AB10" i="10"/>
  <c r="D9" i="10"/>
  <c r="AC10" i="10"/>
  <c r="E9" i="10"/>
  <c r="AD10" i="10"/>
  <c r="F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AA11" i="10"/>
  <c r="AB11" i="10"/>
  <c r="AC11" i="10"/>
  <c r="E7" i="4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AA12" i="10"/>
  <c r="AB12" i="10"/>
  <c r="D11" i="10"/>
  <c r="AC12" i="10"/>
  <c r="E9" i="4"/>
  <c r="AD12" i="10"/>
  <c r="F9" i="4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AA13" i="10"/>
  <c r="C10" i="4"/>
  <c r="AB13" i="10"/>
  <c r="D12" i="10"/>
  <c r="AC13" i="10"/>
  <c r="AD13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AA14" i="10"/>
  <c r="AB14" i="10"/>
  <c r="AC14" i="10"/>
  <c r="AD14" i="10"/>
  <c r="F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AA15" i="10"/>
  <c r="AB15" i="10"/>
  <c r="D14" i="10"/>
  <c r="AC15" i="10"/>
  <c r="E14" i="10"/>
  <c r="AD15" i="10"/>
  <c r="F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AA16" i="10"/>
  <c r="C15" i="10"/>
  <c r="AB16" i="10"/>
  <c r="AC16" i="10"/>
  <c r="AD16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AA17" i="10"/>
  <c r="AB17" i="10"/>
  <c r="D16" i="10"/>
  <c r="AC17" i="10"/>
  <c r="E11" i="4"/>
  <c r="AD17" i="10"/>
  <c r="F8" i="4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Z18" i="10"/>
  <c r="AA18" i="10"/>
  <c r="K22" i="13"/>
  <c r="AB18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AA19" i="10"/>
  <c r="AB19" i="10"/>
  <c r="D12" i="4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AA20" i="10"/>
  <c r="AB20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AA21" i="10"/>
  <c r="AB21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AG22" i="10"/>
  <c r="Z22" i="10"/>
  <c r="AA22" i="10"/>
  <c r="C21" i="10"/>
  <c r="AB22" i="10"/>
  <c r="D21" i="10"/>
  <c r="AC22" i="10"/>
  <c r="E21" i="10"/>
  <c r="AD22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AG23" i="10"/>
  <c r="I22" i="10"/>
  <c r="AA23" i="10"/>
  <c r="C22" i="10"/>
  <c r="AB23" i="10"/>
  <c r="AC23" i="10"/>
  <c r="AD23" i="10"/>
  <c r="F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AG24" i="10"/>
  <c r="I23" i="10"/>
  <c r="AA24" i="10"/>
  <c r="C23" i="10"/>
  <c r="AB24" i="10"/>
  <c r="D23" i="10"/>
  <c r="AC24" i="10"/>
  <c r="E23" i="10"/>
  <c r="AD24" i="10"/>
  <c r="F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AG25" i="10"/>
  <c r="Z25" i="10"/>
  <c r="Z24" i="10"/>
  <c r="B24" i="10"/>
  <c r="AA25" i="10"/>
  <c r="AB25" i="10"/>
  <c r="AC25" i="10"/>
  <c r="AD25" i="10"/>
  <c r="F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AG26" i="10"/>
  <c r="I25" i="10"/>
  <c r="AA26" i="10"/>
  <c r="C25" i="10"/>
  <c r="AB26" i="10"/>
  <c r="D25" i="10"/>
  <c r="AC26" i="10"/>
  <c r="AD26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AG27" i="10"/>
  <c r="Z27" i="10"/>
  <c r="AA27" i="10"/>
  <c r="AB27" i="10"/>
  <c r="AC27" i="10"/>
  <c r="E26" i="10"/>
  <c r="AD27" i="10"/>
  <c r="F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AG28" i="10"/>
  <c r="I27" i="10"/>
  <c r="AA28" i="10"/>
  <c r="C27" i="10"/>
  <c r="AB28" i="10"/>
  <c r="D27" i="10"/>
  <c r="AC28" i="10"/>
  <c r="E27" i="10"/>
  <c r="AD28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AG29" i="10"/>
  <c r="AA29" i="10"/>
  <c r="AB29" i="10"/>
  <c r="AC29" i="10"/>
  <c r="E28" i="10"/>
  <c r="AD29" i="10"/>
  <c r="F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8" i="6"/>
  <c r="C8" i="6"/>
  <c r="D8" i="6"/>
  <c r="E8" i="6"/>
  <c r="F8" i="6"/>
  <c r="G8" i="6"/>
  <c r="D9" i="4"/>
  <c r="D11" i="4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B15" i="3"/>
  <c r="C15" i="3"/>
  <c r="D15" i="3"/>
  <c r="D7" i="1"/>
  <c r="D8" i="1"/>
  <c r="D9" i="1"/>
  <c r="D10" i="1"/>
  <c r="D11" i="1"/>
  <c r="L18" i="14"/>
  <c r="N18" i="14"/>
  <c r="H18" i="14"/>
  <c r="F18" i="14"/>
  <c r="K18" i="14"/>
  <c r="E18" i="14"/>
  <c r="J18" i="14"/>
  <c r="D18" i="14"/>
  <c r="I18" i="14"/>
  <c r="C18" i="14"/>
  <c r="B18" i="14"/>
  <c r="N11" i="14"/>
  <c r="N8" i="14"/>
  <c r="N12" i="14"/>
  <c r="H12" i="14"/>
  <c r="N14" i="14"/>
  <c r="N15" i="14"/>
  <c r="H15" i="14"/>
  <c r="N16" i="14"/>
  <c r="H16" i="14"/>
  <c r="N17" i="14"/>
  <c r="N13" i="14"/>
  <c r="H13" i="14"/>
  <c r="N10" i="14"/>
  <c r="H10" i="14"/>
  <c r="B10" i="14"/>
  <c r="N9" i="14"/>
  <c r="H9" i="14"/>
  <c r="H11" i="14"/>
  <c r="L11" i="14"/>
  <c r="F11" i="14"/>
  <c r="H8" i="14"/>
  <c r="L8" i="14"/>
  <c r="F8" i="14"/>
  <c r="H17" i="14"/>
  <c r="B17" i="14"/>
  <c r="K11" i="14"/>
  <c r="E11" i="14"/>
  <c r="J11" i="14"/>
  <c r="D11" i="14"/>
  <c r="I11" i="14"/>
  <c r="V28" i="14"/>
  <c r="V27" i="14"/>
  <c r="V26" i="14"/>
  <c r="V25" i="14"/>
  <c r="V24" i="14"/>
  <c r="V23" i="14"/>
  <c r="V22" i="14"/>
  <c r="L15" i="14"/>
  <c r="K15" i="14"/>
  <c r="J15" i="14"/>
  <c r="I15" i="14"/>
  <c r="L17" i="14"/>
  <c r="K17" i="14"/>
  <c r="E17" i="14"/>
  <c r="J17" i="14"/>
  <c r="I17" i="14"/>
  <c r="C17" i="14"/>
  <c r="L16" i="14"/>
  <c r="K16" i="14"/>
  <c r="J16" i="14"/>
  <c r="I16" i="14"/>
  <c r="L14" i="14"/>
  <c r="K14" i="14"/>
  <c r="H14" i="14"/>
  <c r="E14" i="14"/>
  <c r="J14" i="14"/>
  <c r="I14" i="14"/>
  <c r="L12" i="14"/>
  <c r="K12" i="14"/>
  <c r="J12" i="14"/>
  <c r="D12" i="14"/>
  <c r="I12" i="14"/>
  <c r="D14" i="14"/>
  <c r="L13" i="14"/>
  <c r="F13" i="14"/>
  <c r="K13" i="14"/>
  <c r="E13" i="14"/>
  <c r="J13" i="14"/>
  <c r="D13" i="14"/>
  <c r="I13" i="14"/>
  <c r="K8" i="14"/>
  <c r="J8" i="14"/>
  <c r="I8" i="14"/>
  <c r="C8" i="14"/>
  <c r="K10" i="14"/>
  <c r="E10" i="14"/>
  <c r="L10" i="14"/>
  <c r="F10" i="14"/>
  <c r="I10" i="14"/>
  <c r="C10" i="14"/>
  <c r="J10" i="14"/>
  <c r="D10" i="14"/>
  <c r="K9" i="14"/>
  <c r="L9" i="14"/>
  <c r="I9" i="14"/>
  <c r="J9" i="14"/>
  <c r="B8" i="14"/>
  <c r="D8" i="14"/>
  <c r="B11" i="14"/>
  <c r="C11" i="14"/>
  <c r="C14" i="14"/>
  <c r="D17" i="14"/>
  <c r="F17" i="14"/>
  <c r="E16" i="14"/>
  <c r="D16" i="14"/>
  <c r="C16" i="14"/>
  <c r="B16" i="14"/>
  <c r="C15" i="14"/>
  <c r="B15" i="14"/>
  <c r="F15" i="14"/>
  <c r="C13" i="14"/>
  <c r="B13" i="14"/>
  <c r="F9" i="14"/>
  <c r="D9" i="14"/>
  <c r="C9" i="14"/>
  <c r="B9" i="14"/>
  <c r="E9" i="14"/>
  <c r="E15" i="14"/>
  <c r="E12" i="14"/>
  <c r="C12" i="14"/>
  <c r="B12" i="14"/>
  <c r="F12" i="14"/>
  <c r="F16" i="14"/>
  <c r="D15" i="14"/>
  <c r="F14" i="14"/>
  <c r="D8" i="4"/>
  <c r="I15" i="10"/>
  <c r="E8" i="14"/>
  <c r="F12" i="10"/>
  <c r="E10" i="10"/>
  <c r="B14" i="14"/>
  <c r="Y28" i="13"/>
  <c r="AC23" i="13"/>
  <c r="AC24" i="13"/>
  <c r="AC28" i="13"/>
  <c r="AD23" i="13"/>
  <c r="AD24" i="13"/>
  <c r="Z28" i="13"/>
  <c r="U28" i="13"/>
  <c r="L28" i="13"/>
  <c r="W28" i="13"/>
  <c r="M28" i="13"/>
  <c r="T23" i="13"/>
  <c r="W29" i="13"/>
  <c r="W24" i="13"/>
  <c r="W30" i="13"/>
  <c r="Y29" i="13"/>
  <c r="Y24" i="13"/>
  <c r="Z29" i="13"/>
  <c r="Z24" i="13"/>
  <c r="AB23" i="13"/>
  <c r="S23" i="13"/>
  <c r="X28" i="13"/>
  <c r="U29" i="13"/>
  <c r="U24" i="13"/>
  <c r="Q24" i="13"/>
  <c r="Q29" i="13"/>
  <c r="AC30" i="13"/>
  <c r="AC25" i="13"/>
  <c r="AC31" i="13"/>
  <c r="AD30" i="13"/>
  <c r="AD25" i="13"/>
  <c r="AD31" i="13"/>
  <c r="X29" i="13"/>
  <c r="X24" i="13"/>
  <c r="Q28" i="13"/>
  <c r="K28" i="13"/>
  <c r="AA24" i="13"/>
  <c r="AD29" i="13"/>
  <c r="AC29" i="13"/>
  <c r="V23" i="13"/>
  <c r="R23" i="13"/>
  <c r="K23" i="13"/>
  <c r="C23" i="12"/>
  <c r="P22" i="13"/>
  <c r="C17" i="10"/>
  <c r="C10" i="10"/>
  <c r="F17" i="10"/>
  <c r="I16" i="10"/>
  <c r="I28" i="10"/>
  <c r="D18" i="10"/>
  <c r="C13" i="10"/>
  <c r="F10" i="4"/>
  <c r="D10" i="10"/>
  <c r="D8" i="10"/>
  <c r="E17" i="10"/>
  <c r="F13" i="4"/>
  <c r="F20" i="10"/>
  <c r="F18" i="10"/>
  <c r="E12" i="4"/>
  <c r="F21" i="10"/>
  <c r="F12" i="4"/>
  <c r="C9" i="4"/>
  <c r="D22" i="10"/>
  <c r="D28" i="10"/>
  <c r="E19" i="10"/>
  <c r="C16" i="10"/>
  <c r="E15" i="10"/>
  <c r="E13" i="10"/>
  <c r="C11" i="10"/>
  <c r="E20" i="10"/>
  <c r="Z23" i="10"/>
  <c r="C18" i="10"/>
  <c r="Z28" i="10"/>
  <c r="B27" i="10"/>
  <c r="C19" i="10"/>
  <c r="I18" i="10"/>
  <c r="B23" i="10"/>
  <c r="C28" i="10"/>
  <c r="F27" i="10"/>
  <c r="C26" i="10"/>
  <c r="F25" i="10"/>
  <c r="C24" i="10"/>
  <c r="E22" i="10"/>
  <c r="D19" i="10"/>
  <c r="D15" i="10"/>
  <c r="D13" i="10"/>
  <c r="I12" i="10"/>
  <c r="D7" i="4"/>
  <c r="C8" i="4"/>
  <c r="D26" i="10"/>
  <c r="D24" i="10"/>
  <c r="D13" i="4"/>
  <c r="N22" i="13"/>
  <c r="F22" i="12"/>
  <c r="C7" i="4"/>
  <c r="E8" i="4"/>
  <c r="E24" i="10"/>
  <c r="F15" i="10"/>
  <c r="C14" i="10"/>
  <c r="F10" i="10"/>
  <c r="F8" i="10"/>
  <c r="C8" i="11"/>
  <c r="B8" i="11"/>
  <c r="C9" i="1"/>
  <c r="B9" i="1"/>
  <c r="C13" i="11"/>
  <c r="B13" i="11"/>
  <c r="C10" i="1"/>
  <c r="B10" i="1"/>
  <c r="B10" i="4"/>
  <c r="Z26" i="10"/>
  <c r="B26" i="10"/>
  <c r="B22" i="10"/>
  <c r="F11" i="4"/>
  <c r="E25" i="10"/>
  <c r="I21" i="10"/>
  <c r="E18" i="10"/>
  <c r="E10" i="4"/>
  <c r="D17" i="10"/>
  <c r="I13" i="10"/>
  <c r="C15" i="11"/>
  <c r="C20" i="10"/>
  <c r="B18" i="10"/>
  <c r="E16" i="10"/>
  <c r="C16" i="11"/>
  <c r="I17" i="10"/>
  <c r="C12" i="10"/>
  <c r="F11" i="10"/>
  <c r="F19" i="10"/>
  <c r="I26" i="10"/>
  <c r="L22" i="13"/>
  <c r="D22" i="12"/>
  <c r="E11" i="10"/>
  <c r="M22" i="13"/>
  <c r="E22" i="12"/>
  <c r="E12" i="10"/>
  <c r="B13" i="4"/>
  <c r="Z29" i="10"/>
  <c r="E13" i="4"/>
  <c r="I11" i="10"/>
  <c r="D20" i="10"/>
  <c r="I19" i="10"/>
  <c r="D10" i="4"/>
  <c r="C13" i="4"/>
  <c r="C12" i="4"/>
  <c r="F16" i="10"/>
  <c r="C11" i="4"/>
  <c r="C22" i="12"/>
  <c r="T29" i="13"/>
  <c r="L29" i="13"/>
  <c r="T24" i="13"/>
  <c r="P28" i="13"/>
  <c r="L23" i="13"/>
  <c r="D23" i="12"/>
  <c r="Y25" i="13"/>
  <c r="Y31" i="13"/>
  <c r="Y30" i="13"/>
  <c r="Z25" i="13"/>
  <c r="Z31" i="13"/>
  <c r="Z30" i="13"/>
  <c r="AB29" i="13"/>
  <c r="N29" i="13"/>
  <c r="AB24" i="13"/>
  <c r="N24" i="13"/>
  <c r="N23" i="13"/>
  <c r="F24" i="12"/>
  <c r="S24" i="13"/>
  <c r="S29" i="13"/>
  <c r="N28" i="13"/>
  <c r="W25" i="13"/>
  <c r="W31" i="13"/>
  <c r="F23" i="12"/>
  <c r="AA25" i="13"/>
  <c r="AA31" i="13"/>
  <c r="AA30" i="13"/>
  <c r="V29" i="13"/>
  <c r="M29" i="13"/>
  <c r="V24" i="13"/>
  <c r="U30" i="13"/>
  <c r="U25" i="13"/>
  <c r="R29" i="13"/>
  <c r="R24" i="13"/>
  <c r="Q30" i="13"/>
  <c r="Q25" i="13"/>
  <c r="X25" i="13"/>
  <c r="X30" i="13"/>
  <c r="M23" i="13"/>
  <c r="P23" i="13"/>
  <c r="B21" i="10"/>
  <c r="B12" i="4"/>
  <c r="B17" i="10"/>
  <c r="B28" i="10"/>
  <c r="B25" i="10"/>
  <c r="C10" i="11"/>
  <c r="B10" i="11"/>
  <c r="C7" i="1"/>
  <c r="B7" i="1"/>
  <c r="B7" i="4"/>
  <c r="C7" i="11"/>
  <c r="B7" i="11"/>
  <c r="C9" i="11"/>
  <c r="B9" i="11"/>
  <c r="B8" i="4"/>
  <c r="C11" i="1"/>
  <c r="B11" i="1"/>
  <c r="C8" i="1"/>
  <c r="B8" i="1"/>
  <c r="C11" i="11"/>
  <c r="B11" i="11"/>
  <c r="C14" i="11"/>
  <c r="B14" i="11"/>
  <c r="B11" i="4"/>
  <c r="C12" i="11"/>
  <c r="B12" i="11"/>
  <c r="B9" i="4"/>
  <c r="T25" i="13"/>
  <c r="T31" i="13"/>
  <c r="T30" i="13"/>
  <c r="L30" i="13"/>
  <c r="L24" i="13"/>
  <c r="D24" i="12"/>
  <c r="P24" i="13"/>
  <c r="AB25" i="13"/>
  <c r="AB31" i="13"/>
  <c r="AB30" i="13"/>
  <c r="N30" i="13"/>
  <c r="S30" i="13"/>
  <c r="S25" i="13"/>
  <c r="S31" i="13"/>
  <c r="E23" i="12"/>
  <c r="J28" i="13"/>
  <c r="X33" i="13"/>
  <c r="Q31" i="13"/>
  <c r="X31" i="13"/>
  <c r="V30" i="13"/>
  <c r="V25" i="13"/>
  <c r="M24" i="13"/>
  <c r="E24" i="12"/>
  <c r="U31" i="13"/>
  <c r="P29" i="13"/>
  <c r="K29" i="13"/>
  <c r="J29" i="13"/>
  <c r="P34" i="13"/>
  <c r="W34" i="13"/>
  <c r="R30" i="13"/>
  <c r="R25" i="13"/>
  <c r="R31" i="13"/>
  <c r="K24" i="13"/>
  <c r="K33" i="13"/>
  <c r="R33" i="13"/>
  <c r="AB33" i="13"/>
  <c r="U33" i="13"/>
  <c r="M33" i="13"/>
  <c r="AD33" i="13"/>
  <c r="T33" i="13"/>
  <c r="S33" i="13"/>
  <c r="Q33" i="13"/>
  <c r="D28" i="13"/>
  <c r="D33" i="13"/>
  <c r="V33" i="13"/>
  <c r="AA33" i="13"/>
  <c r="L33" i="13"/>
  <c r="B28" i="13"/>
  <c r="B33" i="13"/>
  <c r="J34" i="13"/>
  <c r="E29" i="13"/>
  <c r="E34" i="13"/>
  <c r="X34" i="13"/>
  <c r="L31" i="13"/>
  <c r="L25" i="13"/>
  <c r="D25" i="12"/>
  <c r="J33" i="13"/>
  <c r="F28" i="13"/>
  <c r="F33" i="13"/>
  <c r="P33" i="13"/>
  <c r="M34" i="13"/>
  <c r="C28" i="13"/>
  <c r="C33" i="13"/>
  <c r="Y33" i="13"/>
  <c r="Z33" i="13"/>
  <c r="K30" i="13"/>
  <c r="N33" i="13"/>
  <c r="D29" i="13"/>
  <c r="D34" i="13"/>
  <c r="AC33" i="13"/>
  <c r="E28" i="13"/>
  <c r="E33" i="13"/>
  <c r="W33" i="13"/>
  <c r="N31" i="13"/>
  <c r="AC34" i="13"/>
  <c r="B29" i="13"/>
  <c r="B34" i="13"/>
  <c r="N34" i="13"/>
  <c r="Y34" i="13"/>
  <c r="V34" i="13"/>
  <c r="N25" i="13"/>
  <c r="F25" i="12"/>
  <c r="S34" i="13"/>
  <c r="Z34" i="13"/>
  <c r="AB34" i="13"/>
  <c r="U34" i="13"/>
  <c r="F29" i="13"/>
  <c r="F34" i="13"/>
  <c r="AD34" i="13"/>
  <c r="K34" i="13"/>
  <c r="L34" i="13"/>
  <c r="T34" i="13"/>
  <c r="Q34" i="13"/>
  <c r="AA34" i="13"/>
  <c r="M30" i="13"/>
  <c r="M25" i="13"/>
  <c r="V31" i="13"/>
  <c r="K25" i="13"/>
  <c r="C24" i="12"/>
  <c r="P30" i="13"/>
  <c r="K31" i="13"/>
  <c r="P31" i="13"/>
  <c r="P25" i="13"/>
  <c r="C29" i="13"/>
  <c r="C34" i="13"/>
  <c r="R34" i="13"/>
  <c r="E25" i="12"/>
  <c r="M31" i="13"/>
  <c r="C25" i="12"/>
  <c r="J30" i="13"/>
  <c r="P35" i="13"/>
  <c r="J31" i="13"/>
  <c r="M36" i="13"/>
  <c r="E31" i="13"/>
  <c r="E36" i="13"/>
  <c r="W35" i="13"/>
  <c r="Z35" i="13"/>
  <c r="T35" i="13"/>
  <c r="S35" i="13"/>
  <c r="AB35" i="13"/>
  <c r="L35" i="13"/>
  <c r="J35" i="13"/>
  <c r="Y35" i="13"/>
  <c r="B30" i="13"/>
  <c r="B35" i="13"/>
  <c r="U35" i="13"/>
  <c r="AD35" i="13"/>
  <c r="X35" i="13"/>
  <c r="AC35" i="13"/>
  <c r="D30" i="13"/>
  <c r="D35" i="13"/>
  <c r="AA35" i="13"/>
  <c r="Q35" i="13"/>
  <c r="N35" i="13"/>
  <c r="C30" i="13"/>
  <c r="C35" i="13"/>
  <c r="R35" i="13"/>
  <c r="F30" i="13"/>
  <c r="F35" i="13"/>
  <c r="K35" i="13"/>
  <c r="V35" i="13"/>
  <c r="E30" i="13"/>
  <c r="E35" i="13"/>
  <c r="M35" i="13"/>
  <c r="N36" i="13"/>
  <c r="B31" i="13"/>
  <c r="B36" i="13"/>
  <c r="AB36" i="13"/>
  <c r="AC36" i="13"/>
  <c r="Y36" i="13"/>
  <c r="T36" i="13"/>
  <c r="AA36" i="13"/>
  <c r="D31" i="13"/>
  <c r="D36" i="13"/>
  <c r="J36" i="13"/>
  <c r="F31" i="13"/>
  <c r="F36" i="13"/>
  <c r="W36" i="13"/>
  <c r="AD36" i="13"/>
  <c r="Z36" i="13"/>
  <c r="Q36" i="13"/>
  <c r="S36" i="13"/>
  <c r="L36" i="13"/>
  <c r="X36" i="13"/>
  <c r="U36" i="13"/>
  <c r="R36" i="13"/>
  <c r="C31" i="13"/>
  <c r="C36" i="13"/>
  <c r="K36" i="13"/>
  <c r="V36" i="13"/>
  <c r="P36" i="13"/>
  <c r="J24" i="13"/>
  <c r="J23" i="13"/>
  <c r="B24" i="12"/>
  <c r="C17" i="19"/>
  <c r="J25" i="13"/>
  <c r="B25" i="12"/>
  <c r="C18" i="19"/>
  <c r="C28" i="19"/>
  <c r="J22" i="13"/>
  <c r="B22" i="12"/>
  <c r="C15" i="19"/>
  <c r="B23" i="12"/>
  <c r="C16" i="19"/>
  <c r="C27" i="19"/>
  <c r="B23" i="13"/>
  <c r="C22" i="13"/>
  <c r="F22" i="13"/>
  <c r="E22" i="13"/>
  <c r="B22" i="13"/>
  <c r="D22" i="13"/>
  <c r="E23" i="13"/>
  <c r="F23" i="13"/>
  <c r="C23" i="13"/>
  <c r="D23" i="13"/>
  <c r="B24" i="13"/>
  <c r="E24" i="13"/>
  <c r="D24" i="13"/>
  <c r="F24" i="13"/>
  <c r="E25" i="13"/>
  <c r="C24" i="13"/>
  <c r="C25" i="13"/>
  <c r="F25" i="13"/>
  <c r="B25" i="13"/>
  <c r="D25" i="13"/>
  <c r="C29" i="19"/>
  <c r="B17" i="19"/>
  <c r="B18" i="19"/>
  <c r="B28" i="19"/>
  <c r="B15" i="19"/>
  <c r="B16" i="19"/>
  <c r="B27" i="19"/>
  <c r="B29" i="19"/>
</calcChain>
</file>

<file path=xl/sharedStrings.xml><?xml version="1.0" encoding="utf-8"?>
<sst xmlns="http://schemas.openxmlformats.org/spreadsheetml/2006/main" count="377" uniqueCount="153">
  <si>
    <t>0-1700</t>
  </si>
  <si>
    <t>1700-2012</t>
  </si>
  <si>
    <t xml:space="preserve">         1820-1913</t>
  </si>
  <si>
    <t xml:space="preserve">         1913-2012</t>
  </si>
  <si>
    <t>X</t>
  </si>
  <si>
    <t>…</t>
  </si>
  <si>
    <t>Europe</t>
  </si>
  <si>
    <t>Amérique</t>
  </si>
  <si>
    <t>Afrique</t>
  </si>
  <si>
    <t>Asie</t>
  </si>
  <si>
    <t>France</t>
  </si>
  <si>
    <t>Agriculture</t>
  </si>
  <si>
    <t>Services</t>
  </si>
  <si>
    <t>1913-1950</t>
  </si>
  <si>
    <t>1950-1970</t>
  </si>
  <si>
    <t>1970-1990</t>
  </si>
  <si>
    <t>1990-2012</t>
  </si>
  <si>
    <t>1950-1980</t>
  </si>
  <si>
    <t>1980-2012</t>
  </si>
  <si>
    <t>1000-1500</t>
  </si>
  <si>
    <t>1820-1913</t>
  </si>
  <si>
    <t>1820-1870</t>
  </si>
  <si>
    <t>1870-1913</t>
  </si>
  <si>
    <t>2012-2030</t>
  </si>
  <si>
    <t>2030-2050</t>
  </si>
  <si>
    <t>2030 (M)</t>
  </si>
  <si>
    <t>2050-2070</t>
  </si>
  <si>
    <t>2050 (M)</t>
  </si>
  <si>
    <t>2070-2100</t>
  </si>
  <si>
    <t>2070 (M)</t>
  </si>
  <si>
    <t>2012-2030 (H)</t>
  </si>
  <si>
    <t>2100 (M)</t>
  </si>
  <si>
    <t>2030-2050 (H)</t>
  </si>
  <si>
    <t>2030 (H)</t>
  </si>
  <si>
    <t>2050-2070 (H)</t>
  </si>
  <si>
    <t>2050 (H)</t>
  </si>
  <si>
    <t>2070-2100 (H)</t>
  </si>
  <si>
    <t>2070 (H)</t>
  </si>
  <si>
    <t>2012-2030 (L)</t>
  </si>
  <si>
    <t>2100 (H)</t>
  </si>
  <si>
    <t>2030-2050 (L)</t>
  </si>
  <si>
    <t>2030 (L)</t>
  </si>
  <si>
    <t>2050-2070 (L)</t>
  </si>
  <si>
    <t>2050 (L)</t>
  </si>
  <si>
    <t>2070-2100 (L)</t>
  </si>
  <si>
    <t>2070 (L)</t>
  </si>
  <si>
    <t>2100 (L)</t>
  </si>
  <si>
    <r>
      <rPr>
        <sz val="10"/>
        <rFont val="Arial"/>
      </rPr>
      <t>0-</t>
    </r>
    <r>
      <rPr>
        <sz val="10"/>
        <rFont val="Arial"/>
      </rPr>
      <t>1000</t>
    </r>
  </si>
  <si>
    <r>
      <t>1500</t>
    </r>
    <r>
      <rPr>
        <sz val="10"/>
        <rFont val="Arial"/>
      </rPr>
      <t>-1700</t>
    </r>
  </si>
  <si>
    <r>
      <t>1</t>
    </r>
    <r>
      <rPr>
        <sz val="10"/>
        <rFont val="Arial"/>
      </rPr>
      <t>700-1820</t>
    </r>
  </si>
  <si>
    <r>
      <rPr>
        <sz val="10"/>
        <rFont val="Arial"/>
      </rPr>
      <t>1913-</t>
    </r>
    <r>
      <rPr>
        <sz val="10"/>
        <rFont val="Arial"/>
      </rPr>
      <t>1950</t>
    </r>
  </si>
  <si>
    <r>
      <rPr>
        <sz val="10"/>
        <rFont val="Arial"/>
      </rPr>
      <t>1950-</t>
    </r>
    <r>
      <rPr>
        <sz val="10"/>
        <rFont val="Arial"/>
      </rPr>
      <t>1970</t>
    </r>
  </si>
  <si>
    <t>dont: 0-1000</t>
  </si>
  <si>
    <t xml:space="preserve">         1000-1500</t>
  </si>
  <si>
    <t xml:space="preserve">         1500-1700</t>
  </si>
  <si>
    <t>1700-1820</t>
  </si>
  <si>
    <t>1913-2012</t>
  </si>
  <si>
    <t>2012-2030(M)</t>
  </si>
  <si>
    <t>2030-2050(M)</t>
  </si>
  <si>
    <t>2050-2070(M)</t>
  </si>
  <si>
    <t>2070-2100(M)</t>
  </si>
  <si>
    <t>1950-1990</t>
  </si>
  <si>
    <t>1950-2012</t>
  </si>
  <si>
    <t>2012-2050</t>
  </si>
  <si>
    <t>2050-2100</t>
  </si>
  <si>
    <t>Production mondiale  (milliards € 2012) (PPP)</t>
  </si>
  <si>
    <t xml:space="preserve">Production mondiale </t>
  </si>
  <si>
    <t>Western Europe</t>
  </si>
  <si>
    <t>North America</t>
  </si>
  <si>
    <t>Table 2.1: World growth since the industrial revolution</t>
  </si>
  <si>
    <t>Average annual growth rate</t>
  </si>
  <si>
    <t>World output</t>
  </si>
  <si>
    <t>World population</t>
  </si>
  <si>
    <t>Per capita output</t>
  </si>
  <si>
    <t>incl.: 1700-1820</t>
  </si>
  <si>
    <t xml:space="preserve">Sources: see piketty.pse.ens.fr/capital21c. </t>
  </si>
  <si>
    <t>Table 2.2. The law of cumulated growth</t>
  </si>
  <si>
    <t>An annual growth rate equal to…</t>
  </si>
  <si>
    <t>.. is equivalent to a generational growth rate (30 years) of...</t>
  </si>
  <si>
    <t>…i.e. a multiplication by a coefficient equal to…</t>
  </si>
  <si>
    <t>…and a multiplication after 100 years by a coefficient equal to…</t>
  </si>
  <si>
    <t>…and a multiplication after 1000 years by a coefficient equal to…</t>
  </si>
  <si>
    <t xml:space="preserve">Table 2.3: Demographic growth since the industrial revolution </t>
  </si>
  <si>
    <t>America</t>
  </si>
  <si>
    <t>Africa</t>
  </si>
  <si>
    <t>Asia</t>
  </si>
  <si>
    <t>incl: 1700-1820</t>
  </si>
  <si>
    <t>Projections 2012-2050</t>
  </si>
  <si>
    <t>Projections 2050-2100</t>
  </si>
  <si>
    <t xml:space="preserve">Sources: see piketty.pse.ens.fr/capital21c. Projections for 2012-2100 correspond to the UN central scenario. </t>
  </si>
  <si>
    <t>Table 2.4: Employment by sector                                                                                                      in France and the United States, 1800-2012</t>
  </si>
  <si>
    <t>(% of total employment)</t>
  </si>
  <si>
    <t>Manufacturing</t>
  </si>
  <si>
    <t>United States</t>
  </si>
  <si>
    <t>In 2012, agriculture made 3% of total employment in France, vs. 21% in manufacturing and 76% in the services. Construction - 7% of employment in France and the U.S. in 2012 - was included in manufacturing.</t>
  </si>
  <si>
    <t>Sources: see piketty.pse.ens.fr/capital21c.</t>
  </si>
  <si>
    <t>Table 2.5: Per capita output growth since the industrial revolution</t>
  </si>
  <si>
    <t>Per capita world output</t>
  </si>
  <si>
    <t>Germany</t>
  </si>
  <si>
    <t>Britain</t>
  </si>
  <si>
    <t>World population (growth rate)</t>
  </si>
  <si>
    <r>
      <t>Améri</t>
    </r>
    <r>
      <rPr>
        <sz val="10"/>
        <rFont val="Arial"/>
      </rPr>
      <t>ca</t>
    </r>
  </si>
  <si>
    <r>
      <t>Afri</t>
    </r>
    <r>
      <rPr>
        <sz val="10"/>
        <rFont val="Arial"/>
      </rPr>
      <t>ca</t>
    </r>
  </si>
  <si>
    <r>
      <t>Asi</t>
    </r>
    <r>
      <rPr>
        <sz val="10"/>
        <rFont val="Arial"/>
      </rPr>
      <t>a</t>
    </r>
  </si>
  <si>
    <t>Eastern Europe</t>
  </si>
  <si>
    <r>
      <t>Russi</t>
    </r>
    <r>
      <rPr>
        <sz val="10"/>
        <rFont val="Arial"/>
      </rPr>
      <t>a</t>
    </r>
    <r>
      <rPr>
        <sz val="10"/>
        <rFont val="Arial"/>
      </rPr>
      <t xml:space="preserve"> (+Ukraine/</t>
    </r>
    <r>
      <rPr>
        <sz val="10"/>
        <rFont val="Arial"/>
      </rPr>
      <t xml:space="preserve"> Belarus</t>
    </r>
    <r>
      <rPr>
        <sz val="10"/>
        <rFont val="Arial"/>
      </rPr>
      <t>/ Moldavi</t>
    </r>
    <r>
      <rPr>
        <sz val="10"/>
        <rFont val="Arial"/>
      </rPr>
      <t>a</t>
    </r>
    <r>
      <rPr>
        <sz val="10"/>
        <rFont val="Arial"/>
      </rPr>
      <t>)</t>
    </r>
  </si>
  <si>
    <t>Latin America</t>
  </si>
  <si>
    <t>Northern Africa</t>
  </si>
  <si>
    <t>Sub-Saharan Africa</t>
  </si>
  <si>
    <t>China</t>
  </si>
  <si>
    <t>India</t>
  </si>
  <si>
    <t>Japan</t>
  </si>
  <si>
    <t>Australia/NZ</t>
  </si>
  <si>
    <r>
      <rPr>
        <sz val="10"/>
        <rFont val="Arial"/>
      </rPr>
      <t>Middle East</t>
    </r>
    <r>
      <rPr>
        <sz val="10"/>
        <rFont val="Arial"/>
      </rPr>
      <t xml:space="preserve"> (</t>
    </r>
    <r>
      <rPr>
        <sz val="10"/>
        <rFont val="Arial"/>
      </rPr>
      <t>incl. Turkey</t>
    </r>
    <r>
      <rPr>
        <sz val="10"/>
        <rFont val="Arial"/>
      </rPr>
      <t>)</t>
    </r>
  </si>
  <si>
    <t>Central Asia</t>
  </si>
  <si>
    <t>Other Asian countries</t>
  </si>
  <si>
    <t>World population (millions inhabitants)</t>
  </si>
  <si>
    <r>
      <t xml:space="preserve">Source: </t>
    </r>
    <r>
      <rPr>
        <sz val="10"/>
        <rFont val="Arial"/>
      </rPr>
      <t>Author's calculations from Angus Maddison's historical series</t>
    </r>
    <r>
      <rPr>
        <sz val="10"/>
        <rFont val="Arial"/>
      </rPr>
      <t xml:space="preserve">, "Historical statistics of the world economy 1-2008" (February 2010),  </t>
    </r>
    <r>
      <rPr>
        <sz val="10"/>
        <rFont val="Arial"/>
      </rPr>
      <t xml:space="preserve">United Nations/World Bank's official series for </t>
    </r>
    <r>
      <rPr>
        <sz val="10"/>
        <rFont val="Arial"/>
      </rPr>
      <t>1990-2012 (Octobr</t>
    </r>
    <r>
      <rPr>
        <sz val="10"/>
        <rFont val="Arial"/>
      </rPr>
      <t>e</t>
    </r>
    <r>
      <rPr>
        <sz val="10"/>
        <rFont val="Arial"/>
      </rPr>
      <t xml:space="preserve"> 2012), et </t>
    </r>
    <r>
      <rPr>
        <sz val="10"/>
        <rFont val="Arial"/>
      </rPr>
      <t>UN official projections</t>
    </r>
    <r>
      <rPr>
        <sz val="10"/>
        <rFont val="Arial"/>
      </rPr>
      <t xml:space="preserve"> </t>
    </r>
    <r>
      <rPr>
        <sz val="10"/>
        <rFont val="Arial"/>
      </rPr>
      <t>for</t>
    </r>
    <r>
      <rPr>
        <sz val="10"/>
        <rFont val="Arial"/>
      </rPr>
      <t xml:space="preserve"> 2012-2100 (UN Population Prospects, April 2011 version) (</t>
    </r>
    <r>
      <rPr>
        <sz val="10"/>
        <rFont val="Arial"/>
      </rPr>
      <t>central scenario</t>
    </r>
    <r>
      <rPr>
        <sz val="10"/>
        <rFont val="Arial"/>
      </rPr>
      <t xml:space="preserve">, </t>
    </r>
    <r>
      <rPr>
        <sz val="10"/>
        <rFont val="Arial"/>
      </rPr>
      <t>then</t>
    </r>
    <r>
      <rPr>
        <sz val="10"/>
        <rFont val="Arial"/>
      </rPr>
      <t xml:space="preserve"> </t>
    </r>
    <r>
      <rPr>
        <sz val="10"/>
        <rFont val="Arial"/>
      </rPr>
      <t>high scenario</t>
    </r>
    <r>
      <rPr>
        <sz val="10"/>
        <rFont val="Arial"/>
      </rPr>
      <t xml:space="preserve">, </t>
    </r>
    <r>
      <rPr>
        <sz val="10"/>
        <rFont val="Arial"/>
      </rPr>
      <t>then low scenario</t>
    </r>
    <r>
      <rPr>
        <sz val="10"/>
        <rFont val="Arial"/>
      </rPr>
      <t xml:space="preserve">). </t>
    </r>
    <r>
      <rPr>
        <sz val="10"/>
        <rFont val="Arial"/>
      </rPr>
      <t>Russia was included in Europe</t>
    </r>
    <r>
      <rPr>
        <sz val="10"/>
        <rFont val="Arial"/>
      </rPr>
      <t xml:space="preserve">, </t>
    </r>
    <r>
      <rPr>
        <sz val="10"/>
        <rFont val="Arial"/>
      </rPr>
      <t>and former Central Asia Republiques</t>
    </r>
    <r>
      <rPr>
        <sz val="10"/>
        <rFont val="Arial"/>
      </rPr>
      <t xml:space="preserve"> et </t>
    </r>
    <r>
      <rPr>
        <sz val="10"/>
        <rFont val="Arial"/>
      </rPr>
      <t>Oceania</t>
    </r>
    <r>
      <rPr>
        <sz val="10"/>
        <rFont val="Arial"/>
      </rPr>
      <t xml:space="preserve"> </t>
    </r>
    <r>
      <rPr>
        <sz val="10"/>
        <rFont val="Arial"/>
      </rPr>
      <t>in Asia</t>
    </r>
    <r>
      <rPr>
        <sz val="10"/>
        <rFont val="Arial"/>
      </rPr>
      <t xml:space="preserve">. </t>
    </r>
    <r>
      <rPr>
        <sz val="10"/>
        <rFont val="Arial"/>
      </rPr>
      <t>All the details are available in the followong excel files</t>
    </r>
    <r>
      <rPr>
        <sz val="10"/>
        <rFont val="Arial"/>
      </rPr>
      <t>:</t>
    </r>
    <r>
      <rPr>
        <sz val="10"/>
        <rFont val="Arial"/>
      </rPr>
      <t xml:space="preserve"> population data 0-2012 are directly copied from</t>
    </r>
    <r>
      <rPr>
        <sz val="10"/>
        <rFont val="Arial"/>
      </rPr>
      <t xml:space="preserve"> table S1.2; </t>
    </r>
    <r>
      <rPr>
        <sz val="10"/>
        <rFont val="Arial"/>
      </rPr>
      <t>projections directly copied from</t>
    </r>
    <r>
      <rPr>
        <sz val="10"/>
        <rFont val="Arial"/>
      </rPr>
      <t xml:space="preserve"> </t>
    </r>
    <r>
      <rPr>
        <sz val="10"/>
        <rFont val="Arial"/>
      </rPr>
      <t>file</t>
    </r>
    <r>
      <rPr>
        <sz val="10"/>
        <rFont val="Arial"/>
      </rPr>
      <t xml:space="preserve"> WorldGDP.xls </t>
    </r>
    <r>
      <rPr>
        <sz val="10"/>
        <rFont val="Arial"/>
      </rPr>
      <t>sheets</t>
    </r>
    <r>
      <rPr>
        <sz val="10"/>
        <rFont val="Arial"/>
      </rPr>
      <t xml:space="preserve"> TableW8, TableW8H et Table W8L</t>
    </r>
  </si>
  <si>
    <t>World per capita output</t>
  </si>
  <si>
    <t>see formulas</t>
  </si>
  <si>
    <t>Table S2.5. Inflation in rich countries since the Industrial Revolution (series used for figure 2.6)</t>
  </si>
  <si>
    <t>Table S2.3: Detailed series for per capita output growth since the Industrial Revolution</t>
  </si>
  <si>
    <t xml:space="preserve">Table S2.2b. Detailed series of world population growth rate, 0-2100 </t>
  </si>
  <si>
    <t xml:space="preserve">Table S2.2c. World population 0-2100 </t>
  </si>
  <si>
    <t xml:space="preserve">Table S2.2d. Detailed series of world population 0-2100 </t>
  </si>
  <si>
    <r>
      <t xml:space="preserve">Data for 1800: France: C. Marchand, O. Thélot, </t>
    </r>
    <r>
      <rPr>
        <i/>
        <sz val="12"/>
        <rFont val="Arial"/>
        <family val="2"/>
      </rPr>
      <t>Le Travail en France 1800-2000</t>
    </r>
    <r>
      <rPr>
        <sz val="12"/>
        <rFont val="Arial"/>
        <family val="2"/>
      </rPr>
      <t xml:space="preserve">, Nathan, 1997, Tableau A3, p.214 (data for 1806); United States, </t>
    </r>
    <r>
      <rPr>
        <i/>
        <sz val="12"/>
        <rFont val="Arial"/>
        <family val="2"/>
      </rPr>
      <t>Historical Statistics of the United States</t>
    </r>
    <r>
      <rPr>
        <sz val="12"/>
        <rFont val="Arial"/>
        <family val="2"/>
      </rPr>
      <t>, US Census Bureau, 1976, Part 1, p.139 (total employment data and agricultural jobs data for 1800; estimates of the disentanglement industry/services from incomplete data of 1800-1840)</t>
    </r>
  </si>
  <si>
    <r>
      <t xml:space="preserve">Data for 1900 et 1950: T. Piketty, "Les emplois de services de France et aux Etats-Unis", </t>
    </r>
    <r>
      <rPr>
        <i/>
        <sz val="12"/>
        <rFont val="Arial"/>
        <family val="2"/>
      </rPr>
      <t>Note de la Fondation Saint-Simon</t>
    </r>
    <r>
      <rPr>
        <sz val="12"/>
        <rFont val="Arial"/>
        <family val="2"/>
      </rPr>
      <t>, 1997, Tableau III, p.11 (all the details on the sources are avalaible pp.43-44; figures for the United States regard years 1900 and 1950, figures for France regard years 1906 et 1954)</t>
    </r>
  </si>
  <si>
    <t>Data for 2012: from employment survey 2011 (France) et current population survey 2011 (US) (see raw files in directory RawDataFiles)</t>
  </si>
  <si>
    <r>
      <t>Russ</t>
    </r>
    <r>
      <rPr>
        <sz val="10"/>
        <rFont val="Arial"/>
      </rPr>
      <t>ia</t>
    </r>
    <r>
      <rPr>
        <sz val="10"/>
        <rFont val="Arial"/>
      </rPr>
      <t xml:space="preserve"> (+Ukraine/ </t>
    </r>
    <r>
      <rPr>
        <sz val="10"/>
        <rFont val="Arial"/>
      </rPr>
      <t>Belarus</t>
    </r>
    <r>
      <rPr>
        <sz val="10"/>
        <rFont val="Arial"/>
      </rPr>
      <t>/ Moldavi</t>
    </r>
    <r>
      <rPr>
        <sz val="10"/>
        <rFont val="Arial"/>
      </rPr>
      <t>a</t>
    </r>
    <r>
      <rPr>
        <sz val="10"/>
        <rFont val="Arial"/>
      </rPr>
      <t>)</t>
    </r>
  </si>
  <si>
    <r>
      <t>Chin</t>
    </r>
    <r>
      <rPr>
        <sz val="10"/>
        <rFont val="Arial"/>
      </rPr>
      <t>a</t>
    </r>
  </si>
  <si>
    <r>
      <t>Ind</t>
    </r>
    <r>
      <rPr>
        <sz val="10"/>
        <rFont val="Arial"/>
      </rPr>
      <t>ia</t>
    </r>
  </si>
  <si>
    <r>
      <t>Jap</t>
    </r>
    <r>
      <rPr>
        <sz val="10"/>
        <rFont val="Arial"/>
      </rPr>
      <t>a</t>
    </r>
    <r>
      <rPr>
        <sz val="10"/>
        <rFont val="Arial"/>
      </rPr>
      <t>n</t>
    </r>
  </si>
  <si>
    <r>
      <t>Australi</t>
    </r>
    <r>
      <rPr>
        <sz val="10"/>
        <rFont val="Arial"/>
      </rPr>
      <t>a</t>
    </r>
    <r>
      <rPr>
        <sz val="10"/>
        <rFont val="Arial"/>
      </rPr>
      <t>/NZ</t>
    </r>
  </si>
  <si>
    <r>
      <rPr>
        <sz val="10"/>
        <rFont val="Arial"/>
      </rPr>
      <t>Middle Eas</t>
    </r>
    <r>
      <rPr>
        <sz val="10"/>
        <rFont val="Arial"/>
      </rPr>
      <t>t (</t>
    </r>
    <r>
      <rPr>
        <sz val="10"/>
        <rFont val="Arial"/>
      </rPr>
      <t>inc</t>
    </r>
    <r>
      <rPr>
        <sz val="10"/>
        <rFont val="Arial"/>
      </rPr>
      <t>. Tur</t>
    </r>
    <r>
      <rPr>
        <sz val="10"/>
        <rFont val="Arial"/>
      </rPr>
      <t>key</t>
    </r>
    <r>
      <rPr>
        <sz val="10"/>
        <rFont val="Arial"/>
      </rPr>
      <t>)</t>
    </r>
  </si>
  <si>
    <t>Table S1.2 copy: World population historical data</t>
  </si>
  <si>
    <t>Source: Author's calculations based on Angus Maddison's historical series, "Historical statistics of the world economy 1-2008" (February 2010) and official series from the UN and the World Bank for the period 1990-2012 (Octobre 2012). Russia was included in Europe and former Central Asian Republiques and Oceania in Asia. All the details are given in the following excel file: MaddisonWorldGDPSeries1to2008.xls, sheet "CorrectedSummaryTables". The link to this file was broken on 2-8-2013. For updates and modifications, see this file.</t>
  </si>
  <si>
    <t>Table TS1.2 copy made on 8.2.2013 (formulas are deleted)  (find original in Chapter1TablesFigures.xls)</t>
  </si>
  <si>
    <t>Table S1.3 copy: GDP per capita data</t>
  </si>
  <si>
    <t>projections 2012-2100 added on 2-12-2013</t>
  </si>
  <si>
    <t>Table TS1.3 copy made on 8.2.2013 (formulas are deleted)  (find original in Chapter1TablesFigures.xls)</t>
  </si>
  <si>
    <r>
      <t>Europe + Ameri</t>
    </r>
    <r>
      <rPr>
        <sz val="10"/>
        <rFont val="Arial"/>
      </rPr>
      <t>ca</t>
    </r>
  </si>
  <si>
    <r>
      <t>Asi</t>
    </r>
    <r>
      <rPr>
        <sz val="10"/>
        <rFont val="Arial"/>
      </rPr>
      <t>a</t>
    </r>
    <r>
      <rPr>
        <sz val="10"/>
        <rFont val="Arial"/>
      </rPr>
      <t xml:space="preserve"> + Afri</t>
    </r>
    <r>
      <rPr>
        <sz val="10"/>
        <rFont val="Arial"/>
      </rPr>
      <t>ca</t>
    </r>
  </si>
  <si>
    <t>Per capita (€ 2012) (PPP)</t>
  </si>
  <si>
    <t>Per capita output (€ 2012) (PPP)</t>
  </si>
  <si>
    <t>Table S2.4. World output growth rate 0-2100 (series used for figures 2.3-2.5)</t>
  </si>
  <si>
    <t>Table S2.1: World growth from the Antiquity (growth rate per period)</t>
  </si>
  <si>
    <t>Table S2.2a. Growth rate of world population 0-2100 (series used for figure 2.2)</t>
  </si>
  <si>
    <t>Inflation: figures from PZ 2013 Tables FR3, DE3, US3, UK3, et frozen on 8-2-2013</t>
  </si>
  <si>
    <t xml:space="preserve">Between 1913 and 2012, the growth rate of world GDP was 3.0% per year on average. This growth rate can be broken down between 1.4% for world population and 1.6% for per capita GDP. </t>
  </si>
  <si>
    <t xml:space="preserve">Between 1910 and 2012, the growth rate of per capita output was 1.7% per year on average at the world level, including 1.9% in Europe, 1.6% in America, etc. </t>
  </si>
  <si>
    <r>
      <t xml:space="preserve">Sources: </t>
    </r>
    <r>
      <rPr>
        <sz val="12"/>
        <rFont val="Arial"/>
        <family val="2"/>
      </rPr>
      <t>see</t>
    </r>
    <r>
      <rPr>
        <sz val="12"/>
        <rFont val="Arial"/>
        <family val="2"/>
      </rPr>
      <t xml:space="preserve"> piketty.pse.ens.fr/capital21c</t>
    </r>
  </si>
  <si>
    <t>Between 1913 and 2012, the growth rate of world population was 1.4% per year, including 0.4% for Europe, 1.7% for America, etc.</t>
  </si>
  <si>
    <t xml:space="preserve">An annual growth rate of 1% is equivalent to an annual growth rate of 35% per generation (30 years), a multiplication by 2.7 every 100 years, and by over 20 000 every 1000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</si>
</sst>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.0%"/>
    <numFmt numFmtId="166" formatCode="0.0"/>
    <numFmt numFmtId="167" formatCode="\$#,##0\ ;\(\$#,##0\)"/>
    <numFmt numFmtId="168" formatCode="0.000"/>
    <numFmt numFmtId="169" formatCode="0.000000"/>
  </numFmts>
  <fonts count="42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2"/>
      <color indexed="8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sz val="10"/>
      <name val="Arial"/>
    </font>
    <font>
      <sz val="12"/>
      <name val="Arial"/>
      <family val="2"/>
    </font>
    <font>
      <i/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9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14" borderId="1" applyNumberFormat="0" applyAlignment="0" applyProtection="0"/>
    <xf numFmtId="0" fontId="7" fillId="14" borderId="1" applyNumberFormat="0" applyAlignment="0" applyProtection="0"/>
    <xf numFmtId="0" fontId="8" fillId="0" borderId="2" applyNumberFormat="0" applyFill="0" applyAlignment="0" applyProtection="0"/>
    <xf numFmtId="0" fontId="9" fillId="22" borderId="3" applyNumberFormat="0" applyAlignment="0" applyProtection="0"/>
    <xf numFmtId="0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0" applyNumberFormat="0" applyFill="0" applyBorder="0" applyAlignment="0" applyProtection="0"/>
    <xf numFmtId="3" fontId="10" fillId="0" borderId="0" applyFont="0" applyFill="0" applyBorder="0" applyAlignment="0" applyProtection="0"/>
    <xf numFmtId="0" fontId="6" fillId="7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3" fillId="3" borderId="1" applyNumberFormat="0" applyAlignment="0" applyProtection="0"/>
    <xf numFmtId="0" fontId="5" fillId="6" borderId="0" applyNumberFormat="0" applyBorder="0" applyAlignment="0" applyProtection="0"/>
    <xf numFmtId="0" fontId="8" fillId="0" borderId="2" applyNumberFormat="0" applyFill="0" applyAlignment="0" applyProtection="0"/>
    <xf numFmtId="164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" fillId="0" borderId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24" borderId="7" applyNumberFormat="0" applyFont="0" applyAlignment="0" applyProtection="0"/>
    <xf numFmtId="0" fontId="20" fillId="14" borderId="8" applyNumberFormat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14" borderId="8" applyNumberFormat="0" applyAlignment="0" applyProtection="0"/>
    <xf numFmtId="0" fontId="1" fillId="0" borderId="0"/>
    <xf numFmtId="0" fontId="21" fillId="0" borderId="9">
      <alignment horizontal="center"/>
    </xf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10" applyNumberFormat="0" applyFill="0" applyAlignment="0" applyProtection="0"/>
    <xf numFmtId="2" fontId="10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74"/>
    <xf numFmtId="169" fontId="25" fillId="0" borderId="0" xfId="74" applyNumberFormat="1" applyFont="1"/>
    <xf numFmtId="0" fontId="25" fillId="0" borderId="0" xfId="74" applyFont="1"/>
    <xf numFmtId="0" fontId="1" fillId="0" borderId="0" xfId="74" applyBorder="1"/>
    <xf numFmtId="0" fontId="28" fillId="0" borderId="11" xfId="74" applyFont="1" applyBorder="1" applyAlignment="1">
      <alignment horizontal="center" vertical="center"/>
    </xf>
    <xf numFmtId="0" fontId="28" fillId="0" borderId="0" xfId="74" applyFont="1" applyBorder="1" applyAlignment="1">
      <alignment horizontal="center" vertical="center"/>
    </xf>
    <xf numFmtId="0" fontId="28" fillId="0" borderId="12" xfId="74" applyFont="1" applyBorder="1" applyAlignment="1">
      <alignment horizontal="center" vertical="center"/>
    </xf>
    <xf numFmtId="0" fontId="28" fillId="0" borderId="13" xfId="74" applyFont="1" applyBorder="1" applyAlignment="1">
      <alignment horizontal="center" vertical="center" wrapText="1"/>
    </xf>
    <xf numFmtId="0" fontId="29" fillId="0" borderId="13" xfId="74" applyFont="1" applyBorder="1" applyAlignment="1">
      <alignment horizontal="center" vertical="center" wrapText="1"/>
    </xf>
    <xf numFmtId="0" fontId="1" fillId="0" borderId="0" xfId="74" applyFont="1" applyBorder="1"/>
    <xf numFmtId="0" fontId="28" fillId="0" borderId="13" xfId="74" applyFont="1" applyBorder="1" applyAlignment="1">
      <alignment horizontal="center" vertical="center"/>
    </xf>
    <xf numFmtId="165" fontId="29" fillId="0" borderId="11" xfId="74" applyNumberFormat="1" applyFont="1" applyBorder="1" applyAlignment="1">
      <alignment horizontal="center" vertical="center"/>
    </xf>
    <xf numFmtId="165" fontId="28" fillId="0" borderId="14" xfId="74" applyNumberFormat="1" applyFont="1" applyBorder="1" applyAlignment="1">
      <alignment horizontal="center" vertical="center"/>
    </xf>
    <xf numFmtId="0" fontId="28" fillId="0" borderId="15" xfId="74" applyFont="1" applyBorder="1" applyAlignment="1">
      <alignment horizontal="center" vertical="center"/>
    </xf>
    <xf numFmtId="165" fontId="29" fillId="0" borderId="15" xfId="74" applyNumberFormat="1" applyFont="1" applyBorder="1" applyAlignment="1">
      <alignment horizontal="center" vertical="center"/>
    </xf>
    <xf numFmtId="165" fontId="28" fillId="0" borderId="13" xfId="74" applyNumberFormat="1" applyFont="1" applyBorder="1" applyAlignment="1">
      <alignment horizontal="center" vertical="center"/>
    </xf>
    <xf numFmtId="0" fontId="30" fillId="0" borderId="11" xfId="74" applyFont="1" applyBorder="1" applyAlignment="1">
      <alignment horizontal="center" vertical="center"/>
    </xf>
    <xf numFmtId="165" fontId="31" fillId="0" borderId="11" xfId="74" applyNumberFormat="1" applyFont="1" applyBorder="1" applyAlignment="1">
      <alignment horizontal="center" vertical="center"/>
    </xf>
    <xf numFmtId="165" fontId="30" fillId="0" borderId="14" xfId="74" applyNumberFormat="1" applyFont="1" applyBorder="1" applyAlignment="1">
      <alignment horizontal="center" vertical="center"/>
    </xf>
    <xf numFmtId="0" fontId="32" fillId="0" borderId="16" xfId="74" applyFont="1" applyBorder="1" applyAlignment="1">
      <alignment horizontal="center" vertical="center"/>
    </xf>
    <xf numFmtId="0" fontId="32" fillId="0" borderId="17" xfId="74" applyFont="1" applyBorder="1" applyAlignment="1">
      <alignment horizontal="center" vertical="center"/>
    </xf>
    <xf numFmtId="0" fontId="29" fillId="0" borderId="18" xfId="74" applyFont="1" applyBorder="1" applyAlignment="1">
      <alignment horizontal="center" vertical="center" wrapText="1"/>
    </xf>
    <xf numFmtId="0" fontId="29" fillId="0" borderId="19" xfId="74" applyFont="1" applyBorder="1" applyAlignment="1">
      <alignment horizontal="center" vertical="center" wrapText="1"/>
    </xf>
    <xf numFmtId="9" fontId="28" fillId="0" borderId="20" xfId="74" applyNumberFormat="1" applyFont="1" applyBorder="1" applyAlignment="1">
      <alignment horizontal="center" vertical="center"/>
    </xf>
    <xf numFmtId="4" fontId="28" fillId="0" borderId="21" xfId="74" applyNumberFormat="1" applyFont="1" applyBorder="1" applyAlignment="1">
      <alignment horizontal="center" vertical="center"/>
    </xf>
    <xf numFmtId="2" fontId="28" fillId="0" borderId="22" xfId="74" applyNumberFormat="1" applyFont="1" applyBorder="1" applyAlignment="1">
      <alignment horizontal="center" vertical="center"/>
    </xf>
    <xf numFmtId="2" fontId="28" fillId="0" borderId="14" xfId="74" applyNumberFormat="1" applyFont="1" applyBorder="1" applyAlignment="1">
      <alignment horizontal="center" vertical="center"/>
    </xf>
    <xf numFmtId="1" fontId="28" fillId="0" borderId="14" xfId="74" applyNumberFormat="1" applyFont="1" applyBorder="1" applyAlignment="1">
      <alignment horizontal="center" vertical="center"/>
    </xf>
    <xf numFmtId="3" fontId="28" fillId="0" borderId="14" xfId="74" applyNumberFormat="1" applyFont="1" applyBorder="1" applyAlignment="1">
      <alignment horizontal="center" vertical="center"/>
    </xf>
    <xf numFmtId="166" fontId="28" fillId="0" borderId="14" xfId="74" applyNumberFormat="1" applyFont="1" applyBorder="1" applyAlignment="1">
      <alignment horizontal="center" vertical="center"/>
    </xf>
    <xf numFmtId="165" fontId="28" fillId="0" borderId="23" xfId="74" applyNumberFormat="1" applyFont="1" applyBorder="1" applyAlignment="1">
      <alignment horizontal="center" vertical="center"/>
    </xf>
    <xf numFmtId="9" fontId="28" fillId="0" borderId="24" xfId="74" applyNumberFormat="1" applyFont="1" applyBorder="1" applyAlignment="1">
      <alignment horizontal="center" vertical="center"/>
    </xf>
    <xf numFmtId="4" fontId="28" fillId="0" borderId="25" xfId="74" applyNumberFormat="1" applyFont="1" applyBorder="1" applyAlignment="1">
      <alignment horizontal="center" vertical="center"/>
    </xf>
    <xf numFmtId="166" fontId="28" fillId="0" borderId="23" xfId="74" applyNumberFormat="1" applyFont="1" applyBorder="1" applyAlignment="1">
      <alignment horizontal="center" vertical="center"/>
    </xf>
    <xf numFmtId="1" fontId="28" fillId="0" borderId="23" xfId="74" applyNumberFormat="1" applyFont="1" applyBorder="1" applyAlignment="1">
      <alignment horizontal="center" vertical="center"/>
    </xf>
    <xf numFmtId="0" fontId="1" fillId="0" borderId="11" xfId="74" applyBorder="1"/>
    <xf numFmtId="0" fontId="1" fillId="0" borderId="12" xfId="74" applyBorder="1"/>
    <xf numFmtId="0" fontId="28" fillId="0" borderId="11" xfId="74" applyFont="1" applyBorder="1" applyAlignment="1">
      <alignment horizontal="center" vertical="center" wrapText="1"/>
    </xf>
    <xf numFmtId="165" fontId="29" fillId="0" borderId="14" xfId="74" applyNumberFormat="1" applyFont="1" applyBorder="1" applyAlignment="1">
      <alignment horizontal="center" vertical="center"/>
    </xf>
    <xf numFmtId="165" fontId="29" fillId="0" borderId="13" xfId="74" applyNumberFormat="1" applyFont="1" applyBorder="1" applyAlignment="1">
      <alignment horizontal="center" vertical="center"/>
    </xf>
    <xf numFmtId="0" fontId="30" fillId="0" borderId="16" xfId="74" applyFont="1" applyBorder="1" applyAlignment="1">
      <alignment horizontal="center" vertical="center"/>
    </xf>
    <xf numFmtId="165" fontId="31" fillId="0" borderId="22" xfId="74" applyNumberFormat="1" applyFont="1" applyBorder="1" applyAlignment="1">
      <alignment horizontal="center" vertical="center"/>
    </xf>
    <xf numFmtId="165" fontId="30" fillId="0" borderId="22" xfId="74" applyNumberFormat="1" applyFont="1" applyBorder="1" applyAlignment="1">
      <alignment horizontal="center" vertical="center"/>
    </xf>
    <xf numFmtId="0" fontId="30" fillId="0" borderId="17" xfId="74" applyFont="1" applyBorder="1" applyAlignment="1">
      <alignment horizontal="center" vertical="center"/>
    </xf>
    <xf numFmtId="165" fontId="31" fillId="0" borderId="23" xfId="74" applyNumberFormat="1" applyFont="1" applyBorder="1" applyAlignment="1">
      <alignment horizontal="center" vertical="center"/>
    </xf>
    <xf numFmtId="165" fontId="30" fillId="0" borderId="23" xfId="74" applyNumberFormat="1" applyFont="1" applyBorder="1" applyAlignment="1">
      <alignment horizontal="center" vertical="center"/>
    </xf>
    <xf numFmtId="0" fontId="28" fillId="0" borderId="16" xfId="74" applyFont="1" applyBorder="1" applyAlignment="1">
      <alignment horizontal="center" vertical="center"/>
    </xf>
    <xf numFmtId="165" fontId="28" fillId="0" borderId="22" xfId="74" applyNumberFormat="1" applyFont="1" applyBorder="1" applyAlignment="1">
      <alignment horizontal="center" vertical="center"/>
    </xf>
    <xf numFmtId="0" fontId="28" fillId="0" borderId="17" xfId="74" applyFont="1" applyBorder="1" applyAlignment="1">
      <alignment horizontal="center" vertical="center"/>
    </xf>
    <xf numFmtId="0" fontId="1" fillId="0" borderId="0" xfId="74" applyFont="1"/>
    <xf numFmtId="0" fontId="27" fillId="0" borderId="0" xfId="74" applyFont="1" applyBorder="1" applyAlignment="1">
      <alignment horizontal="center" vertical="center"/>
    </xf>
    <xf numFmtId="0" fontId="28" fillId="0" borderId="0" xfId="74" applyFont="1" applyBorder="1" applyAlignment="1">
      <alignment horizontal="center" vertical="center" wrapText="1"/>
    </xf>
    <xf numFmtId="165" fontId="28" fillId="0" borderId="0" xfId="74" applyNumberFormat="1" applyFont="1" applyBorder="1" applyAlignment="1">
      <alignment horizontal="center" vertical="center"/>
    </xf>
    <xf numFmtId="165" fontId="29" fillId="0" borderId="22" xfId="74" applyNumberFormat="1" applyFont="1" applyBorder="1" applyAlignment="1">
      <alignment horizontal="center" vertical="center"/>
    </xf>
    <xf numFmtId="165" fontId="29" fillId="0" borderId="23" xfId="74" applyNumberFormat="1" applyFont="1" applyBorder="1" applyAlignment="1">
      <alignment horizontal="center" vertical="center"/>
    </xf>
    <xf numFmtId="0" fontId="28" fillId="0" borderId="0" xfId="0" applyFont="1" applyBorder="1" applyAlignment="1">
      <alignment wrapText="1"/>
    </xf>
    <xf numFmtId="9" fontId="28" fillId="0" borderId="22" xfId="74" applyNumberFormat="1" applyFont="1" applyBorder="1" applyAlignment="1">
      <alignment horizontal="center" vertical="center"/>
    </xf>
    <xf numFmtId="9" fontId="28" fillId="0" borderId="14" xfId="74" applyNumberFormat="1" applyFont="1" applyBorder="1" applyAlignment="1">
      <alignment horizontal="center" vertical="center"/>
    </xf>
    <xf numFmtId="9" fontId="28" fillId="0" borderId="23" xfId="74" applyNumberFormat="1" applyFont="1" applyBorder="1" applyAlignment="1">
      <alignment horizontal="center" vertical="center"/>
    </xf>
    <xf numFmtId="0" fontId="1" fillId="0" borderId="0" xfId="74" applyBorder="1" applyAlignment="1">
      <alignment horizontal="center"/>
    </xf>
    <xf numFmtId="0" fontId="1" fillId="0" borderId="0" xfId="74" applyFont="1" applyBorder="1" applyAlignment="1">
      <alignment horizontal="center"/>
    </xf>
    <xf numFmtId="0" fontId="1" fillId="0" borderId="12" xfId="74" applyFont="1" applyBorder="1" applyAlignment="1">
      <alignment horizontal="center"/>
    </xf>
    <xf numFmtId="0" fontId="1" fillId="0" borderId="11" xfId="74" applyFont="1" applyBorder="1" applyAlignment="1">
      <alignment horizontal="center" vertical="center" wrapText="1"/>
    </xf>
    <xf numFmtId="0" fontId="25" fillId="0" borderId="26" xfId="74" applyFont="1" applyBorder="1" applyAlignment="1">
      <alignment horizontal="center" vertical="center" wrapText="1"/>
    </xf>
    <xf numFmtId="0" fontId="1" fillId="0" borderId="27" xfId="74" applyFont="1" applyBorder="1" applyAlignment="1">
      <alignment horizontal="center" vertical="center" wrapText="1"/>
    </xf>
    <xf numFmtId="0" fontId="1" fillId="0" borderId="28" xfId="74" applyFont="1" applyBorder="1" applyAlignment="1">
      <alignment horizontal="center" vertical="center" wrapText="1"/>
    </xf>
    <xf numFmtId="0" fontId="1" fillId="0" borderId="0" xfId="74" applyFont="1" applyBorder="1" applyAlignment="1">
      <alignment horizontal="center" vertical="center" wrapText="1"/>
    </xf>
    <xf numFmtId="0" fontId="1" fillId="0" borderId="11" xfId="74" applyFont="1" applyBorder="1" applyAlignment="1">
      <alignment horizontal="center"/>
    </xf>
    <xf numFmtId="165" fontId="25" fillId="0" borderId="29" xfId="74" applyNumberFormat="1" applyFont="1" applyBorder="1" applyAlignment="1">
      <alignment horizontal="center"/>
    </xf>
    <xf numFmtId="165" fontId="1" fillId="0" borderId="30" xfId="74" applyNumberFormat="1" applyFont="1" applyBorder="1" applyAlignment="1">
      <alignment horizontal="center"/>
    </xf>
    <xf numFmtId="165" fontId="1" fillId="0" borderId="31" xfId="74" applyNumberFormat="1" applyFont="1" applyBorder="1" applyAlignment="1">
      <alignment horizontal="center"/>
    </xf>
    <xf numFmtId="165" fontId="1" fillId="0" borderId="32" xfId="74" applyNumberFormat="1" applyFont="1" applyBorder="1" applyAlignment="1">
      <alignment horizontal="center"/>
    </xf>
    <xf numFmtId="165" fontId="1" fillId="0" borderId="33" xfId="74" applyNumberFormat="1" applyFont="1" applyBorder="1" applyAlignment="1">
      <alignment horizontal="center"/>
    </xf>
    <xf numFmtId="165" fontId="1" fillId="0" borderId="34" xfId="74" applyNumberFormat="1" applyFont="1" applyBorder="1" applyAlignment="1">
      <alignment horizontal="center"/>
    </xf>
    <xf numFmtId="3" fontId="25" fillId="0" borderId="11" xfId="74" applyNumberFormat="1" applyFont="1" applyBorder="1" applyAlignment="1">
      <alignment horizontal="center"/>
    </xf>
    <xf numFmtId="3" fontId="1" fillId="0" borderId="0" xfId="74" applyNumberFormat="1" applyFont="1" applyBorder="1" applyAlignment="1">
      <alignment horizontal="center"/>
    </xf>
    <xf numFmtId="3" fontId="1" fillId="0" borderId="12" xfId="74" applyNumberFormat="1" applyFont="1" applyBorder="1" applyAlignment="1">
      <alignment horizontal="center"/>
    </xf>
    <xf numFmtId="3" fontId="25" fillId="0" borderId="16" xfId="74" applyNumberFormat="1" applyFont="1" applyBorder="1" applyAlignment="1">
      <alignment horizontal="center"/>
    </xf>
    <xf numFmtId="3" fontId="1" fillId="0" borderId="16" xfId="74" applyNumberFormat="1" applyFont="1" applyBorder="1" applyAlignment="1">
      <alignment horizontal="center"/>
    </xf>
    <xf numFmtId="3" fontId="1" fillId="0" borderId="35" xfId="74" applyNumberFormat="1" applyFont="1" applyBorder="1" applyAlignment="1">
      <alignment horizontal="center"/>
    </xf>
    <xf numFmtId="3" fontId="1" fillId="0" borderId="36" xfId="74" applyNumberFormat="1" applyFont="1" applyBorder="1" applyAlignment="1">
      <alignment horizontal="center"/>
    </xf>
    <xf numFmtId="165" fontId="1" fillId="0" borderId="0" xfId="74" applyNumberFormat="1"/>
    <xf numFmtId="165" fontId="25" fillId="0" borderId="14" xfId="74" applyNumberFormat="1" applyFont="1" applyBorder="1" applyAlignment="1">
      <alignment horizontal="center"/>
    </xf>
    <xf numFmtId="165" fontId="1" fillId="0" borderId="37" xfId="74" applyNumberFormat="1" applyFont="1" applyBorder="1" applyAlignment="1">
      <alignment horizontal="center"/>
    </xf>
    <xf numFmtId="165" fontId="1" fillId="0" borderId="11" xfId="74" applyNumberFormat="1" applyFont="1" applyBorder="1" applyAlignment="1">
      <alignment horizontal="center"/>
    </xf>
    <xf numFmtId="165" fontId="1" fillId="0" borderId="0" xfId="74" applyNumberFormat="1" applyFont="1" applyBorder="1" applyAlignment="1">
      <alignment horizontal="center"/>
    </xf>
    <xf numFmtId="165" fontId="1" fillId="0" borderId="12" xfId="74" applyNumberFormat="1" applyFont="1" applyBorder="1" applyAlignment="1">
      <alignment horizontal="center"/>
    </xf>
    <xf numFmtId="3" fontId="1" fillId="0" borderId="11" xfId="74" applyNumberFormat="1" applyFont="1" applyBorder="1" applyAlignment="1">
      <alignment horizontal="center"/>
    </xf>
    <xf numFmtId="3" fontId="1" fillId="0" borderId="11" xfId="74" applyNumberFormat="1" applyBorder="1" applyAlignment="1">
      <alignment horizontal="center"/>
    </xf>
    <xf numFmtId="3" fontId="1" fillId="0" borderId="0" xfId="74" applyNumberFormat="1" applyBorder="1" applyAlignment="1">
      <alignment horizontal="center"/>
    </xf>
    <xf numFmtId="3" fontId="1" fillId="0" borderId="12" xfId="74" applyNumberFormat="1" applyBorder="1" applyAlignment="1">
      <alignment horizontal="center"/>
    </xf>
    <xf numFmtId="0" fontId="1" fillId="0" borderId="11" xfId="74" applyFont="1" applyBorder="1" applyAlignment="1">
      <alignment horizontal="center" vertical="justify"/>
    </xf>
    <xf numFmtId="0" fontId="1" fillId="0" borderId="16" xfId="74" applyFont="1" applyBorder="1" applyAlignment="1">
      <alignment horizontal="center" vertical="justify"/>
    </xf>
    <xf numFmtId="165" fontId="25" fillId="0" borderId="22" xfId="74" applyNumberFormat="1" applyFont="1" applyBorder="1" applyAlignment="1">
      <alignment horizontal="center"/>
    </xf>
    <xf numFmtId="165" fontId="1" fillId="0" borderId="26" xfId="74" applyNumberFormat="1" applyFont="1" applyBorder="1" applyAlignment="1">
      <alignment horizontal="center"/>
    </xf>
    <xf numFmtId="165" fontId="1" fillId="0" borderId="27" xfId="74" applyNumberFormat="1" applyFont="1" applyBorder="1" applyAlignment="1">
      <alignment horizontal="center"/>
    </xf>
    <xf numFmtId="165" fontId="1" fillId="0" borderId="28" xfId="74" applyNumberFormat="1" applyFont="1" applyBorder="1" applyAlignment="1">
      <alignment horizontal="center"/>
    </xf>
    <xf numFmtId="165" fontId="1" fillId="0" borderId="16" xfId="74" applyNumberFormat="1" applyFont="1" applyBorder="1" applyAlignment="1">
      <alignment horizontal="center"/>
    </xf>
    <xf numFmtId="165" fontId="1" fillId="0" borderId="35" xfId="74" applyNumberFormat="1" applyFont="1" applyBorder="1" applyAlignment="1">
      <alignment horizontal="center"/>
    </xf>
    <xf numFmtId="165" fontId="1" fillId="0" borderId="36" xfId="74" applyNumberFormat="1" applyFont="1" applyBorder="1" applyAlignment="1">
      <alignment horizontal="center"/>
    </xf>
    <xf numFmtId="0" fontId="1" fillId="0" borderId="17" xfId="74" applyFont="1" applyBorder="1" applyAlignment="1">
      <alignment horizontal="center" vertical="justify"/>
    </xf>
    <xf numFmtId="0" fontId="1" fillId="0" borderId="22" xfId="74" applyFont="1" applyBorder="1" applyAlignment="1">
      <alignment horizontal="center"/>
    </xf>
    <xf numFmtId="3" fontId="1" fillId="0" borderId="16" xfId="74" applyNumberFormat="1" applyBorder="1" applyAlignment="1">
      <alignment horizontal="center"/>
    </xf>
    <xf numFmtId="3" fontId="1" fillId="0" borderId="35" xfId="74" applyNumberFormat="1" applyBorder="1" applyAlignment="1">
      <alignment horizontal="center"/>
    </xf>
    <xf numFmtId="3" fontId="1" fillId="0" borderId="36" xfId="74" applyNumberFormat="1" applyBorder="1" applyAlignment="1">
      <alignment horizontal="center"/>
    </xf>
    <xf numFmtId="0" fontId="1" fillId="0" borderId="14" xfId="74" applyFont="1" applyBorder="1" applyAlignment="1">
      <alignment horizontal="center"/>
    </xf>
    <xf numFmtId="166" fontId="1" fillId="0" borderId="0" xfId="74" applyNumberFormat="1" applyAlignment="1">
      <alignment horizontal="center"/>
    </xf>
    <xf numFmtId="165" fontId="25" fillId="0" borderId="23" xfId="74" applyNumberFormat="1" applyFont="1" applyBorder="1" applyAlignment="1">
      <alignment horizontal="center"/>
    </xf>
    <xf numFmtId="165" fontId="1" fillId="0" borderId="38" xfId="74" applyNumberFormat="1" applyFont="1" applyBorder="1" applyAlignment="1">
      <alignment horizontal="center"/>
    </xf>
    <xf numFmtId="165" fontId="1" fillId="0" borderId="39" xfId="74" applyNumberFormat="1" applyFont="1" applyBorder="1" applyAlignment="1">
      <alignment horizontal="center"/>
    </xf>
    <xf numFmtId="165" fontId="1" fillId="0" borderId="40" xfId="74" applyNumberFormat="1" applyFont="1" applyBorder="1" applyAlignment="1">
      <alignment horizontal="center"/>
    </xf>
    <xf numFmtId="165" fontId="1" fillId="0" borderId="17" xfId="74" applyNumberFormat="1" applyFont="1" applyBorder="1" applyAlignment="1">
      <alignment horizontal="center"/>
    </xf>
    <xf numFmtId="165" fontId="1" fillId="0" borderId="41" xfId="74" applyNumberFormat="1" applyFont="1" applyBorder="1" applyAlignment="1">
      <alignment horizontal="center"/>
    </xf>
    <xf numFmtId="165" fontId="1" fillId="0" borderId="42" xfId="74" applyNumberFormat="1" applyFont="1" applyBorder="1" applyAlignment="1">
      <alignment horizontal="center"/>
    </xf>
    <xf numFmtId="0" fontId="1" fillId="0" borderId="23" xfId="74" applyFont="1" applyBorder="1" applyAlignment="1">
      <alignment horizontal="center"/>
    </xf>
    <xf numFmtId="3" fontId="25" fillId="0" borderId="17" xfId="74" applyNumberFormat="1" applyFont="1" applyBorder="1" applyAlignment="1">
      <alignment horizontal="center"/>
    </xf>
    <xf numFmtId="3" fontId="1" fillId="0" borderId="41" xfId="74" applyNumberFormat="1" applyFont="1" applyBorder="1" applyAlignment="1">
      <alignment horizontal="center"/>
    </xf>
    <xf numFmtId="3" fontId="1" fillId="0" borderId="42" xfId="74" applyNumberFormat="1" applyFont="1" applyBorder="1" applyAlignment="1">
      <alignment horizontal="center"/>
    </xf>
    <xf numFmtId="3" fontId="1" fillId="0" borderId="17" xfId="74" applyNumberFormat="1" applyBorder="1" applyAlignment="1">
      <alignment horizontal="center"/>
    </xf>
    <xf numFmtId="3" fontId="1" fillId="0" borderId="41" xfId="74" applyNumberFormat="1" applyBorder="1" applyAlignment="1">
      <alignment horizontal="center"/>
    </xf>
    <xf numFmtId="3" fontId="1" fillId="0" borderId="42" xfId="74" applyNumberFormat="1" applyBorder="1" applyAlignment="1">
      <alignment horizontal="center"/>
    </xf>
    <xf numFmtId="10" fontId="29" fillId="0" borderId="11" xfId="74" applyNumberFormat="1" applyFont="1" applyBorder="1" applyAlignment="1">
      <alignment horizontal="center" vertical="center"/>
    </xf>
    <xf numFmtId="10" fontId="28" fillId="0" borderId="14" xfId="74" applyNumberFormat="1" applyFont="1" applyBorder="1" applyAlignment="1">
      <alignment horizontal="center" vertical="center"/>
    </xf>
    <xf numFmtId="0" fontId="37" fillId="0" borderId="11" xfId="74" applyFont="1" applyBorder="1" applyAlignment="1">
      <alignment horizontal="center" vertical="center"/>
    </xf>
    <xf numFmtId="10" fontId="38" fillId="0" borderId="16" xfId="74" applyNumberFormat="1" applyFont="1" applyBorder="1" applyAlignment="1">
      <alignment horizontal="center" vertical="center"/>
    </xf>
    <xf numFmtId="10" fontId="37" fillId="0" borderId="22" xfId="74" applyNumberFormat="1" applyFont="1" applyBorder="1" applyAlignment="1">
      <alignment horizontal="center" vertical="center"/>
    </xf>
    <xf numFmtId="10" fontId="38" fillId="0" borderId="11" xfId="74" applyNumberFormat="1" applyFont="1" applyBorder="1" applyAlignment="1">
      <alignment horizontal="center" vertical="center"/>
    </xf>
    <xf numFmtId="10" fontId="37" fillId="0" borderId="14" xfId="74" applyNumberFormat="1" applyFont="1" applyBorder="1" applyAlignment="1">
      <alignment horizontal="center" vertical="center"/>
    </xf>
    <xf numFmtId="10" fontId="29" fillId="0" borderId="15" xfId="74" applyNumberFormat="1" applyFont="1" applyBorder="1" applyAlignment="1">
      <alignment horizontal="center" vertical="center"/>
    </xf>
    <xf numFmtId="10" fontId="28" fillId="0" borderId="13" xfId="74" applyNumberFormat="1" applyFont="1" applyBorder="1" applyAlignment="1">
      <alignment horizontal="center" vertical="center"/>
    </xf>
    <xf numFmtId="10" fontId="33" fillId="0" borderId="16" xfId="74" applyNumberFormat="1" applyFont="1" applyBorder="1" applyAlignment="1">
      <alignment horizontal="center" vertical="center"/>
    </xf>
    <xf numFmtId="10" fontId="32" fillId="0" borderId="22" xfId="74" applyNumberFormat="1" applyFont="1" applyBorder="1" applyAlignment="1">
      <alignment horizontal="center" vertical="center"/>
    </xf>
    <xf numFmtId="10" fontId="33" fillId="0" borderId="17" xfId="74" applyNumberFormat="1" applyFont="1" applyBorder="1" applyAlignment="1">
      <alignment horizontal="center" vertical="center"/>
    </xf>
    <xf numFmtId="10" fontId="32" fillId="0" borderId="23" xfId="74" applyNumberFormat="1" applyFont="1" applyBorder="1" applyAlignment="1">
      <alignment horizontal="center" vertical="center"/>
    </xf>
    <xf numFmtId="9" fontId="25" fillId="0" borderId="29" xfId="74" applyNumberFormat="1" applyFont="1" applyBorder="1" applyAlignment="1">
      <alignment horizontal="center"/>
    </xf>
    <xf numFmtId="9" fontId="1" fillId="0" borderId="43" xfId="74" applyNumberFormat="1" applyFont="1" applyBorder="1" applyAlignment="1">
      <alignment horizontal="center"/>
    </xf>
    <xf numFmtId="9" fontId="1" fillId="0" borderId="30" xfId="74" applyNumberFormat="1" applyFont="1" applyBorder="1" applyAlignment="1">
      <alignment horizontal="center"/>
    </xf>
    <xf numFmtId="9" fontId="1" fillId="0" borderId="31" xfId="74" applyNumberFormat="1" applyFont="1" applyBorder="1" applyAlignment="1">
      <alignment horizontal="center"/>
    </xf>
    <xf numFmtId="9" fontId="1" fillId="0" borderId="37" xfId="74" applyNumberFormat="1" applyFont="1" applyBorder="1" applyAlignment="1">
      <alignment horizontal="center"/>
    </xf>
    <xf numFmtId="9" fontId="25" fillId="0" borderId="14" xfId="74" applyNumberFormat="1" applyFont="1" applyBorder="1" applyAlignment="1">
      <alignment horizontal="center"/>
    </xf>
    <xf numFmtId="9" fontId="25" fillId="0" borderId="23" xfId="74" applyNumberFormat="1" applyFont="1" applyBorder="1" applyAlignment="1">
      <alignment horizontal="center"/>
    </xf>
    <xf numFmtId="9" fontId="1" fillId="0" borderId="38" xfId="74" applyNumberFormat="1" applyFont="1" applyBorder="1" applyAlignment="1">
      <alignment horizontal="center"/>
    </xf>
    <xf numFmtId="9" fontId="1" fillId="0" borderId="39" xfId="74" applyNumberFormat="1" applyFont="1" applyBorder="1" applyAlignment="1">
      <alignment horizontal="center"/>
    </xf>
    <xf numFmtId="9" fontId="1" fillId="0" borderId="40" xfId="74" applyNumberFormat="1" applyFont="1" applyBorder="1" applyAlignment="1">
      <alignment horizontal="center"/>
    </xf>
    <xf numFmtId="3" fontId="1" fillId="0" borderId="17" xfId="74" applyNumberFormat="1" applyFont="1" applyBorder="1" applyAlignment="1">
      <alignment horizontal="center"/>
    </xf>
    <xf numFmtId="0" fontId="25" fillId="0" borderId="44" xfId="74" applyFont="1" applyBorder="1" applyAlignment="1">
      <alignment horizontal="center" vertical="center" wrapText="1"/>
    </xf>
    <xf numFmtId="0" fontId="1" fillId="0" borderId="22" xfId="74" applyBorder="1"/>
    <xf numFmtId="1" fontId="1" fillId="0" borderId="12" xfId="74" applyNumberFormat="1" applyFont="1" applyBorder="1" applyAlignment="1">
      <alignment horizontal="center"/>
    </xf>
    <xf numFmtId="1" fontId="1" fillId="0" borderId="42" xfId="74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22" xfId="74" applyFont="1" applyBorder="1" applyAlignment="1">
      <alignment horizontal="center" vertical="center"/>
    </xf>
    <xf numFmtId="165" fontId="39" fillId="0" borderId="22" xfId="74" applyNumberFormat="1" applyFont="1" applyBorder="1" applyAlignment="1">
      <alignment horizontal="center" vertical="center"/>
    </xf>
    <xf numFmtId="0" fontId="39" fillId="0" borderId="0" xfId="74" applyFont="1"/>
    <xf numFmtId="0" fontId="39" fillId="0" borderId="23" xfId="74" applyFont="1" applyBorder="1" applyAlignment="1">
      <alignment horizontal="center" vertical="center"/>
    </xf>
    <xf numFmtId="165" fontId="39" fillId="0" borderId="23" xfId="74" applyNumberFormat="1" applyFont="1" applyBorder="1" applyAlignment="1">
      <alignment horizontal="center" vertical="center"/>
    </xf>
    <xf numFmtId="0" fontId="39" fillId="0" borderId="14" xfId="74" applyFont="1" applyBorder="1" applyAlignment="1">
      <alignment horizontal="center" vertical="center"/>
    </xf>
    <xf numFmtId="165" fontId="39" fillId="0" borderId="14" xfId="74" applyNumberFormat="1" applyFont="1" applyBorder="1" applyAlignment="1">
      <alignment horizontal="center" vertical="center"/>
    </xf>
    <xf numFmtId="0" fontId="39" fillId="0" borderId="13" xfId="74" applyFont="1" applyBorder="1" applyAlignment="1">
      <alignment horizontal="center" vertical="center"/>
    </xf>
    <xf numFmtId="165" fontId="39" fillId="0" borderId="13" xfId="74" applyNumberFormat="1" applyFont="1" applyBorder="1" applyAlignment="1">
      <alignment horizontal="center" vertical="center"/>
    </xf>
    <xf numFmtId="0" fontId="39" fillId="0" borderId="14" xfId="74" applyFont="1" applyBorder="1"/>
    <xf numFmtId="0" fontId="1" fillId="0" borderId="0" xfId="74" applyAlignment="1">
      <alignment horizontal="center"/>
    </xf>
    <xf numFmtId="165" fontId="39" fillId="0" borderId="0" xfId="74" applyNumberFormat="1" applyFont="1" applyBorder="1" applyAlignment="1">
      <alignment horizontal="center"/>
    </xf>
    <xf numFmtId="3" fontId="1" fillId="0" borderId="0" xfId="74" applyNumberFormat="1" applyAlignment="1">
      <alignment horizontal="center"/>
    </xf>
    <xf numFmtId="3" fontId="25" fillId="0" borderId="0" xfId="74" applyNumberFormat="1" applyFont="1" applyAlignment="1">
      <alignment horizontal="center"/>
    </xf>
    <xf numFmtId="165" fontId="25" fillId="0" borderId="45" xfId="74" applyNumberFormat="1" applyFont="1" applyBorder="1" applyAlignment="1">
      <alignment horizontal="center"/>
    </xf>
    <xf numFmtId="0" fontId="1" fillId="0" borderId="0" xfId="74" applyBorder="1" applyAlignment="1">
      <alignment vertical="top" wrapText="1"/>
    </xf>
    <xf numFmtId="165" fontId="25" fillId="0" borderId="0" xfId="74" applyNumberFormat="1" applyFont="1" applyBorder="1" applyAlignment="1">
      <alignment horizontal="center"/>
    </xf>
    <xf numFmtId="165" fontId="25" fillId="0" borderId="22" xfId="74" applyNumberFormat="1" applyFont="1" applyBorder="1" applyAlignment="1">
      <alignment horizontal="center" vertical="center"/>
    </xf>
    <xf numFmtId="165" fontId="25" fillId="0" borderId="23" xfId="74" applyNumberFormat="1" applyFont="1" applyBorder="1" applyAlignment="1">
      <alignment horizontal="center" vertical="center"/>
    </xf>
    <xf numFmtId="165" fontId="25" fillId="0" borderId="14" xfId="74" applyNumberFormat="1" applyFont="1" applyBorder="1" applyAlignment="1">
      <alignment horizontal="center" vertical="center"/>
    </xf>
    <xf numFmtId="165" fontId="25" fillId="0" borderId="13" xfId="74" applyNumberFormat="1" applyFont="1" applyBorder="1" applyAlignment="1">
      <alignment horizontal="center" vertical="center"/>
    </xf>
    <xf numFmtId="168" fontId="1" fillId="0" borderId="0" xfId="74" applyNumberFormat="1"/>
    <xf numFmtId="165" fontId="35" fillId="0" borderId="45" xfId="74" applyNumberFormat="1" applyFont="1" applyBorder="1" applyAlignment="1">
      <alignment horizontal="center"/>
    </xf>
    <xf numFmtId="9" fontId="1" fillId="0" borderId="0" xfId="74" applyNumberFormat="1" applyAlignment="1">
      <alignment horizontal="center"/>
    </xf>
    <xf numFmtId="9" fontId="25" fillId="0" borderId="0" xfId="74" applyNumberFormat="1" applyFont="1" applyAlignment="1">
      <alignment horizontal="center"/>
    </xf>
    <xf numFmtId="165" fontId="31" fillId="0" borderId="17" xfId="74" applyNumberFormat="1" applyFont="1" applyBorder="1" applyAlignment="1">
      <alignment horizontal="center" vertical="center"/>
    </xf>
    <xf numFmtId="0" fontId="1" fillId="0" borderId="16" xfId="74" applyFont="1" applyBorder="1" applyAlignment="1">
      <alignment horizontal="center"/>
    </xf>
    <xf numFmtId="0" fontId="1" fillId="0" borderId="35" xfId="74" applyBorder="1"/>
    <xf numFmtId="0" fontId="1" fillId="0" borderId="42" xfId="74" applyFont="1" applyBorder="1" applyAlignment="1">
      <alignment horizontal="center" vertical="center" wrapText="1"/>
    </xf>
    <xf numFmtId="0" fontId="25" fillId="0" borderId="46" xfId="74" applyFont="1" applyBorder="1" applyAlignment="1">
      <alignment horizontal="center" vertical="center" wrapText="1"/>
    </xf>
    <xf numFmtId="0" fontId="1" fillId="0" borderId="11" xfId="74" applyFont="1" applyBorder="1" applyAlignment="1">
      <alignment horizontal="center" vertical="center"/>
    </xf>
    <xf numFmtId="0" fontId="1" fillId="0" borderId="46" xfId="74" applyFont="1" applyBorder="1" applyAlignment="1">
      <alignment horizontal="center" vertical="center" wrapText="1"/>
    </xf>
    <xf numFmtId="0" fontId="1" fillId="0" borderId="16" xfId="74" applyFont="1" applyBorder="1" applyAlignment="1">
      <alignment horizontal="center" vertical="center"/>
    </xf>
    <xf numFmtId="165" fontId="1" fillId="0" borderId="35" xfId="74" applyNumberFormat="1" applyBorder="1" applyAlignment="1">
      <alignment horizontal="center" vertical="center"/>
    </xf>
    <xf numFmtId="165" fontId="1" fillId="0" borderId="35" xfId="74" applyNumberFormat="1" applyFont="1" applyBorder="1" applyAlignment="1">
      <alignment horizontal="center" vertical="center"/>
    </xf>
    <xf numFmtId="165" fontId="1" fillId="0" borderId="36" xfId="74" applyNumberFormat="1" applyBorder="1" applyAlignment="1">
      <alignment horizontal="center" vertical="center"/>
    </xf>
    <xf numFmtId="165" fontId="1" fillId="0" borderId="0" xfId="74" applyNumberFormat="1" applyBorder="1" applyAlignment="1">
      <alignment horizontal="center" vertical="center"/>
    </xf>
    <xf numFmtId="165" fontId="1" fillId="0" borderId="12" xfId="74" applyNumberFormat="1" applyBorder="1" applyAlignment="1">
      <alignment horizontal="center" vertical="center"/>
    </xf>
    <xf numFmtId="0" fontId="1" fillId="0" borderId="17" xfId="74" applyFont="1" applyBorder="1" applyAlignment="1">
      <alignment horizontal="center" vertical="center"/>
    </xf>
    <xf numFmtId="165" fontId="1" fillId="0" borderId="41" xfId="74" applyNumberFormat="1" applyBorder="1" applyAlignment="1">
      <alignment horizontal="center" vertical="center"/>
    </xf>
    <xf numFmtId="165" fontId="1" fillId="0" borderId="42" xfId="74" applyNumberFormat="1" applyBorder="1" applyAlignment="1">
      <alignment horizontal="center" vertical="center"/>
    </xf>
    <xf numFmtId="0" fontId="1" fillId="0" borderId="36" xfId="74" applyBorder="1"/>
    <xf numFmtId="0" fontId="0" fillId="0" borderId="0" xfId="0" applyBorder="1"/>
    <xf numFmtId="0" fontId="0" fillId="0" borderId="12" xfId="0" applyBorder="1"/>
    <xf numFmtId="0" fontId="1" fillId="0" borderId="0" xfId="74" applyFont="1" applyBorder="1" applyAlignment="1">
      <alignment horizontal="center" vertical="justify"/>
    </xf>
    <xf numFmtId="0" fontId="1" fillId="0" borderId="41" xfId="74" applyFont="1" applyBorder="1" applyAlignment="1">
      <alignment horizontal="center" vertical="justify"/>
    </xf>
    <xf numFmtId="0" fontId="39" fillId="0" borderId="16" xfId="74" applyFont="1" applyBorder="1"/>
    <xf numFmtId="165" fontId="25" fillId="0" borderId="12" xfId="74" applyNumberFormat="1" applyFont="1" applyBorder="1" applyAlignment="1">
      <alignment horizontal="center"/>
    </xf>
    <xf numFmtId="165" fontId="25" fillId="0" borderId="41" xfId="74" applyNumberFormat="1" applyFont="1" applyBorder="1" applyAlignment="1">
      <alignment horizontal="center"/>
    </xf>
    <xf numFmtId="165" fontId="25" fillId="0" borderId="42" xfId="74" applyNumberFormat="1" applyFont="1" applyBorder="1" applyAlignment="1">
      <alignment horizontal="center"/>
    </xf>
    <xf numFmtId="165" fontId="25" fillId="0" borderId="35" xfId="74" applyNumberFormat="1" applyFont="1" applyBorder="1" applyAlignment="1">
      <alignment horizontal="center"/>
    </xf>
    <xf numFmtId="165" fontId="1" fillId="0" borderId="36" xfId="74" applyNumberFormat="1" applyBorder="1" applyAlignment="1">
      <alignment horizontal="center"/>
    </xf>
    <xf numFmtId="165" fontId="1" fillId="0" borderId="12" xfId="74" applyNumberFormat="1" applyBorder="1" applyAlignment="1">
      <alignment horizontal="center"/>
    </xf>
    <xf numFmtId="165" fontId="1" fillId="0" borderId="42" xfId="74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39" fillId="0" borderId="22" xfId="74" applyFont="1" applyBorder="1" applyAlignment="1">
      <alignment horizontal="center" vertical="center"/>
    </xf>
    <xf numFmtId="165" fontId="25" fillId="0" borderId="47" xfId="74" applyNumberFormat="1" applyFont="1" applyBorder="1" applyAlignment="1">
      <alignment horizontal="center"/>
    </xf>
    <xf numFmtId="165" fontId="35" fillId="0" borderId="47" xfId="74" applyNumberFormat="1" applyFont="1" applyBorder="1" applyAlignment="1">
      <alignment horizontal="center"/>
    </xf>
    <xf numFmtId="165" fontId="39" fillId="0" borderId="35" xfId="74" applyNumberFormat="1" applyFont="1" applyBorder="1" applyAlignment="1">
      <alignment horizontal="center"/>
    </xf>
    <xf numFmtId="165" fontId="39" fillId="0" borderId="36" xfId="74" applyNumberFormat="1" applyFont="1" applyBorder="1" applyAlignment="1">
      <alignment horizontal="center"/>
    </xf>
    <xf numFmtId="0" fontId="39" fillId="0" borderId="11" xfId="74" applyFont="1" applyBorder="1"/>
    <xf numFmtId="165" fontId="39" fillId="0" borderId="12" xfId="74" applyNumberFormat="1" applyFont="1" applyBorder="1" applyAlignment="1">
      <alignment horizontal="center"/>
    </xf>
    <xf numFmtId="0" fontId="39" fillId="0" borderId="17" xfId="74" applyFont="1" applyBorder="1"/>
    <xf numFmtId="165" fontId="25" fillId="0" borderId="48" xfId="74" applyNumberFormat="1" applyFont="1" applyBorder="1" applyAlignment="1">
      <alignment horizontal="center"/>
    </xf>
    <xf numFmtId="165" fontId="35" fillId="0" borderId="48" xfId="74" applyNumberFormat="1" applyFont="1" applyBorder="1" applyAlignment="1">
      <alignment horizontal="center"/>
    </xf>
    <xf numFmtId="165" fontId="39" fillId="0" borderId="41" xfId="74" applyNumberFormat="1" applyFont="1" applyBorder="1" applyAlignment="1">
      <alignment horizontal="center"/>
    </xf>
    <xf numFmtId="165" fontId="39" fillId="0" borderId="42" xfId="74" applyNumberFormat="1" applyFont="1" applyBorder="1" applyAlignment="1">
      <alignment horizontal="center"/>
    </xf>
    <xf numFmtId="0" fontId="25" fillId="0" borderId="13" xfId="74" applyFont="1" applyBorder="1" applyAlignment="1">
      <alignment horizontal="center" vertical="center" wrapText="1"/>
    </xf>
    <xf numFmtId="165" fontId="35" fillId="0" borderId="49" xfId="74" applyNumberFormat="1" applyFont="1" applyBorder="1" applyAlignment="1">
      <alignment horizontal="center"/>
    </xf>
    <xf numFmtId="165" fontId="35" fillId="0" borderId="50" xfId="74" applyNumberFormat="1" applyFont="1" applyBorder="1" applyAlignment="1">
      <alignment horizontal="center"/>
    </xf>
    <xf numFmtId="165" fontId="35" fillId="0" borderId="51" xfId="74" applyNumberFormat="1" applyFont="1" applyBorder="1" applyAlignment="1">
      <alignment horizontal="center"/>
    </xf>
    <xf numFmtId="165" fontId="1" fillId="0" borderId="22" xfId="74" applyNumberFormat="1" applyBorder="1" applyAlignment="1">
      <alignment horizontal="center"/>
    </xf>
    <xf numFmtId="165" fontId="1" fillId="0" borderId="14" xfId="74" applyNumberFormat="1" applyBorder="1" applyAlignment="1">
      <alignment horizontal="center"/>
    </xf>
    <xf numFmtId="165" fontId="1" fillId="0" borderId="23" xfId="74" applyNumberFormat="1" applyBorder="1" applyAlignment="1">
      <alignment horizontal="center"/>
    </xf>
    <xf numFmtId="0" fontId="0" fillId="0" borderId="13" xfId="74" applyFont="1" applyBorder="1" applyAlignment="1">
      <alignment horizontal="center" vertical="center" wrapText="1"/>
    </xf>
    <xf numFmtId="0" fontId="0" fillId="0" borderId="52" xfId="74" applyFont="1" applyBorder="1" applyAlignment="1">
      <alignment horizontal="center" vertical="center" wrapText="1"/>
    </xf>
    <xf numFmtId="2" fontId="1" fillId="0" borderId="0" xfId="64" applyNumberFormat="1"/>
    <xf numFmtId="0" fontId="0" fillId="0" borderId="46" xfId="74" applyFont="1" applyBorder="1" applyAlignment="1">
      <alignment horizontal="center" vertical="center" wrapText="1"/>
    </xf>
    <xf numFmtId="0" fontId="0" fillId="0" borderId="27" xfId="74" applyFont="1" applyBorder="1" applyAlignment="1">
      <alignment horizontal="center" vertical="center" wrapText="1"/>
    </xf>
    <xf numFmtId="0" fontId="0" fillId="0" borderId="28" xfId="74" applyFont="1" applyBorder="1" applyAlignment="1">
      <alignment horizontal="center" vertical="center" wrapText="1"/>
    </xf>
    <xf numFmtId="0" fontId="0" fillId="0" borderId="26" xfId="74" applyFont="1" applyBorder="1" applyAlignment="1">
      <alignment horizontal="center" vertical="center" wrapText="1"/>
    </xf>
    <xf numFmtId="0" fontId="0" fillId="0" borderId="44" xfId="74" applyFont="1" applyBorder="1" applyAlignment="1">
      <alignment horizontal="center" vertical="center" wrapText="1"/>
    </xf>
    <xf numFmtId="0" fontId="0" fillId="0" borderId="53" xfId="74" applyFont="1" applyBorder="1" applyAlignment="1">
      <alignment horizontal="center" vertical="center" wrapText="1"/>
    </xf>
    <xf numFmtId="0" fontId="0" fillId="0" borderId="0" xfId="74" applyFont="1" applyFill="1" applyBorder="1" applyAlignment="1">
      <alignment horizontal="center" vertical="justify"/>
    </xf>
    <xf numFmtId="0" fontId="0" fillId="0" borderId="0" xfId="0" applyFont="1"/>
    <xf numFmtId="0" fontId="35" fillId="0" borderId="54" xfId="74" applyFont="1" applyBorder="1" applyAlignment="1">
      <alignment horizontal="center" vertical="center" wrapText="1"/>
    </xf>
    <xf numFmtId="0" fontId="0" fillId="0" borderId="54" xfId="74" applyFont="1" applyBorder="1" applyAlignment="1">
      <alignment horizontal="center" vertical="center" wrapText="1"/>
    </xf>
    <xf numFmtId="0" fontId="0" fillId="0" borderId="55" xfId="74" applyFont="1" applyBorder="1" applyAlignment="1">
      <alignment horizontal="center" vertical="center" wrapText="1"/>
    </xf>
    <xf numFmtId="0" fontId="35" fillId="0" borderId="27" xfId="74" applyFont="1" applyBorder="1" applyAlignment="1">
      <alignment horizontal="center" vertical="center" wrapText="1"/>
    </xf>
    <xf numFmtId="0" fontId="1" fillId="0" borderId="54" xfId="74" applyFont="1" applyBorder="1" applyAlignment="1">
      <alignment horizontal="center" vertical="center" wrapText="1"/>
    </xf>
    <xf numFmtId="165" fontId="0" fillId="0" borderId="0" xfId="0" applyNumberFormat="1"/>
    <xf numFmtId="0" fontId="26" fillId="0" borderId="16" xfId="74" applyFont="1" applyBorder="1" applyAlignment="1">
      <alignment horizontal="center" vertical="center"/>
    </xf>
    <xf numFmtId="0" fontId="26" fillId="0" borderId="35" xfId="74" applyFont="1" applyBorder="1" applyAlignment="1">
      <alignment horizontal="center" vertical="center"/>
    </xf>
    <xf numFmtId="0" fontId="27" fillId="0" borderId="35" xfId="74" applyFont="1" applyBorder="1" applyAlignment="1">
      <alignment horizontal="center" vertical="center"/>
    </xf>
    <xf numFmtId="0" fontId="27" fillId="0" borderId="36" xfId="74" applyFont="1" applyBorder="1" applyAlignment="1">
      <alignment horizontal="center" vertical="center"/>
    </xf>
    <xf numFmtId="0" fontId="34" fillId="0" borderId="16" xfId="74" applyFont="1" applyBorder="1" applyAlignment="1">
      <alignment wrapText="1"/>
    </xf>
    <xf numFmtId="0" fontId="34" fillId="0" borderId="35" xfId="0" applyFont="1" applyBorder="1" applyAlignment="1">
      <alignment wrapText="1"/>
    </xf>
    <xf numFmtId="0" fontId="34" fillId="0" borderId="36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34" fillId="0" borderId="41" xfId="0" applyFont="1" applyBorder="1" applyAlignment="1">
      <alignment wrapText="1"/>
    </xf>
    <xf numFmtId="0" fontId="34" fillId="0" borderId="42" xfId="0" applyFont="1" applyBorder="1" applyAlignment="1">
      <alignment wrapText="1"/>
    </xf>
    <xf numFmtId="0" fontId="34" fillId="0" borderId="15" xfId="74" applyFont="1" applyBorder="1" applyAlignment="1">
      <alignment wrapText="1"/>
    </xf>
    <xf numFmtId="0" fontId="34" fillId="0" borderId="56" xfId="0" applyFont="1" applyBorder="1" applyAlignment="1">
      <alignment wrapText="1"/>
    </xf>
    <xf numFmtId="0" fontId="34" fillId="0" borderId="52" xfId="0" applyFont="1" applyBorder="1" applyAlignment="1">
      <alignment wrapText="1"/>
    </xf>
    <xf numFmtId="0" fontId="26" fillId="0" borderId="15" xfId="74" applyFont="1" applyBorder="1" applyAlignment="1">
      <alignment horizontal="center" vertical="center" wrapText="1"/>
    </xf>
    <xf numFmtId="0" fontId="26" fillId="0" borderId="56" xfId="74" applyFont="1" applyBorder="1" applyAlignment="1">
      <alignment horizontal="center" vertical="center" wrapText="1"/>
    </xf>
    <xf numFmtId="0" fontId="26" fillId="0" borderId="52" xfId="74" applyFont="1" applyBorder="1" applyAlignment="1">
      <alignment horizontal="center" vertical="center" wrapText="1"/>
    </xf>
    <xf numFmtId="0" fontId="34" fillId="0" borderId="16" xfId="0" applyFont="1" applyBorder="1" applyAlignment="1">
      <alignment vertical="center" wrapText="1"/>
    </xf>
    <xf numFmtId="0" fontId="34" fillId="0" borderId="35" xfId="0" applyFont="1" applyBorder="1" applyAlignment="1">
      <alignment vertical="center" wrapText="1"/>
    </xf>
    <xf numFmtId="0" fontId="34" fillId="0" borderId="36" xfId="0" applyFont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0" fontId="34" fillId="0" borderId="41" xfId="0" applyFont="1" applyBorder="1" applyAlignment="1">
      <alignment vertical="center" wrapText="1"/>
    </xf>
    <xf numFmtId="0" fontId="34" fillId="0" borderId="42" xfId="0" applyFont="1" applyBorder="1" applyAlignment="1">
      <alignment vertical="center" wrapText="1"/>
    </xf>
    <xf numFmtId="0" fontId="0" fillId="0" borderId="56" xfId="0" applyBorder="1" applyAlignment="1"/>
    <xf numFmtId="0" fontId="0" fillId="0" borderId="52" xfId="0" applyBorder="1" applyAlignment="1"/>
    <xf numFmtId="0" fontId="34" fillId="0" borderId="0" xfId="0" applyFont="1" applyAlignment="1">
      <alignment horizontal="justify" vertical="top" wrapText="1"/>
    </xf>
    <xf numFmtId="0" fontId="26" fillId="0" borderId="16" xfId="74" applyFont="1" applyBorder="1" applyAlignment="1">
      <alignment horizontal="center" vertical="center" wrapText="1"/>
    </xf>
    <xf numFmtId="0" fontId="27" fillId="0" borderId="35" xfId="74" applyFont="1" applyBorder="1" applyAlignment="1">
      <alignment horizontal="center" vertical="center" wrapText="1"/>
    </xf>
    <xf numFmtId="0" fontId="27" fillId="0" borderId="36" xfId="74" applyFont="1" applyBorder="1" applyAlignment="1">
      <alignment horizontal="center" vertical="center" wrapText="1"/>
    </xf>
    <xf numFmtId="0" fontId="29" fillId="0" borderId="15" xfId="74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8" fillId="0" borderId="14" xfId="74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8" fillId="0" borderId="16" xfId="74" applyFont="1" applyBorder="1" applyAlignment="1">
      <alignment wrapText="1"/>
    </xf>
    <xf numFmtId="0" fontId="28" fillId="0" borderId="35" xfId="0" applyFont="1" applyBorder="1" applyAlignment="1">
      <alignment wrapText="1"/>
    </xf>
    <xf numFmtId="0" fontId="28" fillId="0" borderId="36" xfId="0" applyFont="1" applyBorder="1" applyAlignment="1">
      <alignment wrapText="1"/>
    </xf>
    <xf numFmtId="0" fontId="28" fillId="0" borderId="17" xfId="0" applyFont="1" applyBorder="1" applyAlignment="1">
      <alignment wrapText="1"/>
    </xf>
    <xf numFmtId="0" fontId="28" fillId="0" borderId="41" xfId="0" applyFont="1" applyBorder="1" applyAlignment="1">
      <alignment wrapText="1"/>
    </xf>
    <xf numFmtId="0" fontId="28" fillId="0" borderId="42" xfId="0" applyFont="1" applyBorder="1" applyAlignment="1">
      <alignment wrapText="1"/>
    </xf>
    <xf numFmtId="0" fontId="40" fillId="0" borderId="56" xfId="74" applyFont="1" applyBorder="1" applyAlignment="1">
      <alignment wrapText="1"/>
    </xf>
    <xf numFmtId="0" fontId="40" fillId="0" borderId="52" xfId="74" applyFont="1" applyBorder="1" applyAlignment="1">
      <alignment wrapText="1"/>
    </xf>
    <xf numFmtId="0" fontId="26" fillId="0" borderId="35" xfId="74" applyFont="1" applyBorder="1" applyAlignment="1">
      <alignment horizontal="center" vertical="center" wrapText="1"/>
    </xf>
    <xf numFmtId="0" fontId="36" fillId="0" borderId="16" xfId="74" applyFont="1" applyBorder="1" applyAlignment="1">
      <alignment horizontal="center" vertical="center" wrapText="1"/>
    </xf>
    <xf numFmtId="0" fontId="34" fillId="0" borderId="35" xfId="74" applyFont="1" applyBorder="1" applyAlignment="1">
      <alignment horizontal="center" vertical="center" wrapText="1"/>
    </xf>
    <xf numFmtId="0" fontId="34" fillId="0" borderId="36" xfId="74" applyFont="1" applyBorder="1" applyAlignment="1">
      <alignment horizontal="center" vertical="center" wrapText="1"/>
    </xf>
    <xf numFmtId="0" fontId="0" fillId="0" borderId="16" xfId="74" applyFont="1" applyBorder="1" applyAlignment="1">
      <alignment vertical="top" wrapText="1"/>
    </xf>
    <xf numFmtId="0" fontId="1" fillId="0" borderId="35" xfId="74" applyBorder="1" applyAlignment="1">
      <alignment vertical="top" wrapText="1"/>
    </xf>
    <xf numFmtId="0" fontId="1" fillId="0" borderId="36" xfId="74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36" fillId="0" borderId="15" xfId="74" applyFont="1" applyBorder="1" applyAlignment="1">
      <alignment horizontal="center" vertical="center" wrapText="1"/>
    </xf>
    <xf numFmtId="0" fontId="36" fillId="0" borderId="56" xfId="74" applyFont="1" applyBorder="1" applyAlignment="1">
      <alignment horizontal="center" vertical="center" wrapText="1"/>
    </xf>
    <xf numFmtId="0" fontId="36" fillId="0" borderId="52" xfId="74" applyFont="1" applyBorder="1" applyAlignment="1">
      <alignment horizontal="center" vertical="center" wrapText="1"/>
    </xf>
    <xf numFmtId="0" fontId="34" fillId="0" borderId="56" xfId="74" applyFont="1" applyBorder="1" applyAlignment="1">
      <alignment horizontal="center" vertical="center" wrapText="1"/>
    </xf>
    <xf numFmtId="0" fontId="34" fillId="0" borderId="52" xfId="74" applyFont="1" applyBorder="1" applyAlignment="1">
      <alignment horizontal="center" vertical="center" wrapText="1"/>
    </xf>
    <xf numFmtId="0" fontId="29" fillId="0" borderId="15" xfId="74" applyFont="1" applyBorder="1" applyAlignment="1">
      <alignment horizontal="center" vertical="center"/>
    </xf>
    <xf numFmtId="0" fontId="36" fillId="0" borderId="35" xfId="74" applyFont="1" applyBorder="1" applyAlignment="1">
      <alignment horizontal="center" vertical="center" wrapText="1"/>
    </xf>
    <xf numFmtId="0" fontId="36" fillId="0" borderId="36" xfId="74" applyFont="1" applyBorder="1" applyAlignment="1">
      <alignment horizontal="center" vertical="center" wrapText="1"/>
    </xf>
    <xf numFmtId="0" fontId="36" fillId="0" borderId="11" xfId="74" applyFont="1" applyBorder="1" applyAlignment="1">
      <alignment horizontal="center" vertical="center" wrapText="1"/>
    </xf>
    <xf numFmtId="0" fontId="36" fillId="0" borderId="0" xfId="74" applyFont="1" applyBorder="1" applyAlignment="1">
      <alignment horizontal="center" vertical="center" wrapText="1"/>
    </xf>
    <xf numFmtId="0" fontId="36" fillId="0" borderId="12" xfId="74" applyFont="1" applyBorder="1" applyAlignment="1">
      <alignment horizontal="center" vertical="center" wrapText="1"/>
    </xf>
    <xf numFmtId="0" fontId="36" fillId="0" borderId="17" xfId="74" applyFont="1" applyBorder="1" applyAlignment="1">
      <alignment horizontal="center" vertical="center" wrapText="1"/>
    </xf>
    <xf numFmtId="0" fontId="36" fillId="0" borderId="41" xfId="74" applyFont="1" applyBorder="1" applyAlignment="1">
      <alignment horizontal="center" vertical="center" wrapText="1"/>
    </xf>
    <xf numFmtId="0" fontId="36" fillId="0" borderId="42" xfId="74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1" fillId="0" borderId="35" xfId="74" applyBorder="1" applyAlignment="1">
      <alignment horizontal="center" vertical="center" wrapText="1"/>
    </xf>
    <xf numFmtId="0" fontId="1" fillId="0" borderId="36" xfId="74" applyBorder="1" applyAlignment="1">
      <alignment horizontal="center" vertical="center" wrapText="1"/>
    </xf>
    <xf numFmtId="0" fontId="0" fillId="0" borderId="15" xfId="74" applyFont="1" applyBorder="1" applyAlignment="1">
      <alignment vertical="top" wrapText="1"/>
    </xf>
    <xf numFmtId="0" fontId="1" fillId="0" borderId="56" xfId="74" applyBorder="1" applyAlignment="1">
      <alignment vertical="top" wrapText="1"/>
    </xf>
    <xf numFmtId="0" fontId="0" fillId="0" borderId="56" xfId="0" applyBorder="1" applyAlignment="1">
      <alignment wrapText="1"/>
    </xf>
    <xf numFmtId="0" fontId="0" fillId="0" borderId="52" xfId="0" applyBorder="1" applyAlignment="1">
      <alignment wrapText="1"/>
    </xf>
  </cellXfs>
  <cellStyles count="9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lcul" xfId="46" builtinId="22" customBuiltin="1"/>
    <cellStyle name="Calculation" xfId="47"/>
    <cellStyle name="Cellule liée" xfId="48" builtinId="24" customBuiltin="1"/>
    <cellStyle name="Check Cell" xfId="49"/>
    <cellStyle name="Date" xfId="50"/>
    <cellStyle name="En-tête 1" xfId="51"/>
    <cellStyle name="En-tête 2" xfId="52"/>
    <cellStyle name="Entrée" xfId="53" builtinId="20" customBuiltin="1"/>
    <cellStyle name="Explanatory Text" xfId="54"/>
    <cellStyle name="Financier0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Insatisfaisant" xfId="62" builtinId="27" customBuiltin="1"/>
    <cellStyle name="Linked Cell" xfId="63"/>
    <cellStyle name="Milliers" xfId="64" builtinId="3"/>
    <cellStyle name="Monétaire0" xfId="65"/>
    <cellStyle name="Motif" xfId="66"/>
    <cellStyle name="Neutral" xfId="67"/>
    <cellStyle name="Neutre" xfId="68" builtinId="28" customBuiltin="1"/>
    <cellStyle name="Normal" xfId="0" builtinId="0"/>
    <cellStyle name="Normal 2" xfId="69"/>
    <cellStyle name="Normal 2 2" xfId="70"/>
    <cellStyle name="Normal 2_AccumulationEquation" xfId="71"/>
    <cellStyle name="Normal 3" xfId="72"/>
    <cellStyle name="Normal 4" xfId="73"/>
    <cellStyle name="Normal_France" xfId="74"/>
    <cellStyle name="Note" xfId="75"/>
    <cellStyle name="Output" xfId="76"/>
    <cellStyle name="Pourcentage 2" xfId="77"/>
    <cellStyle name="Pourcentage 3" xfId="78"/>
    <cellStyle name="Pourcentage 4" xfId="79"/>
    <cellStyle name="Sortie" xfId="80" builtinId="21" customBuiltin="1"/>
    <cellStyle name="Standard_2 + 3" xfId="81"/>
    <cellStyle name="style_col_headings" xfId="82"/>
    <cellStyle name="Texte explicatif" xfId="83" builtinId="53" customBuiltin="1"/>
    <cellStyle name="Title" xfId="84"/>
    <cellStyle name="Titre 1" xfId="85"/>
    <cellStyle name="Titre 2" xfId="86"/>
    <cellStyle name="Titre 3" xfId="87"/>
    <cellStyle name="Titre 4" xfId="88"/>
    <cellStyle name="Total" xfId="89" builtinId="25" customBuiltin="1"/>
    <cellStyle name="Virgule fixe" xfId="90"/>
    <cellStyle name="Warning Text" xfId="9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3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4.xml"/><Relationship Id="rId11" Type="http://schemas.openxmlformats.org/officeDocument/2006/relationships/worksheet" Target="worksheets/sheet5.xml"/><Relationship Id="rId12" Type="http://schemas.openxmlformats.org/officeDocument/2006/relationships/worksheet" Target="worksheets/sheet6.xml"/><Relationship Id="rId13" Type="http://schemas.openxmlformats.org/officeDocument/2006/relationships/worksheet" Target="worksheets/sheet7.xml"/><Relationship Id="rId14" Type="http://schemas.openxmlformats.org/officeDocument/2006/relationships/worksheet" Target="worksheets/sheet8.xml"/><Relationship Id="rId15" Type="http://schemas.openxmlformats.org/officeDocument/2006/relationships/worksheet" Target="worksheets/sheet9.xml"/><Relationship Id="rId16" Type="http://schemas.openxmlformats.org/officeDocument/2006/relationships/worksheet" Target="worksheets/sheet10.xml"/><Relationship Id="rId17" Type="http://schemas.openxmlformats.org/officeDocument/2006/relationships/worksheet" Target="worksheets/sheet11.xml"/><Relationship Id="rId18" Type="http://schemas.openxmlformats.org/officeDocument/2006/relationships/worksheet" Target="worksheets/sheet12.xml"/><Relationship Id="rId19" Type="http://schemas.openxmlformats.org/officeDocument/2006/relationships/theme" Target="theme/theme1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2.1. The growth of world population 1700-2012 </a:t>
            </a:r>
          </a:p>
        </c:rich>
      </c:tx>
      <c:layout>
        <c:manualLayout>
          <c:xMode val="edge"/>
          <c:yMode val="edge"/>
          <c:x val="0.21623245974850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2893081761"/>
          <c:y val="0.073270013568521"/>
          <c:w val="0.864330637915543"/>
          <c:h val="0.770691994572592"/>
        </c:manualLayout>
      </c:layout>
      <c:areaChart>
        <c:grouping val="stacked"/>
        <c:varyColors val="0"/>
        <c:ser>
          <c:idx val="1"/>
          <c:order val="0"/>
          <c:tx>
            <c:v>Europe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'CTS1.2'!$A$11:$A$18</c:f>
              <c:numCache>
                <c:formatCode>General</c:formatCode>
                <c:ptCount val="8"/>
                <c:pt idx="0">
                  <c:v>1700.0</c:v>
                </c:pt>
                <c:pt idx="1">
                  <c:v>1820.0</c:v>
                </c:pt>
                <c:pt idx="2">
                  <c:v>1870.0</c:v>
                </c:pt>
                <c:pt idx="3">
                  <c:v>1913.0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2012.0</c:v>
                </c:pt>
              </c:numCache>
            </c:numRef>
          </c:cat>
          <c:val>
            <c:numRef>
              <c:f>'CTS1.2'!$I$11:$I$18</c:f>
              <c:numCache>
                <c:formatCode>#,##0</c:formatCode>
                <c:ptCount val="8"/>
                <c:pt idx="0">
                  <c:v>123.0818525383384</c:v>
                </c:pt>
                <c:pt idx="1">
                  <c:v>216.5599059985726</c:v>
                </c:pt>
                <c:pt idx="2">
                  <c:v>317.2766895773839</c:v>
                </c:pt>
                <c:pt idx="3">
                  <c:v>474.7645401758249</c:v>
                </c:pt>
                <c:pt idx="4">
                  <c:v>547.6214150000001</c:v>
                </c:pt>
                <c:pt idx="5">
                  <c:v>658.2562789999999</c:v>
                </c:pt>
                <c:pt idx="6">
                  <c:v>720.4971330000001</c:v>
                </c:pt>
                <c:pt idx="7">
                  <c:v>740.175451</c:v>
                </c:pt>
              </c:numCache>
            </c:numRef>
          </c:val>
        </c:ser>
        <c:ser>
          <c:idx val="0"/>
          <c:order val="1"/>
          <c:tx>
            <c:v>Amérique</c:v>
          </c:tx>
          <c:spPr>
            <a:solidFill>
              <a:srgbClr val="808080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'CTS1.2'!$A$11:$A$18</c:f>
              <c:numCache>
                <c:formatCode>General</c:formatCode>
                <c:ptCount val="8"/>
                <c:pt idx="0">
                  <c:v>1700.0</c:v>
                </c:pt>
                <c:pt idx="1">
                  <c:v>1820.0</c:v>
                </c:pt>
                <c:pt idx="2">
                  <c:v>1870.0</c:v>
                </c:pt>
                <c:pt idx="3">
                  <c:v>1913.0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2012.0</c:v>
                </c:pt>
              </c:numCache>
            </c:numRef>
          </c:cat>
          <c:val>
            <c:numRef>
              <c:f>'CTS1.2'!$J$11:$J$18</c:f>
              <c:numCache>
                <c:formatCode>#,##0</c:formatCode>
                <c:ptCount val="8"/>
                <c:pt idx="0">
                  <c:v>13.25</c:v>
                </c:pt>
                <c:pt idx="1">
                  <c:v>32.3879572</c:v>
                </c:pt>
                <c:pt idx="2">
                  <c:v>84.42219850000001</c:v>
                </c:pt>
                <c:pt idx="3">
                  <c:v>186.28864</c:v>
                </c:pt>
                <c:pt idx="4">
                  <c:v>331.769964</c:v>
                </c:pt>
                <c:pt idx="5">
                  <c:v>512.101026</c:v>
                </c:pt>
                <c:pt idx="6">
                  <c:v>724.193237</c:v>
                </c:pt>
                <c:pt idx="7">
                  <c:v>953.7687680000001</c:v>
                </c:pt>
              </c:numCache>
            </c:numRef>
          </c:val>
        </c:ser>
        <c:ser>
          <c:idx val="3"/>
          <c:order val="2"/>
          <c:tx>
            <c:v>Afrique</c:v>
          </c:tx>
          <c:spPr>
            <a:solidFill>
              <a:srgbClr val="FFFFFF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'CTS1.2'!$A$11:$A$18</c:f>
              <c:numCache>
                <c:formatCode>General</c:formatCode>
                <c:ptCount val="8"/>
                <c:pt idx="0">
                  <c:v>1700.0</c:v>
                </c:pt>
                <c:pt idx="1">
                  <c:v>1820.0</c:v>
                </c:pt>
                <c:pt idx="2">
                  <c:v>1870.0</c:v>
                </c:pt>
                <c:pt idx="3">
                  <c:v>1913.0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2012.0</c:v>
                </c:pt>
              </c:numCache>
            </c:numRef>
          </c:cat>
          <c:val>
            <c:numRef>
              <c:f>'CTS1.2'!$K$11:$K$18</c:f>
              <c:numCache>
                <c:formatCode>#,##0</c:formatCode>
                <c:ptCount val="8"/>
                <c:pt idx="0">
                  <c:v>61.08</c:v>
                </c:pt>
                <c:pt idx="1">
                  <c:v>74.236</c:v>
                </c:pt>
                <c:pt idx="2">
                  <c:v>90.466</c:v>
                </c:pt>
                <c:pt idx="3">
                  <c:v>124.697</c:v>
                </c:pt>
                <c:pt idx="4">
                  <c:v>227.939046</c:v>
                </c:pt>
                <c:pt idx="5">
                  <c:v>365.8975770000001</c:v>
                </c:pt>
                <c:pt idx="6">
                  <c:v>635.286969</c:v>
                </c:pt>
                <c:pt idx="7">
                  <c:v>1070.096166</c:v>
                </c:pt>
              </c:numCache>
            </c:numRef>
          </c:val>
        </c:ser>
        <c:ser>
          <c:idx val="2"/>
          <c:order val="3"/>
          <c:tx>
            <c:v>Asie</c:v>
          </c:tx>
          <c:spPr>
            <a:solidFill>
              <a:srgbClr val="C0C0C0"/>
            </a:solidFill>
            <a:ln w="25400">
              <a:solidFill>
                <a:srgbClr val="000000"/>
              </a:solidFill>
              <a:prstDash val="solid"/>
            </a:ln>
          </c:spPr>
          <c:cat>
            <c:numRef>
              <c:f>'CTS1.2'!$A$11:$A$18</c:f>
              <c:numCache>
                <c:formatCode>General</c:formatCode>
                <c:ptCount val="8"/>
                <c:pt idx="0">
                  <c:v>1700.0</c:v>
                </c:pt>
                <c:pt idx="1">
                  <c:v>1820.0</c:v>
                </c:pt>
                <c:pt idx="2">
                  <c:v>1870.0</c:v>
                </c:pt>
                <c:pt idx="3">
                  <c:v>1913.0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2012.0</c:v>
                </c:pt>
              </c:numCache>
            </c:numRef>
          </c:cat>
          <c:val>
            <c:numRef>
              <c:f>'CTS1.2'!$L$11:$L$18</c:f>
              <c:numCache>
                <c:formatCode>#,##0</c:formatCode>
                <c:ptCount val="8"/>
                <c:pt idx="0">
                  <c:v>406.0781474616616</c:v>
                </c:pt>
                <c:pt idx="1">
                  <c:v>718.5241072672126</c:v>
                </c:pt>
                <c:pt idx="2">
                  <c:v>783.5671796120224</c:v>
                </c:pt>
                <c:pt idx="3">
                  <c:v>1007.174522646158</c:v>
                </c:pt>
                <c:pt idx="4">
                  <c:v>1420.629469934742</c:v>
                </c:pt>
                <c:pt idx="5">
                  <c:v>2154.902546127315</c:v>
                </c:pt>
                <c:pt idx="6">
                  <c:v>3226.447815</c:v>
                </c:pt>
                <c:pt idx="7">
                  <c:v>4288.09492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92344"/>
        <c:axId val="2077785720"/>
      </c:areaChart>
      <c:catAx>
        <c:axId val="-21436923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World population rose from 600 million inhabitants in 1700 to 7 billion in 2012.</a:t>
                </a:r>
                <a:endParaRPr lang="en-US" sz="12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ans series: see piketty.pse.ens.fr/capital21c.   </a:t>
                </a:r>
              </a:p>
            </c:rich>
          </c:tx>
          <c:layout>
            <c:manualLayout>
              <c:xMode val="edge"/>
              <c:yMode val="edge"/>
              <c:x val="0.224019156187566"/>
              <c:y val="0.9145182502946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778572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077785720"/>
        <c:scaling>
          <c:orientation val="minMax"/>
          <c:max val="7200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World</a:t>
                </a:r>
                <a:r>
                  <a:rPr lang="fr-FR" baseline="0"/>
                  <a:t> p</a:t>
                </a:r>
                <a:r>
                  <a:rPr lang="fr-FR"/>
                  <a:t>opulation (millions inhabitants)</a:t>
                </a:r>
              </a:p>
            </c:rich>
          </c:tx>
          <c:layout>
            <c:manualLayout>
              <c:xMode val="edge"/>
              <c:yMode val="edge"/>
              <c:x val="0.0"/>
              <c:y val="0.2130257741643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3692344"/>
        <c:crosses val="autoZero"/>
        <c:crossBetween val="midCat"/>
        <c:majorUnit val="1000.0"/>
        <c:minorUnit val="1000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2.2. The growth rate of world population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from Antiquity to 2100 </a:t>
            </a:r>
          </a:p>
        </c:rich>
      </c:tx>
      <c:layout>
        <c:manualLayout>
          <c:xMode val="edge"/>
          <c:yMode val="edge"/>
          <c:x val="0.237867787049007"/>
          <c:y val="0.002261430987070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8319856244384"/>
          <c:y val="0.118046132971506"/>
          <c:w val="0.864330637915543"/>
          <c:h val="0.708276797829037"/>
        </c:manualLayout>
      </c:layout>
      <c:lineChart>
        <c:grouping val="standard"/>
        <c:varyColors val="0"/>
        <c:ser>
          <c:idx val="1"/>
          <c:order val="0"/>
          <c:tx>
            <c:v>Taux de croissance annuel de la population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'TS2.2'!$A$8:$A$20</c:f>
              <c:strCache>
                <c:ptCount val="13"/>
                <c:pt idx="0">
                  <c:v>0-1000</c:v>
                </c:pt>
                <c:pt idx="1">
                  <c:v>1000-1500</c:v>
                </c:pt>
                <c:pt idx="2">
                  <c:v>1500-1700</c:v>
                </c:pt>
                <c:pt idx="3">
                  <c:v>1700-1820</c:v>
                </c:pt>
                <c:pt idx="4">
                  <c:v>1820-1913</c:v>
                </c:pt>
                <c:pt idx="5">
                  <c:v>1913-1950</c:v>
                </c:pt>
                <c:pt idx="6">
                  <c:v>1950-1970</c:v>
                </c:pt>
                <c:pt idx="7">
                  <c:v>1970-1990</c:v>
                </c:pt>
                <c:pt idx="8">
                  <c:v>1990-2012</c:v>
                </c:pt>
                <c:pt idx="9">
                  <c:v>2012-2030</c:v>
                </c:pt>
                <c:pt idx="10">
                  <c:v>2030-2050</c:v>
                </c:pt>
                <c:pt idx="11">
                  <c:v>2050-2070</c:v>
                </c:pt>
                <c:pt idx="12">
                  <c:v>2070-2100</c:v>
                </c:pt>
              </c:strCache>
            </c:strRef>
          </c:cat>
          <c:val>
            <c:numRef>
              <c:f>'TS2.2'!$B$8:$B$20</c:f>
              <c:numCache>
                <c:formatCode>0.0%</c:formatCode>
                <c:ptCount val="13"/>
                <c:pt idx="0">
                  <c:v>0.000168759866884915</c:v>
                </c:pt>
                <c:pt idx="1">
                  <c:v>0.000989913144738397</c:v>
                </c:pt>
                <c:pt idx="2">
                  <c:v>0.00159894629454382</c:v>
                </c:pt>
                <c:pt idx="3">
                  <c:v>0.0045594248070473</c:v>
                </c:pt>
                <c:pt idx="4">
                  <c:v>0.00585564273031225</c:v>
                </c:pt>
                <c:pt idx="5">
                  <c:v>0.00932876890888812</c:v>
                </c:pt>
                <c:pt idx="6">
                  <c:v>0.0191066122563939</c:v>
                </c:pt>
                <c:pt idx="7">
                  <c:v>0.0183146076484786</c:v>
                </c:pt>
                <c:pt idx="8">
                  <c:v>0.0130117469870081</c:v>
                </c:pt>
                <c:pt idx="9">
                  <c:v>0.00923670910453378</c:v>
                </c:pt>
                <c:pt idx="10">
                  <c:v>0.00560791817163286</c:v>
                </c:pt>
                <c:pt idx="11">
                  <c:v>0.00272731553972227</c:v>
                </c:pt>
                <c:pt idx="12">
                  <c:v>0.00149387241891397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1624"/>
        <c:axId val="-2141216536"/>
      </c:lineChart>
      <c:catAx>
        <c:axId val="211751162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growth rate of world population was above 1% per year from 1950 to 2012 and should return toward 0% by the end of the 21st century.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3638852979198"/>
              <c:y val="0.9199456846636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-214121653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141216536"/>
        <c:scaling>
          <c:orientation val="minMax"/>
          <c:max val="0.02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World</a:t>
                </a:r>
                <a:r>
                  <a:rPr lang="fr-FR" baseline="0"/>
                  <a:t> population growth rate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299494652720649"/>
              <c:y val="0.277702358788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511624"/>
        <c:crosses val="autoZero"/>
        <c:crossBetween val="midCat"/>
        <c:majorUnit val="0.002"/>
        <c:minorUnit val="0.0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2.3. The growth rate of per capita output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since the industrial revolution</a:t>
            </a:r>
          </a:p>
        </c:rich>
      </c:tx>
      <c:layout>
        <c:manualLayout>
          <c:xMode val="edge"/>
          <c:yMode val="edge"/>
          <c:x val="0.255837231167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019766397125"/>
          <c:y val="0.100407055630936"/>
          <c:w val="0.830188679245283"/>
          <c:h val="0.738127544097693"/>
        </c:manualLayout>
      </c:layout>
      <c:lineChart>
        <c:grouping val="standard"/>
        <c:varyColors val="0"/>
        <c:ser>
          <c:idx val="1"/>
          <c:order val="0"/>
          <c:tx>
            <c:strRef>
              <c:f>'TS2.4'!$E$6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'TS2.4'!$D$10:$D$16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'TS2.4'!$E$10:$E$16</c:f>
              <c:numCache>
                <c:formatCode>0.0%</c:formatCode>
                <c:ptCount val="7"/>
                <c:pt idx="0">
                  <c:v>0.00153474541226317</c:v>
                </c:pt>
                <c:pt idx="1">
                  <c:v>0.00988731704637424</c:v>
                </c:pt>
                <c:pt idx="2">
                  <c:v>0.0133647296828803</c:v>
                </c:pt>
                <c:pt idx="3">
                  <c:v>0.00756688870088751</c:v>
                </c:pt>
                <c:pt idx="4">
                  <c:v>0.0408163844666254</c:v>
                </c:pt>
                <c:pt idx="5">
                  <c:v>0.0226292773433026</c:v>
                </c:pt>
                <c:pt idx="6">
                  <c:v>0.0148401566320642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'TS2.4'!$F$6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'TS2.4'!$D$10:$D$16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'TS2.4'!$F$10:$F$16</c:f>
              <c:numCache>
                <c:formatCode>0.0%</c:formatCode>
                <c:ptCount val="7"/>
                <c:pt idx="0">
                  <c:v>0.00735357065264286</c:v>
                </c:pt>
                <c:pt idx="1">
                  <c:v>0.013281495172818</c:v>
                </c:pt>
                <c:pt idx="2">
                  <c:v>0.0185083918682924</c:v>
                </c:pt>
                <c:pt idx="3">
                  <c:v>0.0158470946440339</c:v>
                </c:pt>
                <c:pt idx="4">
                  <c:v>0.0229249869468482</c:v>
                </c:pt>
                <c:pt idx="5">
                  <c:v>0.0219627482429856</c:v>
                </c:pt>
                <c:pt idx="6">
                  <c:v>0.0140409695782981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76392"/>
        <c:axId val="2116224024"/>
      </c:lineChart>
      <c:catAx>
        <c:axId val="211647639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>
                    <a:latin typeface="Arial"/>
                    <a:cs typeface="Arial"/>
                  </a:rPr>
                  <a:t>The growth rate of per capita output surpassed 4% per year in Europe between 1950 and 1970, before returning to American levels. Sources and series: see piketty.pse.ens.fr/capital21c </a:t>
                </a:r>
              </a:p>
            </c:rich>
          </c:tx>
          <c:layout>
            <c:manualLayout>
              <c:xMode val="edge"/>
              <c:yMode val="edge"/>
              <c:x val="0.131176989070396"/>
              <c:y val="0.9063772695441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224024"/>
        <c:crossesAt val="0.0"/>
        <c:auto val="1"/>
        <c:lblAlgn val="ctr"/>
        <c:lblOffset val="60"/>
        <c:tickLblSkip val="1"/>
        <c:tickMarkSkip val="1"/>
        <c:noMultiLvlLbl val="0"/>
      </c:catAx>
      <c:valAx>
        <c:axId val="2116224024"/>
        <c:scaling>
          <c:orientation val="minMax"/>
          <c:max val="0.05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Growth</a:t>
                </a:r>
                <a:r>
                  <a:rPr lang="fr-FR" baseline="0"/>
                  <a:t> rate of per capita GDP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299494652720649"/>
              <c:y val="0.297150665277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476392"/>
        <c:crosses val="autoZero"/>
        <c:crossBetween val="midCat"/>
        <c:majorUnit val="0.005"/>
        <c:minorUnit val="0.0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ayout>
        <c:manualLayout>
          <c:xMode val="edge"/>
          <c:yMode val="edge"/>
          <c:x val="0.221556939710894"/>
          <c:y val="0.241535006063505"/>
          <c:w val="0.236526971442003"/>
          <c:h val="0.18961620578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Figure 2.4. The growth rate of world per capita output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since Antiquity until 2100 </a:t>
            </a:r>
          </a:p>
        </c:rich>
      </c:tx>
      <c:layout>
        <c:manualLayout>
          <c:xMode val="edge"/>
          <c:yMode val="edge"/>
          <c:x val="0.224248090257375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26679919727"/>
          <c:y val="0.111261872455902"/>
          <c:w val="0.870320455226116"/>
          <c:h val="0.705563093622795"/>
        </c:manualLayout>
      </c:layout>
      <c:lineChart>
        <c:grouping val="standard"/>
        <c:varyColors val="0"/>
        <c:ser>
          <c:idx val="1"/>
          <c:order val="0"/>
          <c:tx>
            <c:v>Taux de croissance annuel de la production mondiale par habitant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'TS2.4'!$A$7:$A$18</c:f>
              <c:strCache>
                <c:ptCount val="12"/>
                <c:pt idx="0">
                  <c:v>0-1000</c:v>
                </c:pt>
                <c:pt idx="1">
                  <c:v>1000-1500</c:v>
                </c:pt>
                <c:pt idx="2">
                  <c:v>1500-1700</c:v>
                </c:pt>
                <c:pt idx="3">
                  <c:v>1700-1820</c:v>
                </c:pt>
                <c:pt idx="4">
                  <c:v>1820-1913</c:v>
                </c:pt>
                <c:pt idx="5">
                  <c:v>1913-1950</c:v>
                </c:pt>
                <c:pt idx="6">
                  <c:v>1950-1990</c:v>
                </c:pt>
                <c:pt idx="7">
                  <c:v>1990-2012</c:v>
                </c:pt>
                <c:pt idx="8">
                  <c:v>2012-2030</c:v>
                </c:pt>
                <c:pt idx="9">
                  <c:v>2030-2050</c:v>
                </c:pt>
                <c:pt idx="10">
                  <c:v>2050-2070</c:v>
                </c:pt>
                <c:pt idx="11">
                  <c:v>2070-2100</c:v>
                </c:pt>
              </c:strCache>
            </c:strRef>
          </c:cat>
          <c:val>
            <c:numRef>
              <c:f>'TS2.4'!$C$7:$C$18</c:f>
              <c:numCache>
                <c:formatCode>0.0%</c:formatCode>
                <c:ptCount val="12"/>
                <c:pt idx="0">
                  <c:v>-3.32901286850262E-5</c:v>
                </c:pt>
                <c:pt idx="1">
                  <c:v>0.000429734707760199</c:v>
                </c:pt>
                <c:pt idx="2">
                  <c:v>0.000424527607947089</c:v>
                </c:pt>
                <c:pt idx="3">
                  <c:v>0.000702888432275506</c:v>
                </c:pt>
                <c:pt idx="4">
                  <c:v>0.00898470310952781</c:v>
                </c:pt>
                <c:pt idx="5">
                  <c:v>0.00865624884272331</c:v>
                </c:pt>
                <c:pt idx="6">
                  <c:v>0.020750182222798</c:v>
                </c:pt>
                <c:pt idx="7">
                  <c:v>0.0207944015341213</c:v>
                </c:pt>
                <c:pt idx="8">
                  <c:v>0.0258744233012218</c:v>
                </c:pt>
                <c:pt idx="9">
                  <c:v>0.0247574308725422</c:v>
                </c:pt>
                <c:pt idx="10">
                  <c:v>0.0146575611389585</c:v>
                </c:pt>
                <c:pt idx="11">
                  <c:v>0.0124091052882092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24344"/>
        <c:axId val="-2140767608"/>
      </c:lineChart>
      <c:catAx>
        <c:axId val="-21406243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latin typeface="Arial"/>
                    <a:ea typeface="Calibri"/>
                    <a:cs typeface="Arial"/>
                  </a:rPr>
                  <a:t>The growth rate of per capita output surpassed 2% from 1950 to 2012. If the convergence process goes on, it will surpass 2,5% from 2012 to 2050, and then will drop below 1,5%.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 : see piketty.pse.ens.fr/capital21c.</a:t>
                </a:r>
              </a:p>
            </c:rich>
          </c:tx>
          <c:layout>
            <c:manualLayout>
              <c:xMode val="edge"/>
              <c:yMode val="edge"/>
              <c:x val="0.163522035491832"/>
              <c:y val="0.8982361179906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767608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140767608"/>
        <c:scaling>
          <c:orientation val="minMax"/>
          <c:max val="0.035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Growth rate of per capita GDP</a:t>
                </a:r>
              </a:p>
            </c:rich>
          </c:tx>
          <c:layout>
            <c:manualLayout>
              <c:xMode val="edge"/>
              <c:yMode val="edge"/>
              <c:x val="0.00149747326360324"/>
              <c:y val="0.27001349343262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624344"/>
        <c:crosses val="autoZero"/>
        <c:crossBetween val="midCat"/>
        <c:majorUnit val="0.005"/>
        <c:minorUnit val="0.0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2.5. The</a:t>
            </a:r>
            <a:r>
              <a:rPr lang="fr-FR" baseline="0"/>
              <a:t> growth rate of world output from Antiquity until 2100</a:t>
            </a:r>
            <a:endParaRPr lang="fr-FR"/>
          </a:p>
        </c:rich>
      </c:tx>
      <c:layout>
        <c:manualLayout>
          <c:xMode val="edge"/>
          <c:yMode val="edge"/>
          <c:x val="0.130051122341051"/>
          <c:y val="0.029398432028968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2101223196157"/>
          <c:y val="0.111261872455902"/>
          <c:w val="0.868823000898473"/>
          <c:h val="0.717774762550882"/>
        </c:manualLayout>
      </c:layout>
      <c:lineChart>
        <c:grouping val="standard"/>
        <c:varyColors val="0"/>
        <c:ser>
          <c:idx val="1"/>
          <c:order val="0"/>
          <c:tx>
            <c:v>Taux de croissance annuel de la production mondiale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'TS2.4'!$A$7:$A$18</c:f>
              <c:strCache>
                <c:ptCount val="12"/>
                <c:pt idx="0">
                  <c:v>0-1000</c:v>
                </c:pt>
                <c:pt idx="1">
                  <c:v>1000-1500</c:v>
                </c:pt>
                <c:pt idx="2">
                  <c:v>1500-1700</c:v>
                </c:pt>
                <c:pt idx="3">
                  <c:v>1700-1820</c:v>
                </c:pt>
                <c:pt idx="4">
                  <c:v>1820-1913</c:v>
                </c:pt>
                <c:pt idx="5">
                  <c:v>1913-1950</c:v>
                </c:pt>
                <c:pt idx="6">
                  <c:v>1950-1990</c:v>
                </c:pt>
                <c:pt idx="7">
                  <c:v>1990-2012</c:v>
                </c:pt>
                <c:pt idx="8">
                  <c:v>2012-2030</c:v>
                </c:pt>
                <c:pt idx="9">
                  <c:v>2030-2050</c:v>
                </c:pt>
                <c:pt idx="10">
                  <c:v>2050-2070</c:v>
                </c:pt>
                <c:pt idx="11">
                  <c:v>2070-2100</c:v>
                </c:pt>
              </c:strCache>
            </c:strRef>
          </c:cat>
          <c:val>
            <c:numRef>
              <c:f>'TS2.4'!$B$7:$B$18</c:f>
              <c:numCache>
                <c:formatCode>0.0%</c:formatCode>
                <c:ptCount val="12"/>
                <c:pt idx="0">
                  <c:v>0.000135464120162299</c:v>
                </c:pt>
                <c:pt idx="1">
                  <c:v>0.00142007325253446</c:v>
                </c:pt>
                <c:pt idx="2">
                  <c:v>0.00202415269933653</c:v>
                </c:pt>
                <c:pt idx="3">
                  <c:v>0.0052655180062775</c:v>
                </c:pt>
                <c:pt idx="4">
                  <c:v>0.0148929570512875</c:v>
                </c:pt>
                <c:pt idx="5">
                  <c:v>0.0180657698966831</c:v>
                </c:pt>
                <c:pt idx="6">
                  <c:v>0.0398490407412468</c:v>
                </c:pt>
                <c:pt idx="7">
                  <c:v>0.0340767200126377</c:v>
                </c:pt>
                <c:pt idx="8">
                  <c:v>0.0353501269270366</c:v>
                </c:pt>
                <c:pt idx="9">
                  <c:v>0.0305041866906481</c:v>
                </c:pt>
                <c:pt idx="10">
                  <c:v>0.0174248524729494</c:v>
                </c:pt>
                <c:pt idx="11">
                  <c:v>0.0139215153272565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56552"/>
        <c:axId val="2147307320"/>
      </c:lineChart>
      <c:catAx>
        <c:axId val="209645655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growth rate of world output surpassed 4% from 1950 to 1990. If the convergence process goes on it will drop below 2% by 2050.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2857092490304"/>
              <c:y val="0.92401626044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730732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147307320"/>
        <c:scaling>
          <c:orientation val="minMax"/>
          <c:max val="0.05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Growth</a:t>
                </a:r>
                <a:r>
                  <a:rPr lang="fr-FR" baseline="0"/>
                  <a:t> rate of world GDP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30438707363314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6456552"/>
        <c:crosses val="autoZero"/>
        <c:crossBetween val="midCat"/>
        <c:majorUnit val="0.005"/>
        <c:minorUnit val="0.0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2.6. Inflation</a:t>
            </a:r>
            <a:r>
              <a:rPr lang="fr-FR" baseline="0"/>
              <a:t> since the industrial revolution</a:t>
            </a:r>
            <a:endParaRPr lang="fr-FR"/>
          </a:p>
        </c:rich>
      </c:tx>
      <c:layout>
        <c:manualLayout>
          <c:xMode val="edge"/>
          <c:yMode val="edge"/>
          <c:x val="0.219898342931014"/>
          <c:y val="0.0067842929612106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2893081761"/>
          <c:y val="0.0800542740841248"/>
          <c:w val="0.834681042228212"/>
          <c:h val="0.773405698778833"/>
        </c:manualLayout>
      </c:layout>
      <c:lineChart>
        <c:grouping val="standard"/>
        <c:varyColors val="0"/>
        <c:ser>
          <c:idx val="0"/>
          <c:order val="0"/>
          <c:tx>
            <c:strRef>
              <c:f>'TS2.5'!$B$7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'TS2.5'!$A$8:$A$14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'TS2.5'!$B$8:$B$14</c:f>
              <c:numCache>
                <c:formatCode>0.0%</c:formatCode>
                <c:ptCount val="7"/>
                <c:pt idx="0">
                  <c:v>0.00706077721858023</c:v>
                </c:pt>
                <c:pt idx="1">
                  <c:v>0.00188975441172356</c:v>
                </c:pt>
                <c:pt idx="2">
                  <c:v>0.00398352560554893</c:v>
                </c:pt>
                <c:pt idx="3">
                  <c:v>0.131386566284432</c:v>
                </c:pt>
                <c:pt idx="4">
                  <c:v>0.0555604307403157</c:v>
                </c:pt>
                <c:pt idx="5">
                  <c:v>0.0791468543715514</c:v>
                </c:pt>
                <c:pt idx="6">
                  <c:v>0.0160851232828152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'TS2.5'!$C$7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'TS2.5'!$A$8:$A$14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'TS2.5'!$C$8:$C$14</c:f>
              <c:numCache>
                <c:formatCode>0.0%</c:formatCode>
                <c:ptCount val="7"/>
                <c:pt idx="0">
                  <c:v>0.004</c:v>
                </c:pt>
                <c:pt idx="1">
                  <c:v>0.002</c:v>
                </c:pt>
                <c:pt idx="2">
                  <c:v>0.0058343466044366</c:v>
                </c:pt>
                <c:pt idx="3">
                  <c:v>0.168367226053832</c:v>
                </c:pt>
                <c:pt idx="4">
                  <c:v>0.0335731079545412</c:v>
                </c:pt>
                <c:pt idx="5">
                  <c:v>0.0393557574584185</c:v>
                </c:pt>
                <c:pt idx="6">
                  <c:v>0.0138117095680592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'TS2.5'!$D$7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'TS2.5'!$A$8:$A$14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'TS2.5'!$D$8:$D$14</c:f>
              <c:numCache>
                <c:formatCode>0.0%</c:formatCode>
                <c:ptCount val="7"/>
                <c:pt idx="0">
                  <c:v>0.003</c:v>
                </c:pt>
                <c:pt idx="1">
                  <c:v>0.00115824024525442</c:v>
                </c:pt>
                <c:pt idx="2">
                  <c:v>-0.00672247043151963</c:v>
                </c:pt>
                <c:pt idx="3">
                  <c:v>0.0246913308036201</c:v>
                </c:pt>
                <c:pt idx="4">
                  <c:v>0.0256837417765285</c:v>
                </c:pt>
                <c:pt idx="5">
                  <c:v>0.0559205803063734</c:v>
                </c:pt>
                <c:pt idx="6">
                  <c:v>0.0216898643352763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'TS2.5'!$E$7</c:f>
              <c:strCache>
                <c:ptCount val="1"/>
                <c:pt idx="0">
                  <c:v>Britain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'TS2.5'!$A$8:$A$14</c:f>
              <c:strCache>
                <c:ptCount val="7"/>
                <c:pt idx="0">
                  <c:v>1700-1820</c:v>
                </c:pt>
                <c:pt idx="1">
                  <c:v>1820-1870</c:v>
                </c:pt>
                <c:pt idx="2">
                  <c:v>1870-1913</c:v>
                </c:pt>
                <c:pt idx="3">
                  <c:v>1913-1950</c:v>
                </c:pt>
                <c:pt idx="4">
                  <c:v>1950-1970</c:v>
                </c:pt>
                <c:pt idx="5">
                  <c:v>1970-1990</c:v>
                </c:pt>
                <c:pt idx="6">
                  <c:v>1990-2012</c:v>
                </c:pt>
              </c:strCache>
            </c:strRef>
          </c:cat>
          <c:val>
            <c:numRef>
              <c:f>'TS2.5'!$E$8:$E$14</c:f>
              <c:numCache>
                <c:formatCode>0.0%</c:formatCode>
                <c:ptCount val="7"/>
                <c:pt idx="0">
                  <c:v>0.00538598282044123</c:v>
                </c:pt>
                <c:pt idx="1">
                  <c:v>-0.00473484622408282</c:v>
                </c:pt>
                <c:pt idx="2">
                  <c:v>0.000209447928501083</c:v>
                </c:pt>
                <c:pt idx="3">
                  <c:v>0.0311435719439033</c:v>
                </c:pt>
                <c:pt idx="4">
                  <c:v>0.0413797439924106</c:v>
                </c:pt>
                <c:pt idx="5">
                  <c:v>0.101658790071662</c:v>
                </c:pt>
                <c:pt idx="6">
                  <c:v>0.026116296562851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66712"/>
        <c:axId val="2118038968"/>
      </c:lineChart>
      <c:catAx>
        <c:axId val="207906671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Inflation in rich countries was null during 18th-19th centuries, high during 20th century, and is about 2% per year since 1990.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3872370431308"/>
              <c:y val="0.9213025432558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8038968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118038968"/>
        <c:scaling>
          <c:orientation val="minMax"/>
          <c:max val="0.2"/>
          <c:min val="-0.0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Inflation</a:t>
                </a:r>
                <a:r>
                  <a:rPr lang="fr-FR" baseline="0"/>
                  <a:t> rate (consumer price index</a:t>
                </a:r>
                <a:r>
                  <a:rPr lang="fr-FR"/>
                  <a:t>)</a:t>
                </a:r>
              </a:p>
            </c:rich>
          </c:tx>
          <c:layout>
            <c:manualLayout>
              <c:xMode val="edge"/>
              <c:yMode val="edge"/>
              <c:x val="0.00688823598542719"/>
              <c:y val="0.2406150614036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9066712"/>
        <c:crosses val="autoZero"/>
        <c:crossBetween val="midCat"/>
        <c:majorUnit val="0.02"/>
        <c:minorUnit val="0.0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664707956282"/>
          <c:y val="0.178329547201394"/>
          <c:w val="0.229041955576448"/>
          <c:h val="0.27539498180948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0.75975</cdr:x>
      <cdr:y>0.479</cdr:y>
    </cdr:from>
    <cdr:to>
      <cdr:x>0.84925</cdr:x>
      <cdr:y>0.52575</cdr:y>
    </cdr:to>
    <cdr:sp macro="" textlink="">
      <cdr:nvSpPr>
        <cdr:cNvPr id="614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5128" y="2803284"/>
          <a:ext cx="816547" cy="2611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Asia</a:t>
          </a:r>
        </a:p>
      </cdr:txBody>
    </cdr:sp>
  </cdr:relSizeAnchor>
  <cdr:relSizeAnchor xmlns:cdr="http://schemas.openxmlformats.org/drawingml/2006/chartDrawing">
    <cdr:from>
      <cdr:x>0.7675</cdr:x>
      <cdr:y>0.787</cdr:y>
    </cdr:from>
    <cdr:to>
      <cdr:x>0.8665</cdr:x>
      <cdr:y>0.83475</cdr:y>
    </cdr:to>
    <cdr:sp macro="" textlink="">
      <cdr:nvSpPr>
        <cdr:cNvPr id="614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3602" y="4641669"/>
          <a:ext cx="869569" cy="2800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Europe</a:t>
          </a:r>
        </a:p>
      </cdr:txBody>
    </cdr:sp>
  </cdr:relSizeAnchor>
  <cdr:relSizeAnchor xmlns:cdr="http://schemas.openxmlformats.org/drawingml/2006/chartDrawing">
    <cdr:from>
      <cdr:x>0.78275</cdr:x>
      <cdr:y>0.711</cdr:y>
    </cdr:from>
    <cdr:to>
      <cdr:x>0.8965</cdr:x>
      <cdr:y>0.76225</cdr:y>
    </cdr:to>
    <cdr:sp macro="" textlink="">
      <cdr:nvSpPr>
        <cdr:cNvPr id="6147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5405" y="4190416"/>
          <a:ext cx="990460" cy="2989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America</a:t>
          </a:r>
        </a:p>
      </cdr:txBody>
    </cdr:sp>
  </cdr:relSizeAnchor>
  <cdr:relSizeAnchor xmlns:cdr="http://schemas.openxmlformats.org/drawingml/2006/chartDrawing">
    <cdr:from>
      <cdr:x>0.85725</cdr:x>
      <cdr:y>0.61825</cdr:y>
    </cdr:from>
    <cdr:to>
      <cdr:x>0.959</cdr:x>
      <cdr:y>0.66175</cdr:y>
    </cdr:to>
    <cdr:sp macro="" textlink="">
      <cdr:nvSpPr>
        <cdr:cNvPr id="6148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3785" y="3625987"/>
          <a:ext cx="875932" cy="2379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Africa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0.819</cdr:x>
      <cdr:y>0.339</cdr:y>
    </cdr:from>
    <cdr:to>
      <cdr:x>0.95825</cdr:x>
      <cdr:y>0.4795</cdr:y>
    </cdr:to>
    <cdr:sp macro="" textlink="">
      <cdr:nvSpPr>
        <cdr:cNvPr id="5121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3868" y="2027354"/>
          <a:ext cx="1178867" cy="755344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UN  projections (central scenario)</a:t>
          </a:r>
        </a:p>
      </cdr:txBody>
    </cdr:sp>
  </cdr:relSizeAnchor>
  <cdr:relSizeAnchor xmlns:cdr="http://schemas.openxmlformats.org/drawingml/2006/chartDrawing">
    <cdr:from>
      <cdr:x>0.765</cdr:x>
      <cdr:y>0.431</cdr:y>
    </cdr:from>
    <cdr:to>
      <cdr:x>0.81925</cdr:x>
      <cdr:y>0.463</cdr:y>
    </cdr:to>
    <cdr:sp macro="" textlink="">
      <cdr:nvSpPr>
        <cdr:cNvPr id="1946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424206" y="2435012"/>
          <a:ext cx="466598" cy="1798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0.85575</cdr:x>
      <cdr:y>0.47875</cdr:y>
    </cdr:from>
    <cdr:to>
      <cdr:x>0.8635</cdr:x>
      <cdr:y>0.6005</cdr:y>
    </cdr:to>
    <cdr:sp macro="" textlink="">
      <cdr:nvSpPr>
        <cdr:cNvPr id="1946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11060" y="2697051"/>
          <a:ext cx="76352" cy="6746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0.702</cdr:x>
      <cdr:y>0.13675</cdr:y>
    </cdr:from>
    <cdr:to>
      <cdr:x>0.80375</cdr:x>
      <cdr:y>0.255</cdr:y>
    </cdr:to>
    <cdr:sp macro="" textlink="">
      <cdr:nvSpPr>
        <cdr:cNvPr id="19464" name="AutoShap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684" y="790299"/>
          <a:ext cx="899262" cy="659279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Observed growth rates</a:t>
          </a:r>
        </a:p>
      </cdr:txBody>
    </cdr:sp>
  </cdr:relSizeAnchor>
  <cdr:relSizeAnchor xmlns:cdr="http://schemas.openxmlformats.org/drawingml/2006/chartDrawing">
    <cdr:from>
      <cdr:x>0.688</cdr:x>
      <cdr:y>0.255</cdr:y>
    </cdr:from>
    <cdr:to>
      <cdr:x>0.708</cdr:x>
      <cdr:y>0.322</cdr:y>
    </cdr:to>
    <cdr:sp macro="" textlink="">
      <cdr:nvSpPr>
        <cdr:cNvPr id="1946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45518" y="1449578"/>
          <a:ext cx="167551" cy="3721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0.637</cdr:x>
      <cdr:y>0.185</cdr:y>
    </cdr:from>
    <cdr:to>
      <cdr:x>0.702</cdr:x>
      <cdr:y>0.208</cdr:y>
    </cdr:to>
    <cdr:sp macro="" textlink="">
      <cdr:nvSpPr>
        <cdr:cNvPr id="1946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302250" y="1060701"/>
          <a:ext cx="551434" cy="1296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0.815</cdr:x>
      <cdr:y>0.11075</cdr:y>
    </cdr:from>
    <cdr:to>
      <cdr:x>0.94525</cdr:x>
      <cdr:y>0.2495</cdr:y>
    </cdr:to>
    <cdr:sp macro="" textlink="">
      <cdr:nvSpPr>
        <cdr:cNvPr id="19461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0804" y="1920691"/>
          <a:ext cx="1160132" cy="780542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Projections (central scenario)</a:t>
          </a:r>
        </a:p>
      </cdr:txBody>
    </cdr:sp>
  </cdr:relSizeAnchor>
  <cdr:relSizeAnchor xmlns:cdr="http://schemas.openxmlformats.org/drawingml/2006/chartDrawing">
    <cdr:from>
      <cdr:x>0.74725</cdr:x>
      <cdr:y>0.2415</cdr:y>
    </cdr:from>
    <cdr:to>
      <cdr:x>0.815</cdr:x>
      <cdr:y>0.268</cdr:y>
    </cdr:to>
    <cdr:sp macro="" textlink="">
      <cdr:nvSpPr>
        <cdr:cNvPr id="1946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424206" y="2435012"/>
          <a:ext cx="466598" cy="1798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0.87725</cdr:x>
      <cdr:y>0.25025</cdr:y>
    </cdr:from>
    <cdr:to>
      <cdr:x>0.9035</cdr:x>
      <cdr:y>0.45175</cdr:y>
    </cdr:to>
    <cdr:sp macro="" textlink="">
      <cdr:nvSpPr>
        <cdr:cNvPr id="1946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11060" y="2697051"/>
          <a:ext cx="76352" cy="6746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0.39525</cdr:x>
      <cdr:y>0.21825</cdr:y>
    </cdr:from>
    <cdr:to>
      <cdr:x>0.498</cdr:x>
      <cdr:y>0.3375</cdr:y>
    </cdr:to>
    <cdr:sp macro="" textlink="">
      <cdr:nvSpPr>
        <cdr:cNvPr id="19464" name="AutoShap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684" y="790299"/>
          <a:ext cx="899262" cy="659279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Observed growth rates</a:t>
          </a:r>
        </a:p>
      </cdr:txBody>
    </cdr:sp>
  </cdr:relSizeAnchor>
  <cdr:relSizeAnchor xmlns:cdr="http://schemas.openxmlformats.org/drawingml/2006/chartDrawing">
    <cdr:from>
      <cdr:x>0.49775</cdr:x>
      <cdr:y>0.3005</cdr:y>
    </cdr:from>
    <cdr:to>
      <cdr:x>0.6355</cdr:x>
      <cdr:y>0.3765</cdr:y>
    </cdr:to>
    <cdr:sp macro="" textlink="">
      <cdr:nvSpPr>
        <cdr:cNvPr id="2150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32049" y="1813949"/>
          <a:ext cx="1168266" cy="4071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0.41825</cdr:x>
      <cdr:y>0.338</cdr:y>
    </cdr:from>
    <cdr:to>
      <cdr:x>0.4295</cdr:x>
      <cdr:y>0.61925</cdr:y>
    </cdr:to>
    <cdr:sp macro="" textlink="">
      <cdr:nvSpPr>
        <cdr:cNvPr id="1946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302250" y="1060701"/>
          <a:ext cx="551434" cy="1296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4963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0.816</cdr:x>
      <cdr:y>0.0955</cdr:y>
    </cdr:from>
    <cdr:to>
      <cdr:x>0.94675</cdr:x>
      <cdr:y>0.23775</cdr:y>
    </cdr:to>
    <cdr:sp macro="" textlink="">
      <cdr:nvSpPr>
        <cdr:cNvPr id="19461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0804" y="1920691"/>
          <a:ext cx="1160132" cy="780542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Projections (central scenario)</a:t>
          </a:r>
        </a:p>
      </cdr:txBody>
    </cdr:sp>
  </cdr:relSizeAnchor>
  <cdr:relSizeAnchor xmlns:cdr="http://schemas.openxmlformats.org/drawingml/2006/chartDrawing">
    <cdr:from>
      <cdr:x>0.74175</cdr:x>
      <cdr:y>0.22925</cdr:y>
    </cdr:from>
    <cdr:to>
      <cdr:x>0.816</cdr:x>
      <cdr:y>0.282</cdr:y>
    </cdr:to>
    <cdr:sp macro="" textlink="">
      <cdr:nvSpPr>
        <cdr:cNvPr id="1946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424206" y="2435012"/>
          <a:ext cx="466598" cy="1798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0.87875</cdr:x>
      <cdr:y>0.2385</cdr:y>
    </cdr:from>
    <cdr:to>
      <cdr:x>0.905</cdr:x>
      <cdr:y>0.4435</cdr:y>
    </cdr:to>
    <cdr:sp macro="" textlink="">
      <cdr:nvSpPr>
        <cdr:cNvPr id="1946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11060" y="2697051"/>
          <a:ext cx="76352" cy="6746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0.28925</cdr:x>
      <cdr:y>0.22825</cdr:y>
    </cdr:from>
    <cdr:to>
      <cdr:x>0.392</cdr:x>
      <cdr:y>0.35025</cdr:y>
    </cdr:to>
    <cdr:sp macro="" textlink="">
      <cdr:nvSpPr>
        <cdr:cNvPr id="19464" name="AutoShap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684" y="790299"/>
          <a:ext cx="899262" cy="659279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Observed growth rates</a:t>
          </a:r>
        </a:p>
      </cdr:txBody>
    </cdr:sp>
  </cdr:relSizeAnchor>
  <cdr:relSizeAnchor xmlns:cdr="http://schemas.openxmlformats.org/drawingml/2006/chartDrawing">
    <cdr:from>
      <cdr:x>0.38806</cdr:x>
      <cdr:y>0.2885</cdr:y>
    </cdr:from>
    <cdr:to>
      <cdr:x>0.53284</cdr:x>
      <cdr:y>0.29067</cdr:y>
    </cdr:to>
    <cdr:sp macro="" textlink="">
      <cdr:nvSpPr>
        <cdr:cNvPr id="1946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02001" y="1689097"/>
          <a:ext cx="1231899" cy="127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0.3025</cdr:x>
      <cdr:y>0.35</cdr:y>
    </cdr:from>
    <cdr:to>
      <cdr:x>0.31325</cdr:x>
      <cdr:y>0.637</cdr:y>
    </cdr:to>
    <cdr:sp macro="" textlink="">
      <cdr:nvSpPr>
        <cdr:cNvPr id="1946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302250" y="1060701"/>
          <a:ext cx="551434" cy="1296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6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2" sqref="A2"/>
    </sheetView>
  </sheetViews>
  <sheetFormatPr baseColWidth="10" defaultColWidth="11.5" defaultRowHeight="12" x14ac:dyDescent="0"/>
  <cols>
    <col min="1" max="4" width="28.33203125" style="1" customWidth="1"/>
    <col min="5" max="5" width="10.83203125" style="1" customWidth="1"/>
    <col min="6" max="16384" width="11.5" style="1"/>
  </cols>
  <sheetData>
    <row r="1" spans="1:7">
      <c r="C1" s="2"/>
      <c r="D1" s="3"/>
    </row>
    <row r="3" spans="1:7" ht="13" thickBot="1"/>
    <row r="4" spans="1:7" ht="57" customHeight="1" thickTop="1">
      <c r="A4" s="243" t="s">
        <v>69</v>
      </c>
      <c r="B4" s="244"/>
      <c r="C4" s="245"/>
      <c r="D4" s="246"/>
      <c r="E4" s="4"/>
    </row>
    <row r="5" spans="1:7" ht="28" customHeight="1" thickBot="1">
      <c r="A5" s="5"/>
      <c r="B5" s="6"/>
      <c r="C5" s="6"/>
      <c r="D5" s="7"/>
      <c r="E5" s="4"/>
    </row>
    <row r="6" spans="1:7" ht="85" customHeight="1" thickTop="1" thickBot="1">
      <c r="A6" s="8" t="s">
        <v>70</v>
      </c>
      <c r="B6" s="9" t="s">
        <v>71</v>
      </c>
      <c r="C6" s="8" t="s">
        <v>72</v>
      </c>
      <c r="D6" s="8" t="s">
        <v>73</v>
      </c>
      <c r="E6" s="10"/>
    </row>
    <row r="7" spans="1:7" ht="28" customHeight="1" thickTop="1" thickBot="1">
      <c r="A7" s="11" t="s">
        <v>0</v>
      </c>
      <c r="B7" s="12">
        <f>(1+C7)*(1+D7)-1</f>
        <v>7.3521676843024686E-4</v>
      </c>
      <c r="C7" s="13">
        <f>(TS2.2!Z$11/TS2.2!Z$8)^(1/1700)-1</f>
        <v>5.7839735353626409E-4</v>
      </c>
      <c r="D7" s="13">
        <f>(CTS1.3!J$11/CTS1.3!J$8)^(1/1700)-1</f>
        <v>1.5672876339212216E-4</v>
      </c>
      <c r="E7" s="10"/>
    </row>
    <row r="8" spans="1:7" ht="28" customHeight="1" thickTop="1" thickBot="1">
      <c r="A8" s="14" t="s">
        <v>1</v>
      </c>
      <c r="B8" s="15">
        <f>(1+C8)*(1+D8)-1</f>
        <v>1.6049615002482698E-2</v>
      </c>
      <c r="C8" s="16">
        <f>(TS2.2!Z$17/TS2.2!Z$11)^(1/312)-1</f>
        <v>7.9104707319013201E-3</v>
      </c>
      <c r="D8" s="16">
        <f>(CTS1.3!J$18/CTS1.3!J$11)^(1/312)-1</f>
        <v>8.075265122180042E-3</v>
      </c>
      <c r="E8" s="10"/>
    </row>
    <row r="9" spans="1:7" ht="28" customHeight="1" thickTop="1">
      <c r="A9" s="17" t="s">
        <v>74</v>
      </c>
      <c r="B9" s="18">
        <f>(1+C9)*(1+D9)-1</f>
        <v>5.1654477174343238E-3</v>
      </c>
      <c r="C9" s="19">
        <f>(TS2.2!Z$12/TS2.2!Z$11)^(1/120)-1.0001</f>
        <v>4.4594248070473075E-3</v>
      </c>
      <c r="D9" s="19">
        <f>(CTS1.3!J$12/CTS1.3!J$11)^(1/120)-1</f>
        <v>7.0288843227550579E-4</v>
      </c>
      <c r="E9" s="10"/>
    </row>
    <row r="10" spans="1:7" ht="28" customHeight="1">
      <c r="A10" s="17" t="s">
        <v>2</v>
      </c>
      <c r="B10" s="18">
        <f>(1+C10)*(1+D10)-1</f>
        <v>1.4892957051287459E-2</v>
      </c>
      <c r="C10" s="19">
        <f>(TS2.2!Z$13/TS2.2!Z$12)^(1/93)-1</f>
        <v>5.8556427303122494E-3</v>
      </c>
      <c r="D10" s="19">
        <f>(CTS1.3!J$14/CTS1.3!J$12)^(1/93)-1</f>
        <v>8.984703109527814E-3</v>
      </c>
      <c r="E10" s="10"/>
    </row>
    <row r="11" spans="1:7" ht="28" customHeight="1" thickBot="1">
      <c r="A11" s="44" t="s">
        <v>3</v>
      </c>
      <c r="B11" s="176">
        <f>(1+C11)*(1+D11)-1</f>
        <v>3.037838370699153E-2</v>
      </c>
      <c r="C11" s="46">
        <f>(TS2.2!Z$17/TS2.2!Z$13)^(1/99)-1</f>
        <v>1.3929274847269468E-2</v>
      </c>
      <c r="D11" s="46">
        <f>(CTS1.3!J$18/CTS1.3!J$14)^(1/99)-1</f>
        <v>1.6223132389781236E-2</v>
      </c>
      <c r="E11" s="10"/>
    </row>
    <row r="12" spans="1:7" ht="28" customHeight="1" thickTop="1" thickBot="1"/>
    <row r="13" spans="1:7" ht="22.75" customHeight="1" thickTop="1">
      <c r="A13" s="247" t="s">
        <v>148</v>
      </c>
      <c r="B13" s="248"/>
      <c r="C13" s="248"/>
      <c r="D13" s="249"/>
    </row>
    <row r="14" spans="1:7" ht="22.75" customHeight="1" thickBot="1">
      <c r="A14" s="250"/>
      <c r="B14" s="251"/>
      <c r="C14" s="251"/>
      <c r="D14" s="252"/>
      <c r="G14" s="228"/>
    </row>
    <row r="15" spans="1:7" ht="22.75" customHeight="1" thickTop="1" thickBot="1">
      <c r="A15" s="253" t="s">
        <v>75</v>
      </c>
      <c r="B15" s="254"/>
      <c r="C15" s="254"/>
      <c r="D15" s="255"/>
    </row>
    <row r="16" spans="1:7" ht="13" thickTop="1"/>
  </sheetData>
  <mergeCells count="3">
    <mergeCell ref="A4:D4"/>
    <mergeCell ref="A13:D14"/>
    <mergeCell ref="A15:D15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H8" sqref="H8"/>
    </sheetView>
  </sheetViews>
  <sheetFormatPr baseColWidth="10" defaultRowHeight="12" x14ac:dyDescent="0"/>
  <cols>
    <col min="1" max="5" width="15.83203125" customWidth="1"/>
  </cols>
  <sheetData>
    <row r="2" spans="1:5" ht="13" thickBot="1"/>
    <row r="3" spans="1:5" ht="13" thickTop="1">
      <c r="A3" s="311" t="s">
        <v>120</v>
      </c>
      <c r="B3" s="312"/>
      <c r="C3" s="312"/>
      <c r="D3" s="312"/>
      <c r="E3" s="313"/>
    </row>
    <row r="4" spans="1:5">
      <c r="A4" s="314"/>
      <c r="B4" s="315"/>
      <c r="C4" s="315"/>
      <c r="D4" s="315"/>
      <c r="E4" s="316"/>
    </row>
    <row r="5" spans="1:5" ht="13" thickBot="1">
      <c r="A5" s="317"/>
      <c r="B5" s="318"/>
      <c r="C5" s="318"/>
      <c r="D5" s="318"/>
      <c r="E5" s="319"/>
    </row>
    <row r="6" spans="1:5" ht="14" thickTop="1" thickBot="1"/>
    <row r="7" spans="1:5" ht="30" customHeight="1" thickTop="1" thickBot="1">
      <c r="A7" s="182"/>
      <c r="B7" s="182" t="s">
        <v>10</v>
      </c>
      <c r="C7" s="229" t="s">
        <v>98</v>
      </c>
      <c r="D7" s="229" t="s">
        <v>93</v>
      </c>
      <c r="E7" s="226" t="s">
        <v>99</v>
      </c>
    </row>
    <row r="8" spans="1:5" ht="19.75" customHeight="1" thickTop="1">
      <c r="A8" s="183" t="s">
        <v>49</v>
      </c>
      <c r="B8" s="184">
        <v>7.0607772185802276E-3</v>
      </c>
      <c r="C8" s="185">
        <v>4.0000000000000001E-3</v>
      </c>
      <c r="D8" s="184">
        <v>3.0000000000000001E-3</v>
      </c>
      <c r="E8" s="186">
        <v>5.3859828204412263E-3</v>
      </c>
    </row>
    <row r="9" spans="1:5" ht="19.75" customHeight="1">
      <c r="A9" s="181" t="s">
        <v>21</v>
      </c>
      <c r="B9" s="187">
        <v>1.8897544117235654E-3</v>
      </c>
      <c r="C9" s="187">
        <v>2E-3</v>
      </c>
      <c r="D9" s="187">
        <v>1.1582402452544236E-3</v>
      </c>
      <c r="E9" s="188">
        <v>-4.7348462240828226E-3</v>
      </c>
    </row>
    <row r="10" spans="1:5" ht="19.75" customHeight="1">
      <c r="A10" s="181" t="s">
        <v>22</v>
      </c>
      <c r="B10" s="187">
        <v>3.9835256055489321E-3</v>
      </c>
      <c r="C10" s="187">
        <v>5.8343466044366021E-3</v>
      </c>
      <c r="D10" s="187">
        <v>-6.7224704315196337E-3</v>
      </c>
      <c r="E10" s="188">
        <v>2.0944792850108307E-4</v>
      </c>
    </row>
    <row r="11" spans="1:5" ht="19.75" customHeight="1">
      <c r="A11" s="181" t="s">
        <v>50</v>
      </c>
      <c r="B11" s="187">
        <v>0.13138656628443179</v>
      </c>
      <c r="C11" s="187">
        <v>0.16836722605383211</v>
      </c>
      <c r="D11" s="187">
        <v>2.4691330803620071E-2</v>
      </c>
      <c r="E11" s="188">
        <v>3.114357194390327E-2</v>
      </c>
    </row>
    <row r="12" spans="1:5" ht="19.75" customHeight="1">
      <c r="A12" s="181" t="s">
        <v>51</v>
      </c>
      <c r="B12" s="187">
        <v>5.5560430740315692E-2</v>
      </c>
      <c r="C12" s="187">
        <v>3.3573107954541159E-2</v>
      </c>
      <c r="D12" s="187">
        <v>2.5683741776528546E-2</v>
      </c>
      <c r="E12" s="188">
        <v>4.1379743992410623E-2</v>
      </c>
    </row>
    <row r="13" spans="1:5" ht="19.75" customHeight="1">
      <c r="A13" s="181" t="s">
        <v>15</v>
      </c>
      <c r="B13" s="187">
        <v>7.9146854371551445E-2</v>
      </c>
      <c r="C13" s="187">
        <v>3.9355757458418461E-2</v>
      </c>
      <c r="D13" s="187">
        <v>5.5920580306373369E-2</v>
      </c>
      <c r="E13" s="188">
        <v>0.1016587900716619</v>
      </c>
    </row>
    <row r="14" spans="1:5" ht="19.75" customHeight="1" thickBot="1">
      <c r="A14" s="189" t="s">
        <v>16</v>
      </c>
      <c r="B14" s="190">
        <v>1.6085123282815195E-2</v>
      </c>
      <c r="C14" s="190">
        <v>1.3811709568059216E-2</v>
      </c>
      <c r="D14" s="190">
        <v>2.168986433527631E-2</v>
      </c>
      <c r="E14" s="191">
        <v>2.6116296562850971E-2</v>
      </c>
    </row>
    <row r="15" spans="1:5" ht="13" thickTop="1"/>
    <row r="16" spans="1:5">
      <c r="A16" s="236" t="s">
        <v>147</v>
      </c>
    </row>
  </sheetData>
  <mergeCells count="1">
    <mergeCell ref="A3:E5"/>
  </mergeCells>
  <phoneticPr fontId="24" type="noConversion"/>
  <printOptions horizontalCentered="1" verticalCentered="1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28"/>
  <sheetViews>
    <sheetView workbookViewId="0">
      <pane xSplit="1" ySplit="7" topLeftCell="B8" activePane="bottomRight" state="frozen"/>
      <selection activeCell="Q55" sqref="Q55"/>
      <selection pane="topRight" activeCell="Q55" sqref="Q55"/>
      <selection pane="bottomLeft" activeCell="Q55" sqref="Q55"/>
      <selection pane="bottomRight" activeCell="A22" sqref="A22"/>
    </sheetView>
  </sheetViews>
  <sheetFormatPr baseColWidth="10" defaultColWidth="11.5" defaultRowHeight="12" x14ac:dyDescent="0"/>
  <cols>
    <col min="1" max="1" width="8.6640625" style="1" customWidth="1"/>
    <col min="2" max="2" width="11.83203125" style="1" customWidth="1"/>
    <col min="3" max="6" width="9.83203125" style="1" customWidth="1"/>
    <col min="7" max="7" width="10.83203125" style="1" customWidth="1"/>
    <col min="8" max="8" width="15.83203125" style="1" customWidth="1"/>
    <col min="9" max="13" width="11.5" style="1"/>
    <col min="14" max="14" width="15.83203125" style="1" customWidth="1"/>
    <col min="15" max="16384" width="11.5" style="1"/>
  </cols>
  <sheetData>
    <row r="1" spans="1:28">
      <c r="B1" s="2"/>
      <c r="C1" s="3"/>
      <c r="D1" s="3"/>
      <c r="E1" s="3"/>
      <c r="F1" s="3"/>
    </row>
    <row r="3" spans="1:28" ht="13" thickBot="1"/>
    <row r="4" spans="1:28" ht="34.75" customHeight="1" thickTop="1">
      <c r="A4" s="285" t="s">
        <v>134</v>
      </c>
      <c r="B4" s="320"/>
      <c r="C4" s="320"/>
      <c r="D4" s="320"/>
      <c r="E4" s="320"/>
      <c r="F4" s="321"/>
      <c r="G4" s="4"/>
    </row>
    <row r="5" spans="1:28">
      <c r="A5" s="36"/>
      <c r="B5" s="4"/>
      <c r="C5" s="4"/>
      <c r="D5" s="4"/>
      <c r="E5" s="4"/>
      <c r="F5" s="37"/>
      <c r="G5" s="4"/>
    </row>
    <row r="6" spans="1:28" ht="13" thickBot="1">
      <c r="A6" s="36"/>
      <c r="B6" s="60"/>
      <c r="C6" s="61"/>
      <c r="D6" s="61"/>
      <c r="E6" s="61"/>
      <c r="F6" s="62"/>
      <c r="G6" s="4"/>
    </row>
    <row r="7" spans="1:28" ht="60" customHeight="1" thickTop="1" thickBot="1">
      <c r="A7" s="63"/>
      <c r="B7" s="180" t="s">
        <v>72</v>
      </c>
      <c r="C7" s="237" t="s">
        <v>6</v>
      </c>
      <c r="D7" s="238" t="s">
        <v>83</v>
      </c>
      <c r="E7" s="238" t="s">
        <v>102</v>
      </c>
      <c r="F7" s="239" t="s">
        <v>103</v>
      </c>
      <c r="G7" s="10"/>
      <c r="H7" s="180" t="s">
        <v>116</v>
      </c>
      <c r="I7" s="237" t="s">
        <v>6</v>
      </c>
      <c r="J7" s="238" t="s">
        <v>83</v>
      </c>
      <c r="K7" s="238" t="s">
        <v>102</v>
      </c>
      <c r="L7" s="239" t="s">
        <v>103</v>
      </c>
      <c r="M7" s="50"/>
      <c r="N7" s="64" t="s">
        <v>116</v>
      </c>
      <c r="O7" s="232" t="s">
        <v>67</v>
      </c>
      <c r="P7" s="230" t="s">
        <v>104</v>
      </c>
      <c r="Q7" s="231" t="s">
        <v>128</v>
      </c>
      <c r="R7" s="233" t="s">
        <v>68</v>
      </c>
      <c r="S7" s="231" t="s">
        <v>106</v>
      </c>
      <c r="T7" s="232" t="s">
        <v>107</v>
      </c>
      <c r="U7" s="231" t="s">
        <v>108</v>
      </c>
      <c r="V7" s="233" t="s">
        <v>129</v>
      </c>
      <c r="W7" s="234" t="s">
        <v>130</v>
      </c>
      <c r="X7" s="234" t="s">
        <v>131</v>
      </c>
      <c r="Y7" s="234" t="s">
        <v>132</v>
      </c>
      <c r="Z7" s="234" t="s">
        <v>133</v>
      </c>
      <c r="AA7" s="234" t="s">
        <v>114</v>
      </c>
      <c r="AB7" s="231" t="s">
        <v>115</v>
      </c>
    </row>
    <row r="8" spans="1:28" ht="13" thickTop="1">
      <c r="A8" s="68">
        <v>0</v>
      </c>
      <c r="B8" s="135">
        <f t="shared" ref="B8:B18" si="0">H8/$H8</f>
        <v>1</v>
      </c>
      <c r="C8" s="136">
        <f t="shared" ref="C8:C18" si="1">I8/$H8</f>
        <v>0.14680879691681836</v>
      </c>
      <c r="D8" s="137">
        <f t="shared" ref="D8:D18" si="2">J8/$H8</f>
        <v>2.8164024444247624E-2</v>
      </c>
      <c r="E8" s="137">
        <f t="shared" ref="E8:E18" si="3">K8/$H8</f>
        <v>7.5281197413869447E-2</v>
      </c>
      <c r="F8" s="138">
        <f t="shared" ref="F8:F18" si="4">L8/$H8</f>
        <v>0.74974598122506453</v>
      </c>
      <c r="G8" s="10"/>
      <c r="H8" s="75">
        <f t="shared" ref="H8:H18" si="5">N8</f>
        <v>225.82000000000002</v>
      </c>
      <c r="I8" s="76">
        <f t="shared" ref="I8:I18" si="6">O8+P8+Q8</f>
        <v>33.152362519755926</v>
      </c>
      <c r="J8" s="76">
        <f t="shared" ref="J8:J18" si="7">R8+S8</f>
        <v>6.3599999999999994</v>
      </c>
      <c r="K8" s="76">
        <f t="shared" ref="K8:K18" si="8">T8+U8</f>
        <v>17</v>
      </c>
      <c r="L8" s="77">
        <f t="shared" ref="L8:L18" si="9">V8+W8+X8+Y8+Z8+AA8+AB8</f>
        <v>169.3076374802441</v>
      </c>
      <c r="M8" s="50"/>
      <c r="N8" s="78">
        <f t="shared" ref="N8:N18" si="10">SUM(O8:AB8)</f>
        <v>225.82000000000002</v>
      </c>
      <c r="O8" s="79">
        <v>25.05</v>
      </c>
      <c r="P8" s="80">
        <v>4.75</v>
      </c>
      <c r="Q8" s="81">
        <v>3.3523625197559221</v>
      </c>
      <c r="R8" s="80">
        <v>0.76</v>
      </c>
      <c r="S8" s="80">
        <v>5.6</v>
      </c>
      <c r="T8" s="79">
        <v>8.6999999999999993</v>
      </c>
      <c r="U8" s="81">
        <v>8.3000000000000007</v>
      </c>
      <c r="V8" s="80">
        <v>59.6</v>
      </c>
      <c r="W8" s="80">
        <v>75</v>
      </c>
      <c r="X8" s="80">
        <v>3</v>
      </c>
      <c r="Y8" s="80">
        <v>0.36</v>
      </c>
      <c r="Z8" s="80">
        <v>19.399999999999999</v>
      </c>
      <c r="AA8" s="80">
        <v>0.54763748024407766</v>
      </c>
      <c r="AB8" s="81">
        <v>11.4</v>
      </c>
    </row>
    <row r="9" spans="1:28">
      <c r="A9" s="68">
        <v>1000</v>
      </c>
      <c r="B9" s="140">
        <f t="shared" si="0"/>
        <v>1</v>
      </c>
      <c r="C9" s="139">
        <f t="shared" si="1"/>
        <v>0.14275621496361174</v>
      </c>
      <c r="D9" s="137">
        <f t="shared" si="2"/>
        <v>4.8105337971795163E-2</v>
      </c>
      <c r="E9" s="137">
        <f t="shared" si="3"/>
        <v>0.12082444918265814</v>
      </c>
      <c r="F9" s="138">
        <f t="shared" si="4"/>
        <v>0.68831399788193504</v>
      </c>
      <c r="G9" s="10"/>
      <c r="H9" s="75">
        <f t="shared" si="5"/>
        <v>267.33</v>
      </c>
      <c r="I9" s="76">
        <f t="shared" si="6"/>
        <v>38.163018946222323</v>
      </c>
      <c r="J9" s="76">
        <f t="shared" si="7"/>
        <v>12.86</v>
      </c>
      <c r="K9" s="76">
        <f t="shared" si="8"/>
        <v>32.299999999999997</v>
      </c>
      <c r="L9" s="77">
        <f t="shared" si="9"/>
        <v>184.00698105377768</v>
      </c>
      <c r="M9" s="50"/>
      <c r="N9" s="75">
        <f t="shared" si="10"/>
        <v>267.33</v>
      </c>
      <c r="O9" s="88">
        <v>25.56</v>
      </c>
      <c r="P9" s="76">
        <v>6.5</v>
      </c>
      <c r="Q9" s="77">
        <v>6.1030189462223197</v>
      </c>
      <c r="R9" s="76">
        <v>1.46</v>
      </c>
      <c r="S9" s="76">
        <v>11.4</v>
      </c>
      <c r="T9" s="88">
        <v>10.5</v>
      </c>
      <c r="U9" s="148">
        <v>21.8</v>
      </c>
      <c r="V9" s="76">
        <v>59</v>
      </c>
      <c r="W9" s="76">
        <v>75</v>
      </c>
      <c r="X9" s="76">
        <v>7.5</v>
      </c>
      <c r="Y9" s="76">
        <v>0.41</v>
      </c>
      <c r="Z9" s="76">
        <v>20</v>
      </c>
      <c r="AA9" s="76">
        <v>0.99698105377767987</v>
      </c>
      <c r="AB9" s="77">
        <v>21.1</v>
      </c>
    </row>
    <row r="10" spans="1:28">
      <c r="A10" s="68">
        <v>1500</v>
      </c>
      <c r="B10" s="140">
        <f t="shared" si="0"/>
        <v>1</v>
      </c>
      <c r="C10" s="139">
        <f t="shared" si="1"/>
        <v>0.19464514871071006</v>
      </c>
      <c r="D10" s="137">
        <f t="shared" si="2"/>
        <v>4.5047305372832025E-2</v>
      </c>
      <c r="E10" s="137">
        <f t="shared" si="3"/>
        <v>0.10631164067988357</v>
      </c>
      <c r="F10" s="138">
        <f t="shared" si="4"/>
        <v>0.65399590523657436</v>
      </c>
      <c r="G10" s="10"/>
      <c r="H10" s="75">
        <f t="shared" si="5"/>
        <v>438.42800000000005</v>
      </c>
      <c r="I10" s="76">
        <f t="shared" si="6"/>
        <v>85.3378832589392</v>
      </c>
      <c r="J10" s="76">
        <f t="shared" si="7"/>
        <v>19.75</v>
      </c>
      <c r="K10" s="76">
        <f t="shared" si="8"/>
        <v>46.61</v>
      </c>
      <c r="L10" s="77">
        <f t="shared" si="9"/>
        <v>286.73011674106084</v>
      </c>
      <c r="M10" s="50"/>
      <c r="N10" s="75">
        <f t="shared" si="10"/>
        <v>438.42800000000005</v>
      </c>
      <c r="O10" s="88">
        <v>57.268000000000001</v>
      </c>
      <c r="P10" s="76">
        <v>13.5</v>
      </c>
      <c r="Q10" s="77">
        <v>14.5698832589392</v>
      </c>
      <c r="R10" s="76">
        <v>2.25</v>
      </c>
      <c r="S10" s="76">
        <v>17.5</v>
      </c>
      <c r="T10" s="88">
        <v>8.3000000000000007</v>
      </c>
      <c r="U10" s="148">
        <v>38.31</v>
      </c>
      <c r="V10" s="76">
        <v>103</v>
      </c>
      <c r="W10" s="76">
        <v>110</v>
      </c>
      <c r="X10" s="76">
        <v>15.4</v>
      </c>
      <c r="Y10" s="76">
        <v>0.55000000000000004</v>
      </c>
      <c r="Z10" s="76">
        <v>17.8</v>
      </c>
      <c r="AA10" s="76">
        <v>2.3801167410607991</v>
      </c>
      <c r="AB10" s="77">
        <v>37.6</v>
      </c>
    </row>
    <row r="11" spans="1:28">
      <c r="A11" s="68">
        <v>1700</v>
      </c>
      <c r="B11" s="140">
        <f t="shared" si="0"/>
        <v>1</v>
      </c>
      <c r="C11" s="139">
        <f t="shared" si="1"/>
        <v>0.20395011108442296</v>
      </c>
      <c r="D11" s="137">
        <f t="shared" si="2"/>
        <v>2.1955624782515042E-2</v>
      </c>
      <c r="E11" s="137">
        <f t="shared" si="3"/>
        <v>0.10121128767668065</v>
      </c>
      <c r="F11" s="138">
        <f t="shared" si="4"/>
        <v>0.67288297645638151</v>
      </c>
      <c r="G11" s="10"/>
      <c r="H11" s="75">
        <f t="shared" si="5"/>
        <v>603.4899999999999</v>
      </c>
      <c r="I11" s="76">
        <f t="shared" si="6"/>
        <v>123.08185253833838</v>
      </c>
      <c r="J11" s="76">
        <f t="shared" si="7"/>
        <v>13.25</v>
      </c>
      <c r="K11" s="76">
        <f t="shared" si="8"/>
        <v>61.08</v>
      </c>
      <c r="L11" s="77">
        <f t="shared" si="9"/>
        <v>406.07814746166162</v>
      </c>
      <c r="M11" s="50"/>
      <c r="N11" s="75">
        <f t="shared" si="10"/>
        <v>603.4899999999999</v>
      </c>
      <c r="O11" s="88">
        <v>81.459999999999994</v>
      </c>
      <c r="P11" s="76">
        <v>18.8</v>
      </c>
      <c r="Q11" s="77">
        <v>22.821852538338394</v>
      </c>
      <c r="R11" s="76">
        <v>1.2</v>
      </c>
      <c r="S11" s="76">
        <v>12.05</v>
      </c>
      <c r="T11" s="88">
        <v>9.3000000000000007</v>
      </c>
      <c r="U11" s="148">
        <v>51.78</v>
      </c>
      <c r="V11" s="76">
        <v>138</v>
      </c>
      <c r="W11" s="76">
        <v>165</v>
      </c>
      <c r="X11" s="76">
        <v>27</v>
      </c>
      <c r="Y11" s="76">
        <v>0.55000000000000004</v>
      </c>
      <c r="Z11" s="76">
        <v>20.8</v>
      </c>
      <c r="AA11" s="76">
        <v>3.7281474616616062</v>
      </c>
      <c r="AB11" s="77">
        <v>51</v>
      </c>
    </row>
    <row r="12" spans="1:28">
      <c r="A12" s="68">
        <v>1820</v>
      </c>
      <c r="B12" s="140">
        <f t="shared" si="0"/>
        <v>1</v>
      </c>
      <c r="C12" s="139">
        <f t="shared" si="1"/>
        <v>0.20788926660678309</v>
      </c>
      <c r="D12" s="137">
        <f t="shared" si="2"/>
        <v>3.1091206094466355E-2</v>
      </c>
      <c r="E12" s="137">
        <f t="shared" si="3"/>
        <v>7.1263734275553631E-2</v>
      </c>
      <c r="F12" s="138">
        <f t="shared" si="4"/>
        <v>0.68975579302319678</v>
      </c>
      <c r="G12" s="10"/>
      <c r="H12" s="75">
        <f t="shared" si="5"/>
        <v>1041.7079704657854</v>
      </c>
      <c r="I12" s="76">
        <f t="shared" si="6"/>
        <v>216.55990599857256</v>
      </c>
      <c r="J12" s="76">
        <f t="shared" si="7"/>
        <v>32.387957200000002</v>
      </c>
      <c r="K12" s="76">
        <f t="shared" si="8"/>
        <v>74.236000000000004</v>
      </c>
      <c r="L12" s="77">
        <f t="shared" si="9"/>
        <v>718.52410726721268</v>
      </c>
      <c r="M12" s="50"/>
      <c r="N12" s="75">
        <f t="shared" si="10"/>
        <v>1041.7079704657854</v>
      </c>
      <c r="O12" s="88">
        <v>133.02799999999999</v>
      </c>
      <c r="P12" s="76">
        <v>36.457000000000001</v>
      </c>
      <c r="Q12" s="77">
        <v>47.074905998572589</v>
      </c>
      <c r="R12" s="76">
        <v>10.796510200000002</v>
      </c>
      <c r="S12" s="76">
        <v>21.591446999999999</v>
      </c>
      <c r="T12" s="88">
        <v>10.984999999999999</v>
      </c>
      <c r="U12" s="148">
        <v>63.251000000000005</v>
      </c>
      <c r="V12" s="76">
        <v>381</v>
      </c>
      <c r="W12" s="76">
        <v>209.00001326578524</v>
      </c>
      <c r="X12" s="76">
        <v>31</v>
      </c>
      <c r="Y12" s="76">
        <v>0.434</v>
      </c>
      <c r="Z12" s="76">
        <v>25.146999999999998</v>
      </c>
      <c r="AA12" s="76">
        <v>7.690094001427414</v>
      </c>
      <c r="AB12" s="77">
        <v>64.2530000000001</v>
      </c>
    </row>
    <row r="13" spans="1:28">
      <c r="A13" s="68">
        <v>1870</v>
      </c>
      <c r="B13" s="140">
        <f t="shared" si="0"/>
        <v>1</v>
      </c>
      <c r="C13" s="139">
        <f t="shared" si="1"/>
        <v>0.24870166519528852</v>
      </c>
      <c r="D13" s="137">
        <f t="shared" si="2"/>
        <v>6.6175492988041512E-2</v>
      </c>
      <c r="E13" s="137">
        <f t="shared" si="3"/>
        <v>7.0913009315389519E-2</v>
      </c>
      <c r="F13" s="138">
        <f t="shared" si="4"/>
        <v>0.61420983250128047</v>
      </c>
      <c r="G13" s="10"/>
      <c r="H13" s="75">
        <f t="shared" si="5"/>
        <v>1275.7320676894062</v>
      </c>
      <c r="I13" s="76">
        <f t="shared" si="6"/>
        <v>317.27668957738388</v>
      </c>
      <c r="J13" s="76">
        <f t="shared" si="7"/>
        <v>84.422198500000007</v>
      </c>
      <c r="K13" s="76">
        <f t="shared" si="8"/>
        <v>90.465999999999994</v>
      </c>
      <c r="L13" s="77">
        <f t="shared" si="9"/>
        <v>783.56717961202241</v>
      </c>
      <c r="M13" s="50"/>
      <c r="N13" s="75">
        <f t="shared" si="10"/>
        <v>1275.7320676894062</v>
      </c>
      <c r="O13" s="88">
        <v>187.499</v>
      </c>
      <c r="P13" s="76">
        <v>53.557000000000002</v>
      </c>
      <c r="Q13" s="77">
        <v>76.22068957738388</v>
      </c>
      <c r="R13" s="76">
        <v>44.021629500000003</v>
      </c>
      <c r="S13" s="76">
        <v>40.400569000000004</v>
      </c>
      <c r="T13" s="88">
        <v>15.776999999999999</v>
      </c>
      <c r="U13" s="148">
        <v>74.688999999999993</v>
      </c>
      <c r="V13" s="76">
        <v>358</v>
      </c>
      <c r="W13" s="76">
        <v>253.00001676234464</v>
      </c>
      <c r="X13" s="76">
        <v>34.436999999999998</v>
      </c>
      <c r="Y13" s="76">
        <v>2.0659999999999998</v>
      </c>
      <c r="Z13" s="76">
        <v>30.286000000000001</v>
      </c>
      <c r="AA13" s="76">
        <v>12.451310422616118</v>
      </c>
      <c r="AB13" s="77">
        <v>93.326852427061553</v>
      </c>
    </row>
    <row r="14" spans="1:28">
      <c r="A14" s="92">
        <v>1913</v>
      </c>
      <c r="B14" s="140">
        <f t="shared" si="0"/>
        <v>1</v>
      </c>
      <c r="C14" s="139">
        <f t="shared" si="1"/>
        <v>0.26479892849296277</v>
      </c>
      <c r="D14" s="137">
        <f t="shared" si="2"/>
        <v>0.10390209901553032</v>
      </c>
      <c r="E14" s="137">
        <f t="shared" si="3"/>
        <v>6.9549490730833538E-2</v>
      </c>
      <c r="F14" s="138">
        <f t="shared" si="4"/>
        <v>0.56174948176067341</v>
      </c>
      <c r="G14" s="10"/>
      <c r="H14" s="75">
        <f t="shared" si="5"/>
        <v>1792.9247028219831</v>
      </c>
      <c r="I14" s="76">
        <f t="shared" si="6"/>
        <v>474.76454017582489</v>
      </c>
      <c r="J14" s="76">
        <f t="shared" si="7"/>
        <v>186.28863999999999</v>
      </c>
      <c r="K14" s="76">
        <f t="shared" si="8"/>
        <v>124.697</v>
      </c>
      <c r="L14" s="77">
        <f t="shared" si="9"/>
        <v>1007.1745226461584</v>
      </c>
      <c r="M14" s="50"/>
      <c r="N14" s="75">
        <f t="shared" si="10"/>
        <v>1792.9247028219831</v>
      </c>
      <c r="O14" s="88">
        <v>260.97500000000002</v>
      </c>
      <c r="P14" s="76">
        <v>79.53</v>
      </c>
      <c r="Q14" s="77">
        <v>134.2595401758249</v>
      </c>
      <c r="R14" s="76">
        <v>105.458</v>
      </c>
      <c r="S14" s="76">
        <v>80.830640000000002</v>
      </c>
      <c r="T14" s="88">
        <v>24.622</v>
      </c>
      <c r="U14" s="148">
        <v>100.075</v>
      </c>
      <c r="V14" s="76">
        <v>437.14</v>
      </c>
      <c r="W14" s="76">
        <v>303.7</v>
      </c>
      <c r="X14" s="76">
        <v>51.671999999999997</v>
      </c>
      <c r="Y14" s="76">
        <v>5.9429999999999996</v>
      </c>
      <c r="Z14" s="76">
        <v>38.956000000000003</v>
      </c>
      <c r="AA14" s="76">
        <v>21.932459824175123</v>
      </c>
      <c r="AB14" s="77">
        <v>147.83106282198332</v>
      </c>
    </row>
    <row r="15" spans="1:28">
      <c r="A15" s="92">
        <v>1950</v>
      </c>
      <c r="B15" s="140">
        <f t="shared" si="0"/>
        <v>1</v>
      </c>
      <c r="C15" s="139">
        <f t="shared" si="1"/>
        <v>0.21662583180107628</v>
      </c>
      <c r="D15" s="137">
        <f t="shared" si="2"/>
        <v>0.13124020071076498</v>
      </c>
      <c r="E15" s="137">
        <f t="shared" si="3"/>
        <v>9.016719231057424E-2</v>
      </c>
      <c r="F15" s="138">
        <f t="shared" si="4"/>
        <v>0.56196677517758431</v>
      </c>
      <c r="G15" s="10"/>
      <c r="H15" s="75">
        <f t="shared" si="5"/>
        <v>2527.9598949347428</v>
      </c>
      <c r="I15" s="76">
        <f t="shared" si="6"/>
        <v>547.62141500000007</v>
      </c>
      <c r="J15" s="76">
        <f t="shared" si="7"/>
        <v>331.76996399999996</v>
      </c>
      <c r="K15" s="76">
        <f t="shared" si="8"/>
        <v>227.93904599999999</v>
      </c>
      <c r="L15" s="77">
        <f t="shared" si="9"/>
        <v>1420.6294699347422</v>
      </c>
      <c r="M15" s="50"/>
      <c r="N15" s="75">
        <f t="shared" si="10"/>
        <v>2527.9598949347428</v>
      </c>
      <c r="O15" s="88">
        <v>305.62913600000002</v>
      </c>
      <c r="P15" s="76">
        <v>87.636755000000008</v>
      </c>
      <c r="Q15" s="77">
        <v>154.355524</v>
      </c>
      <c r="R15" s="76">
        <v>166.282422</v>
      </c>
      <c r="S15" s="76">
        <v>165.48754199999999</v>
      </c>
      <c r="T15" s="88">
        <v>43.912307999999996</v>
      </c>
      <c r="U15" s="148">
        <v>184.02673799999999</v>
      </c>
      <c r="V15" s="76">
        <v>546.81500000000005</v>
      </c>
      <c r="W15" s="76">
        <v>359</v>
      </c>
      <c r="X15" s="76">
        <v>83.805000000000007</v>
      </c>
      <c r="Y15" s="76">
        <v>10.175647</v>
      </c>
      <c r="Z15" s="76">
        <v>59.835209999999989</v>
      </c>
      <c r="AA15" s="76">
        <v>25.215312999999998</v>
      </c>
      <c r="AB15" s="77">
        <v>335.78329993474222</v>
      </c>
    </row>
    <row r="16" spans="1:28">
      <c r="A16" s="92">
        <v>1970</v>
      </c>
      <c r="B16" s="140">
        <f t="shared" si="0"/>
        <v>1</v>
      </c>
      <c r="C16" s="139">
        <f t="shared" si="1"/>
        <v>0.17833329838060089</v>
      </c>
      <c r="D16" s="137">
        <f t="shared" si="2"/>
        <v>0.13873724867373405</v>
      </c>
      <c r="E16" s="137">
        <f t="shared" si="3"/>
        <v>9.9128141815841175E-2</v>
      </c>
      <c r="F16" s="138">
        <f t="shared" si="4"/>
        <v>0.5838013111298237</v>
      </c>
      <c r="G16" s="10"/>
      <c r="H16" s="75">
        <f t="shared" si="5"/>
        <v>3691.1574281273156</v>
      </c>
      <c r="I16" s="76">
        <f t="shared" si="6"/>
        <v>658.25627899999995</v>
      </c>
      <c r="J16" s="76">
        <f t="shared" si="7"/>
        <v>512.10102600000005</v>
      </c>
      <c r="K16" s="76">
        <f t="shared" si="8"/>
        <v>365.89757700000013</v>
      </c>
      <c r="L16" s="77">
        <f t="shared" si="9"/>
        <v>2154.902546127315</v>
      </c>
      <c r="M16" s="50"/>
      <c r="N16" s="75">
        <f t="shared" si="10"/>
        <v>3691.1574281273156</v>
      </c>
      <c r="O16" s="88">
        <v>353.37092399999995</v>
      </c>
      <c r="P16" s="76">
        <v>107.920563</v>
      </c>
      <c r="Q16" s="77">
        <v>196.96479199999999</v>
      </c>
      <c r="R16" s="76">
        <v>226.801986</v>
      </c>
      <c r="S16" s="76">
        <v>285.29903999999999</v>
      </c>
      <c r="T16" s="88">
        <v>70.512935999999982</v>
      </c>
      <c r="U16" s="148">
        <v>295.38464100000016</v>
      </c>
      <c r="V16" s="76">
        <v>818.31500000000005</v>
      </c>
      <c r="W16" s="76">
        <v>541</v>
      </c>
      <c r="X16" s="76">
        <v>104.344973</v>
      </c>
      <c r="Y16" s="76">
        <v>15.488209999999999</v>
      </c>
      <c r="Z16" s="76">
        <v>103.48725400000002</v>
      </c>
      <c r="AA16" s="76">
        <v>45.513320999999998</v>
      </c>
      <c r="AB16" s="77">
        <v>526.75378812731503</v>
      </c>
    </row>
    <row r="17" spans="1:28">
      <c r="A17" s="92">
        <v>1990</v>
      </c>
      <c r="B17" s="140">
        <f t="shared" si="0"/>
        <v>1</v>
      </c>
      <c r="C17" s="139">
        <f t="shared" si="1"/>
        <v>0.13577825223010767</v>
      </c>
      <c r="D17" s="137">
        <f t="shared" si="2"/>
        <v>0.1364747859402296</v>
      </c>
      <c r="E17" s="137">
        <f t="shared" si="3"/>
        <v>0.11972032970654804</v>
      </c>
      <c r="F17" s="138">
        <f t="shared" si="4"/>
        <v>0.60802663212311459</v>
      </c>
      <c r="G17" s="10"/>
      <c r="H17" s="75">
        <f t="shared" si="5"/>
        <v>5306.4251540000005</v>
      </c>
      <c r="I17" s="76">
        <f t="shared" si="6"/>
        <v>720.49713300000008</v>
      </c>
      <c r="J17" s="76">
        <f t="shared" si="7"/>
        <v>724.19323699999995</v>
      </c>
      <c r="K17" s="76">
        <f t="shared" si="8"/>
        <v>635.286969</v>
      </c>
      <c r="L17" s="77">
        <f t="shared" si="9"/>
        <v>3226.447815</v>
      </c>
      <c r="M17" s="50"/>
      <c r="N17" s="75">
        <f t="shared" si="10"/>
        <v>5306.4251540000005</v>
      </c>
      <c r="O17" s="88">
        <v>375.89822999999996</v>
      </c>
      <c r="P17" s="76">
        <v>130.08683800000009</v>
      </c>
      <c r="Q17" s="77">
        <v>214.51206499999998</v>
      </c>
      <c r="R17" s="76">
        <v>281.16157699999997</v>
      </c>
      <c r="S17" s="76">
        <v>443.03165999999999</v>
      </c>
      <c r="T17" s="88">
        <v>119.693926</v>
      </c>
      <c r="U17" s="148">
        <v>515.59304299999997</v>
      </c>
      <c r="V17" s="76">
        <v>1145.1952290000002</v>
      </c>
      <c r="W17" s="76">
        <v>873.78544899999997</v>
      </c>
      <c r="X17" s="76">
        <v>122.25118399999999</v>
      </c>
      <c r="Y17" s="76">
        <v>20.494135999999997</v>
      </c>
      <c r="Z17" s="76">
        <v>187.22896799999998</v>
      </c>
      <c r="AA17" s="76">
        <v>66.627288000000007</v>
      </c>
      <c r="AB17" s="77">
        <v>810.86556100000007</v>
      </c>
    </row>
    <row r="18" spans="1:28" ht="13" thickBot="1">
      <c r="A18" s="101">
        <v>2012</v>
      </c>
      <c r="B18" s="141">
        <f t="shared" si="0"/>
        <v>1</v>
      </c>
      <c r="C18" s="142">
        <f t="shared" si="1"/>
        <v>0.10495763609005229</v>
      </c>
      <c r="D18" s="143">
        <f t="shared" si="2"/>
        <v>0.13524538692894522</v>
      </c>
      <c r="E18" s="143">
        <f t="shared" si="3"/>
        <v>0.15174073095864968</v>
      </c>
      <c r="F18" s="144">
        <f t="shared" si="4"/>
        <v>0.60805624602235275</v>
      </c>
      <c r="G18" s="10"/>
      <c r="H18" s="116">
        <f t="shared" si="5"/>
        <v>7052.1353050000007</v>
      </c>
      <c r="I18" s="117">
        <f t="shared" si="6"/>
        <v>740.17545099999995</v>
      </c>
      <c r="J18" s="117">
        <f t="shared" si="7"/>
        <v>953.76876800000014</v>
      </c>
      <c r="K18" s="117">
        <f t="shared" si="8"/>
        <v>1070.096166</v>
      </c>
      <c r="L18" s="118">
        <f t="shared" si="9"/>
        <v>4288.0949200000005</v>
      </c>
      <c r="M18" s="50"/>
      <c r="N18" s="116">
        <f t="shared" si="10"/>
        <v>7052.1353050000007</v>
      </c>
      <c r="O18" s="145">
        <v>413.57516700000008</v>
      </c>
      <c r="P18" s="117">
        <v>125.91007099999993</v>
      </c>
      <c r="Q18" s="118">
        <v>200.690213</v>
      </c>
      <c r="R18" s="117">
        <v>350.594539</v>
      </c>
      <c r="S18" s="117">
        <v>603.17422900000008</v>
      </c>
      <c r="T18" s="145">
        <v>170.78379100000001</v>
      </c>
      <c r="U18" s="149">
        <v>899.31237499999997</v>
      </c>
      <c r="V18" s="117">
        <v>1353.6006869999999</v>
      </c>
      <c r="W18" s="117">
        <v>1258.3509709999998</v>
      </c>
      <c r="X18" s="117">
        <v>126.43465300000001</v>
      </c>
      <c r="Y18" s="117">
        <v>27.379944999999999</v>
      </c>
      <c r="Z18" s="117">
        <v>300.25903099999994</v>
      </c>
      <c r="AA18" s="117">
        <v>78.989851000000016</v>
      </c>
      <c r="AB18" s="118">
        <v>1143.0797820000007</v>
      </c>
    </row>
    <row r="19" spans="1:28" ht="14" thickTop="1" thickBot="1"/>
    <row r="20" spans="1:28" ht="100" customHeight="1" thickTop="1" thickBot="1">
      <c r="A20" s="322" t="s">
        <v>135</v>
      </c>
      <c r="B20" s="323"/>
      <c r="C20" s="323"/>
      <c r="D20" s="323"/>
      <c r="E20" s="323"/>
      <c r="F20" s="323"/>
      <c r="G20" s="324"/>
      <c r="H20" s="324"/>
      <c r="I20" s="324"/>
      <c r="J20" s="324"/>
      <c r="K20" s="324"/>
      <c r="L20" s="325"/>
    </row>
    <row r="21" spans="1:28" ht="13" thickTop="1"/>
    <row r="22" spans="1:28">
      <c r="A22" s="3" t="s">
        <v>136</v>
      </c>
      <c r="V22" s="1">
        <f>V13/W13</f>
        <v>1.4150196690946744</v>
      </c>
    </row>
    <row r="23" spans="1:28">
      <c r="V23" s="1">
        <f t="shared" ref="V23:V28" si="11">V14/W14</f>
        <v>1.439380968060586</v>
      </c>
    </row>
    <row r="24" spans="1:28">
      <c r="V24" s="1">
        <f t="shared" si="11"/>
        <v>1.5231615598885795</v>
      </c>
    </row>
    <row r="25" spans="1:28">
      <c r="V25" s="1">
        <f t="shared" si="11"/>
        <v>1.5125970425138633</v>
      </c>
    </row>
    <row r="26" spans="1:28">
      <c r="V26" s="1">
        <f t="shared" si="11"/>
        <v>1.3106137557115582</v>
      </c>
    </row>
    <row r="27" spans="1:28">
      <c r="V27" s="1">
        <f t="shared" si="11"/>
        <v>1.0756940775627215</v>
      </c>
    </row>
    <row r="28" spans="1:28">
      <c r="V28" s="1" t="e">
        <f t="shared" si="11"/>
        <v>#DIV/0!</v>
      </c>
    </row>
  </sheetData>
  <mergeCells count="2">
    <mergeCell ref="A4:F4"/>
    <mergeCell ref="A20:L20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39"/>
  <sheetViews>
    <sheetView workbookViewId="0">
      <pane xSplit="1" ySplit="7" topLeftCell="B8" activePane="bottomRight" state="frozen"/>
      <selection activeCell="Q55" sqref="Q55"/>
      <selection pane="topRight" activeCell="Q55" sqref="Q55"/>
      <selection pane="bottomLeft" activeCell="Q55" sqref="Q55"/>
      <selection pane="bottomRight" activeCell="P7" sqref="P7:AD7"/>
    </sheetView>
  </sheetViews>
  <sheetFormatPr baseColWidth="10" defaultColWidth="11.5" defaultRowHeight="12" x14ac:dyDescent="0"/>
  <cols>
    <col min="1" max="1" width="8.6640625" style="1" customWidth="1"/>
    <col min="2" max="2" width="11.83203125" style="1" customWidth="1"/>
    <col min="3" max="6" width="9.83203125" style="1" customWidth="1"/>
    <col min="7" max="9" width="10.83203125" style="1" customWidth="1"/>
    <col min="10" max="10" width="15.83203125" style="1" customWidth="1"/>
    <col min="11" max="15" width="11.5" style="1"/>
    <col min="16" max="16" width="15.83203125" style="1" customWidth="1"/>
    <col min="17" max="16384" width="11.5" style="1"/>
  </cols>
  <sheetData>
    <row r="1" spans="1:30">
      <c r="B1" s="2"/>
      <c r="C1" s="3"/>
      <c r="D1" s="3"/>
      <c r="E1" s="3"/>
      <c r="F1" s="3"/>
    </row>
    <row r="3" spans="1:30" ht="13" thickBot="1"/>
    <row r="4" spans="1:30" ht="34.75" customHeight="1" thickTop="1">
      <c r="A4" s="285" t="s">
        <v>137</v>
      </c>
      <c r="B4" s="320"/>
      <c r="C4" s="320"/>
      <c r="D4" s="320"/>
      <c r="E4" s="320"/>
      <c r="F4" s="321"/>
      <c r="G4" s="4"/>
      <c r="H4" s="4"/>
      <c r="I4" s="4"/>
    </row>
    <row r="5" spans="1:30">
      <c r="A5" s="36"/>
      <c r="B5" s="4"/>
      <c r="C5" s="4"/>
      <c r="D5" s="4"/>
      <c r="E5" s="4"/>
      <c r="F5" s="37"/>
      <c r="G5" s="4"/>
      <c r="H5" s="4"/>
      <c r="I5" s="4"/>
    </row>
    <row r="6" spans="1:30" ht="13" thickBot="1">
      <c r="A6" s="36"/>
      <c r="B6" s="60"/>
      <c r="C6" s="61"/>
      <c r="D6" s="61"/>
      <c r="E6" s="61"/>
      <c r="F6" s="62"/>
      <c r="G6" s="4"/>
      <c r="H6" s="4"/>
      <c r="I6" s="4"/>
    </row>
    <row r="7" spans="1:30" ht="60" customHeight="1" thickTop="1" thickBot="1">
      <c r="A7" s="63"/>
      <c r="B7" s="64" t="s">
        <v>73</v>
      </c>
      <c r="C7" s="240" t="s">
        <v>6</v>
      </c>
      <c r="D7" s="230" t="s">
        <v>101</v>
      </c>
      <c r="E7" s="230" t="s">
        <v>102</v>
      </c>
      <c r="F7" s="231" t="s">
        <v>103</v>
      </c>
      <c r="G7" s="230" t="s">
        <v>140</v>
      </c>
      <c r="H7" s="231" t="s">
        <v>141</v>
      </c>
      <c r="I7" s="10"/>
      <c r="J7" s="64" t="s">
        <v>142</v>
      </c>
      <c r="K7" s="240" t="s">
        <v>6</v>
      </c>
      <c r="L7" s="230" t="s">
        <v>83</v>
      </c>
      <c r="M7" s="230" t="s">
        <v>102</v>
      </c>
      <c r="N7" s="231" t="s">
        <v>103</v>
      </c>
      <c r="O7" s="50"/>
      <c r="P7" s="64" t="s">
        <v>143</v>
      </c>
      <c r="Q7" s="232" t="s">
        <v>67</v>
      </c>
      <c r="R7" s="230" t="s">
        <v>104</v>
      </c>
      <c r="S7" s="231" t="s">
        <v>128</v>
      </c>
      <c r="T7" s="233" t="s">
        <v>68</v>
      </c>
      <c r="U7" s="231" t="s">
        <v>106</v>
      </c>
      <c r="V7" s="232" t="s">
        <v>107</v>
      </c>
      <c r="W7" s="231" t="s">
        <v>108</v>
      </c>
      <c r="X7" s="233" t="s">
        <v>129</v>
      </c>
      <c r="Y7" s="234" t="s">
        <v>130</v>
      </c>
      <c r="Z7" s="234" t="s">
        <v>131</v>
      </c>
      <c r="AA7" s="234" t="s">
        <v>132</v>
      </c>
      <c r="AB7" s="234" t="s">
        <v>133</v>
      </c>
      <c r="AC7" s="234" t="s">
        <v>114</v>
      </c>
      <c r="AD7" s="231" t="s">
        <v>115</v>
      </c>
    </row>
    <row r="8" spans="1:30" ht="13" thickTop="1">
      <c r="A8" s="68">
        <v>0</v>
      </c>
      <c r="B8" s="135">
        <f t="shared" ref="B8:B18" si="0">J8/$J8</f>
        <v>1</v>
      </c>
      <c r="C8" s="136">
        <f t="shared" ref="C8:C18" si="1">K8/$J8</f>
        <v>1.1936800189409895</v>
      </c>
      <c r="D8" s="137">
        <f t="shared" ref="D8:D18" si="2">L8/$J8</f>
        <v>0.82295564983401603</v>
      </c>
      <c r="E8" s="137">
        <f t="shared" ref="E8:E18" si="3">M8/$J8</f>
        <v>1.0101283351310895</v>
      </c>
      <c r="F8" s="138">
        <f t="shared" ref="F8:F18" si="4">N8/$J8</f>
        <v>0.96770890012817223</v>
      </c>
      <c r="G8" s="139">
        <v>1.1340073788567258</v>
      </c>
      <c r="H8" s="138">
        <v>0.97157954335462637</v>
      </c>
      <c r="I8" s="10"/>
      <c r="J8" s="75">
        <v>628.73907317856845</v>
      </c>
      <c r="K8" s="76">
        <v>750.51326878073382</v>
      </c>
      <c r="L8" s="76">
        <v>517.42437254370577</v>
      </c>
      <c r="M8" s="76">
        <v>635.10715322173155</v>
      </c>
      <c r="N8" s="77">
        <v>608.43639697323886</v>
      </c>
      <c r="O8" s="50"/>
      <c r="P8" s="78">
        <v>628.73907317856845</v>
      </c>
      <c r="Q8" s="79">
        <v>803.82715838929732</v>
      </c>
      <c r="R8" s="80">
        <v>625.7939027737101</v>
      </c>
      <c r="S8" s="81">
        <v>528.84990696291516</v>
      </c>
      <c r="T8" s="80">
        <v>525.68608232346674</v>
      </c>
      <c r="U8" s="80">
        <v>516.3031405021668</v>
      </c>
      <c r="V8" s="79">
        <v>719.04141125988986</v>
      </c>
      <c r="W8" s="81">
        <v>547.12787069980675</v>
      </c>
      <c r="X8" s="80">
        <v>599.9889018678756</v>
      </c>
      <c r="Y8" s="80">
        <v>585.17000056522636</v>
      </c>
      <c r="Z8" s="80">
        <v>552.28912121537098</v>
      </c>
      <c r="AA8" s="80">
        <v>462.18881552918936</v>
      </c>
      <c r="AB8" s="80">
        <v>830.94415511594798</v>
      </c>
      <c r="AC8" s="80">
        <v>548.494265287453</v>
      </c>
      <c r="AD8" s="81">
        <v>449.28880446993634</v>
      </c>
    </row>
    <row r="9" spans="1:30">
      <c r="A9" s="68">
        <v>1000</v>
      </c>
      <c r="B9" s="140">
        <f t="shared" si="0"/>
        <v>1</v>
      </c>
      <c r="C9" s="139">
        <f t="shared" si="1"/>
        <v>0.96603092724534323</v>
      </c>
      <c r="D9" s="137">
        <f t="shared" si="2"/>
        <v>0.85072148140013659</v>
      </c>
      <c r="E9" s="137">
        <f t="shared" si="3"/>
        <v>0.94500789680527597</v>
      </c>
      <c r="F9" s="138">
        <f t="shared" si="4"/>
        <v>1.0271311937238203</v>
      </c>
      <c r="G9" s="139">
        <v>0.93696797675367793</v>
      </c>
      <c r="H9" s="138">
        <v>1.0148681475773369</v>
      </c>
      <c r="I9" s="10"/>
      <c r="J9" s="75">
        <v>608.15249204716895</v>
      </c>
      <c r="K9" s="76">
        <v>587.49411579889284</v>
      </c>
      <c r="L9" s="76">
        <v>517.36838895155233</v>
      </c>
      <c r="M9" s="76">
        <v>574.70890744638245</v>
      </c>
      <c r="N9" s="77">
        <v>624.65239512252481</v>
      </c>
      <c r="O9" s="50"/>
      <c r="P9" s="75">
        <v>608.15249204716895</v>
      </c>
      <c r="Q9" s="88">
        <v>596.31315477893531</v>
      </c>
      <c r="R9" s="76">
        <v>607.87751291924803</v>
      </c>
      <c r="S9" s="77">
        <v>528.84990696291504</v>
      </c>
      <c r="T9" s="76">
        <v>525.68608232346674</v>
      </c>
      <c r="U9" s="76">
        <v>516.3031405021668</v>
      </c>
      <c r="V9" s="88">
        <v>648.78631109403807</v>
      </c>
      <c r="W9" s="77">
        <v>539.02942403810789</v>
      </c>
      <c r="X9" s="76">
        <v>621.32184060095562</v>
      </c>
      <c r="Y9" s="76">
        <v>585.17000056522636</v>
      </c>
      <c r="Z9" s="76">
        <v>586.89923947820091</v>
      </c>
      <c r="AA9" s="76">
        <v>462.1888155291893</v>
      </c>
      <c r="AB9" s="76">
        <v>988.80301731141878</v>
      </c>
      <c r="AC9" s="76">
        <v>548.494265287453</v>
      </c>
      <c r="AD9" s="77">
        <v>449.31385542084109</v>
      </c>
    </row>
    <row r="10" spans="1:30">
      <c r="A10" s="68">
        <v>1500</v>
      </c>
      <c r="B10" s="140">
        <f t="shared" si="0"/>
        <v>1</v>
      </c>
      <c r="C10" s="139">
        <f t="shared" si="1"/>
        <v>1.2651754584616381</v>
      </c>
      <c r="D10" s="137">
        <f t="shared" si="2"/>
        <v>0.71123647279987512</v>
      </c>
      <c r="E10" s="137">
        <f t="shared" si="3"/>
        <v>0.74635067526178289</v>
      </c>
      <c r="F10" s="138">
        <f t="shared" si="4"/>
        <v>0.98219985508640018</v>
      </c>
      <c r="G10" s="139">
        <v>1.1610693081848964</v>
      </c>
      <c r="H10" s="138">
        <v>0.94922173538361998</v>
      </c>
      <c r="I10" s="10"/>
      <c r="J10" s="75">
        <v>753.89029413672176</v>
      </c>
      <c r="K10" s="76">
        <v>953.80349851420624</v>
      </c>
      <c r="L10" s="76">
        <v>536.19427367986236</v>
      </c>
      <c r="M10" s="76">
        <v>562.66653010224638</v>
      </c>
      <c r="N10" s="77">
        <v>740.47093765213174</v>
      </c>
      <c r="O10" s="50"/>
      <c r="P10" s="75">
        <v>753.89029413672176</v>
      </c>
      <c r="Q10" s="88">
        <v>1075.7739105886501</v>
      </c>
      <c r="R10" s="76">
        <v>753.76811601986753</v>
      </c>
      <c r="S10" s="77">
        <v>659.73635886317641</v>
      </c>
      <c r="T10" s="76">
        <v>525.68608232346685</v>
      </c>
      <c r="U10" s="76">
        <v>537.54532685425602</v>
      </c>
      <c r="V10" s="88">
        <v>604.42223452370069</v>
      </c>
      <c r="W10" s="77">
        <v>553.62000578227583</v>
      </c>
      <c r="X10" s="76">
        <v>799.98520249050091</v>
      </c>
      <c r="Y10" s="76">
        <v>715.20777846860994</v>
      </c>
      <c r="Z10" s="76">
        <v>690.3614015192137</v>
      </c>
      <c r="AA10" s="76">
        <v>462.18881552918924</v>
      </c>
      <c r="AB10" s="76">
        <v>939.1944020854927</v>
      </c>
      <c r="AC10" s="76">
        <v>684.24255100313826</v>
      </c>
      <c r="AD10" s="77">
        <v>585.42499916602173</v>
      </c>
    </row>
    <row r="11" spans="1:30">
      <c r="A11" s="68">
        <v>1700</v>
      </c>
      <c r="B11" s="140">
        <f t="shared" si="0"/>
        <v>1</v>
      </c>
      <c r="C11" s="139">
        <f t="shared" si="1"/>
        <v>1.4713619295594442</v>
      </c>
      <c r="D11" s="137">
        <f t="shared" si="2"/>
        <v>0.82736298418233356</v>
      </c>
      <c r="E11" s="137">
        <f t="shared" si="3"/>
        <v>0.69780785781063626</v>
      </c>
      <c r="F11" s="138">
        <f t="shared" si="4"/>
        <v>0.90821775750631706</v>
      </c>
      <c r="G11" s="139">
        <v>1.4087721101784807</v>
      </c>
      <c r="H11" s="138">
        <v>0.88070708099720851</v>
      </c>
      <c r="I11" s="10"/>
      <c r="J11" s="75">
        <v>820.680901395246</v>
      </c>
      <c r="K11" s="76">
        <v>1207.5186346294931</v>
      </c>
      <c r="L11" s="76">
        <v>679.00099963981813</v>
      </c>
      <c r="M11" s="76">
        <v>572.67758174871858</v>
      </c>
      <c r="N11" s="77">
        <v>745.3569678934532</v>
      </c>
      <c r="O11" s="50"/>
      <c r="P11" s="75">
        <v>820.680901395246</v>
      </c>
      <c r="Q11" s="88">
        <v>1385.9987205343191</v>
      </c>
      <c r="R11" s="76">
        <v>920.95059902779155</v>
      </c>
      <c r="S11" s="77">
        <v>806.52100688995972</v>
      </c>
      <c r="T11" s="76">
        <v>671.34493430059399</v>
      </c>
      <c r="U11" s="76">
        <v>679.76342938314338</v>
      </c>
      <c r="V11" s="88">
        <v>586.5978037728662</v>
      </c>
      <c r="W11" s="77">
        <v>570.17742599698863</v>
      </c>
      <c r="X11" s="76">
        <v>799.9852024905008</v>
      </c>
      <c r="Y11" s="76">
        <v>715.20777846860994</v>
      </c>
      <c r="Z11" s="76">
        <v>787.01199773190365</v>
      </c>
      <c r="AA11" s="76">
        <v>462.18881552918924</v>
      </c>
      <c r="AB11" s="76">
        <v>941.27589808967514</v>
      </c>
      <c r="AC11" s="76">
        <v>836.47957821050738</v>
      </c>
      <c r="AD11" s="77">
        <v>589.51665970588192</v>
      </c>
    </row>
    <row r="12" spans="1:30">
      <c r="A12" s="68">
        <v>1820</v>
      </c>
      <c r="B12" s="140">
        <f t="shared" si="0"/>
        <v>1</v>
      </c>
      <c r="C12" s="139">
        <f t="shared" si="1"/>
        <v>1.5633869914290879</v>
      </c>
      <c r="D12" s="137">
        <f t="shared" si="2"/>
        <v>1.2697759925310315</v>
      </c>
      <c r="E12" s="137">
        <f t="shared" si="3"/>
        <v>0.64009374103779459</v>
      </c>
      <c r="F12" s="138">
        <f t="shared" si="4"/>
        <v>0.85522194020780529</v>
      </c>
      <c r="G12" s="139">
        <v>1.5251883889443005</v>
      </c>
      <c r="H12" s="138">
        <v>0.8350768082224973</v>
      </c>
      <c r="I12" s="10"/>
      <c r="J12" s="75">
        <v>892.87924331040381</v>
      </c>
      <c r="K12" s="76">
        <v>1395.9157939085328</v>
      </c>
      <c r="L12" s="76">
        <v>1133.7566273848242</v>
      </c>
      <c r="M12" s="76">
        <v>571.5264151455516</v>
      </c>
      <c r="N12" s="77">
        <v>763.60991883520057</v>
      </c>
      <c r="O12" s="50"/>
      <c r="P12" s="75">
        <v>892.87924331040381</v>
      </c>
      <c r="Q12" s="88">
        <v>1666.0394866404638</v>
      </c>
      <c r="R12" s="76">
        <v>1038.1954999565785</v>
      </c>
      <c r="S12" s="77">
        <v>909.6141146055287</v>
      </c>
      <c r="T12" s="76">
        <v>1617.2506579370386</v>
      </c>
      <c r="U12" s="76">
        <v>891.9919956537459</v>
      </c>
      <c r="V12" s="88">
        <v>593.9373070948734</v>
      </c>
      <c r="W12" s="77">
        <v>567.63424509190338</v>
      </c>
      <c r="X12" s="76">
        <v>799.9852024905008</v>
      </c>
      <c r="Y12" s="76">
        <v>693.225750289134</v>
      </c>
      <c r="Z12" s="76">
        <v>923.70355523270791</v>
      </c>
      <c r="AA12" s="76">
        <v>567.08650753293387</v>
      </c>
      <c r="AB12" s="76">
        <v>967.26597261555889</v>
      </c>
      <c r="AC12" s="76">
        <v>943.40212396150173</v>
      </c>
      <c r="AD12" s="77">
        <v>599.72247041695402</v>
      </c>
    </row>
    <row r="13" spans="1:30">
      <c r="A13" s="68">
        <v>1870</v>
      </c>
      <c r="B13" s="140">
        <f t="shared" si="0"/>
        <v>1</v>
      </c>
      <c r="C13" s="139">
        <f t="shared" si="1"/>
        <v>1.8336767911321152</v>
      </c>
      <c r="D13" s="137">
        <f t="shared" si="2"/>
        <v>1.7471821609377223</v>
      </c>
      <c r="E13" s="137">
        <f t="shared" si="3"/>
        <v>0.57947345622375268</v>
      </c>
      <c r="F13" s="138">
        <f t="shared" si="4"/>
        <v>0.63048271239699072</v>
      </c>
      <c r="G13" s="139">
        <v>1.8154988298377623</v>
      </c>
      <c r="H13" s="138">
        <v>0.62520304627377021</v>
      </c>
      <c r="I13" s="10"/>
      <c r="J13" s="75">
        <v>1172.5799756564329</v>
      </c>
      <c r="K13" s="76">
        <v>2150.1326871074616</v>
      </c>
      <c r="L13" s="76">
        <v>2048.7108157397083</v>
      </c>
      <c r="M13" s="76">
        <v>679.4789711923969</v>
      </c>
      <c r="N13" s="77">
        <v>739.29140355426512</v>
      </c>
      <c r="O13" s="50"/>
      <c r="P13" s="75">
        <v>1172.5799756564329</v>
      </c>
      <c r="Q13" s="88">
        <v>2724.7784235257714</v>
      </c>
      <c r="R13" s="76">
        <v>1423.388150968512</v>
      </c>
      <c r="S13" s="77">
        <v>1247.1856763640155</v>
      </c>
      <c r="T13" s="76">
        <v>3128.1164519327453</v>
      </c>
      <c r="U13" s="76">
        <v>872.55918785789129</v>
      </c>
      <c r="V13" s="88">
        <v>853.87490214071522</v>
      </c>
      <c r="W13" s="77">
        <v>642.64028540772154</v>
      </c>
      <c r="X13" s="76">
        <v>706.65359553327573</v>
      </c>
      <c r="Y13" s="76">
        <v>693.27092478575378</v>
      </c>
      <c r="Z13" s="76">
        <v>1018.1111635030576</v>
      </c>
      <c r="AA13" s="76">
        <v>3753.8859267085172</v>
      </c>
      <c r="AB13" s="76">
        <v>1181.7226289107584</v>
      </c>
      <c r="AC13" s="76">
        <v>1293.5129272553427</v>
      </c>
      <c r="AD13" s="77">
        <v>602.1110832120105</v>
      </c>
    </row>
    <row r="14" spans="1:30">
      <c r="A14" s="92">
        <v>1913</v>
      </c>
      <c r="B14" s="140">
        <f t="shared" si="0"/>
        <v>1</v>
      </c>
      <c r="C14" s="139">
        <f t="shared" si="1"/>
        <v>1.7736229768548082</v>
      </c>
      <c r="D14" s="137">
        <f t="shared" si="2"/>
        <v>2.3073005418965367</v>
      </c>
      <c r="E14" s="137">
        <f t="shared" si="3"/>
        <v>0.42150799953491941</v>
      </c>
      <c r="F14" s="138">
        <f t="shared" si="4"/>
        <v>0.46514951698758061</v>
      </c>
      <c r="G14" s="139">
        <v>1.92401642593207</v>
      </c>
      <c r="H14" s="138">
        <v>0.46034158058056518</v>
      </c>
      <c r="I14" s="10"/>
      <c r="J14" s="75">
        <v>2051.4401982787549</v>
      </c>
      <c r="K14" s="76">
        <v>3638.481471310783</v>
      </c>
      <c r="L14" s="76">
        <v>4733.2890811569096</v>
      </c>
      <c r="M14" s="76">
        <v>864.69845414199642</v>
      </c>
      <c r="N14" s="77">
        <v>954.22641735826949</v>
      </c>
      <c r="O14" s="50"/>
      <c r="P14" s="75">
        <v>2051.4401982787549</v>
      </c>
      <c r="Q14" s="88">
        <v>4822.3633104046412</v>
      </c>
      <c r="R14" s="76">
        <v>2575.6980933166492</v>
      </c>
      <c r="S14" s="77">
        <v>1966.7909485239365</v>
      </c>
      <c r="T14" s="76">
        <v>6882.7376202177247</v>
      </c>
      <c r="U14" s="76">
        <v>1928.94973617244</v>
      </c>
      <c r="V14" s="88">
        <v>1220.4969667844605</v>
      </c>
      <c r="W14" s="77">
        <v>777.15939865078735</v>
      </c>
      <c r="X14" s="76">
        <v>736.38204168948198</v>
      </c>
      <c r="Y14" s="76">
        <v>874.52011308998601</v>
      </c>
      <c r="Z14" s="76">
        <v>1914.6332831342397</v>
      </c>
      <c r="AA14" s="76">
        <v>5957.5928341937652</v>
      </c>
      <c r="AB14" s="76">
        <v>1659.6493848543173</v>
      </c>
      <c r="AC14" s="76">
        <v>2039.8482482106158</v>
      </c>
      <c r="AD14" s="77">
        <v>878.35150112231395</v>
      </c>
    </row>
    <row r="15" spans="1:30">
      <c r="A15" s="92">
        <v>1950</v>
      </c>
      <c r="B15" s="140">
        <f t="shared" si="0"/>
        <v>1</v>
      </c>
      <c r="C15" s="139">
        <f t="shared" si="1"/>
        <v>1.8177029018704813</v>
      </c>
      <c r="D15" s="137">
        <f t="shared" si="2"/>
        <v>2.7596569571038838</v>
      </c>
      <c r="E15" s="137">
        <f t="shared" si="3"/>
        <v>0.42784637964174205</v>
      </c>
      <c r="F15" s="138">
        <f t="shared" si="4"/>
        <v>0.36564965449146086</v>
      </c>
      <c r="G15" s="139">
        <v>2.1730760274858509</v>
      </c>
      <c r="H15" s="138">
        <v>0.37424927413604742</v>
      </c>
      <c r="I15" s="10"/>
      <c r="J15" s="75">
        <v>2821.997649604275</v>
      </c>
      <c r="K15" s="76">
        <v>5129.5533167573685</v>
      </c>
      <c r="L15" s="76">
        <v>7787.7454466612453</v>
      </c>
      <c r="M15" s="76">
        <v>1207.3814777406944</v>
      </c>
      <c r="N15" s="77">
        <v>1031.8624655535177</v>
      </c>
      <c r="O15" s="50"/>
      <c r="P15" s="75">
        <v>2821.997649604275</v>
      </c>
      <c r="Q15" s="88">
        <v>6373.7312220647391</v>
      </c>
      <c r="R15" s="76">
        <v>3208.4517812434415</v>
      </c>
      <c r="S15" s="77">
        <v>3756.7620609586884</v>
      </c>
      <c r="T15" s="76">
        <v>12314.304802863455</v>
      </c>
      <c r="U15" s="76">
        <v>3239.4438405133701</v>
      </c>
      <c r="V15" s="88">
        <v>1505.2261331611824</v>
      </c>
      <c r="W15" s="77">
        <v>1136.3100324326854</v>
      </c>
      <c r="X15" s="76">
        <v>597.3512517400319</v>
      </c>
      <c r="Y15" s="76">
        <v>804.93746744417024</v>
      </c>
      <c r="Z15" s="76">
        <v>2651.9828973675017</v>
      </c>
      <c r="AA15" s="76">
        <v>8790.1133485945757</v>
      </c>
      <c r="AB15" s="76">
        <v>2829.4339172231221</v>
      </c>
      <c r="AC15" s="76">
        <v>3896.3086111118628</v>
      </c>
      <c r="AD15" s="77">
        <v>807.18761467209367</v>
      </c>
    </row>
    <row r="16" spans="1:30" ht="13" customHeight="1">
      <c r="A16" s="92">
        <v>1970</v>
      </c>
      <c r="B16" s="140">
        <f t="shared" si="0"/>
        <v>1</v>
      </c>
      <c r="C16" s="139">
        <f t="shared" si="1"/>
        <v>2.2184266648277631</v>
      </c>
      <c r="D16" s="137">
        <f t="shared" si="2"/>
        <v>2.3303531551536829</v>
      </c>
      <c r="E16" s="137">
        <f t="shared" si="3"/>
        <v>0.36875035626022562</v>
      </c>
      <c r="F16" s="138">
        <f t="shared" si="4"/>
        <v>0.4188416986909283</v>
      </c>
      <c r="G16" s="139">
        <v>2.2674011705514512</v>
      </c>
      <c r="H16" s="138">
        <v>0.41157087199748399</v>
      </c>
      <c r="I16" s="10"/>
      <c r="J16" s="75">
        <v>4915.6285492831576</v>
      </c>
      <c r="K16" s="76">
        <v>10904.961448118371</v>
      </c>
      <c r="L16" s="76">
        <v>11455.150499385527</v>
      </c>
      <c r="M16" s="76">
        <v>1812.6397787911003</v>
      </c>
      <c r="N16" s="77">
        <v>2058.8702117153812</v>
      </c>
      <c r="O16" s="50"/>
      <c r="P16" s="75">
        <v>4915.6285492831576</v>
      </c>
      <c r="Q16" s="88">
        <v>14186.529006101893</v>
      </c>
      <c r="R16" s="76">
        <v>6557.7289098030651</v>
      </c>
      <c r="S16" s="77">
        <v>7399.4883628262905</v>
      </c>
      <c r="T16" s="76">
        <v>19376.960040348898</v>
      </c>
      <c r="U16" s="76">
        <v>5157.6104284331677</v>
      </c>
      <c r="V16" s="88">
        <v>2386.3169666318809</v>
      </c>
      <c r="W16" s="77">
        <v>1675.6940571248306</v>
      </c>
      <c r="X16" s="76">
        <v>733.88518053520386</v>
      </c>
      <c r="Y16" s="76">
        <v>950.63884100449911</v>
      </c>
      <c r="Z16" s="76">
        <v>13412.274251154928</v>
      </c>
      <c r="AA16" s="76">
        <v>13716.866632499634</v>
      </c>
      <c r="AB16" s="76">
        <v>6369.5577403719881</v>
      </c>
      <c r="AC16" s="76">
        <v>7644.6530734132102</v>
      </c>
      <c r="AD16" s="77">
        <v>1334.1434236582365</v>
      </c>
    </row>
    <row r="17" spans="1:30">
      <c r="A17" s="92">
        <v>1990</v>
      </c>
      <c r="B17" s="140">
        <f t="shared" si="0"/>
        <v>1</v>
      </c>
      <c r="C17" s="139">
        <f t="shared" si="1"/>
        <v>2.4846401919609917</v>
      </c>
      <c r="D17" s="137">
        <f t="shared" si="2"/>
        <v>2.4335529856088383</v>
      </c>
      <c r="E17" s="137">
        <f t="shared" si="3"/>
        <v>0.30079110711492724</v>
      </c>
      <c r="F17" s="138">
        <f t="shared" si="4"/>
        <v>0.48437099372557485</v>
      </c>
      <c r="G17" s="139">
        <v>2.4590312378863186</v>
      </c>
      <c r="H17" s="138">
        <v>0.45417060031237411</v>
      </c>
      <c r="I17" s="10"/>
      <c r="J17" s="75">
        <v>6417.0480713500383</v>
      </c>
      <c r="K17" s="76">
        <v>15944.055551822072</v>
      </c>
      <c r="L17" s="76">
        <v>15616.226492829323</v>
      </c>
      <c r="M17" s="76">
        <v>1930.1909937910866</v>
      </c>
      <c r="N17" s="77">
        <v>3108.2319511046016</v>
      </c>
      <c r="O17" s="50"/>
      <c r="P17" s="75">
        <v>6417.0480713500383</v>
      </c>
      <c r="Q17" s="88">
        <v>22194.256159568973</v>
      </c>
      <c r="R17" s="76">
        <v>8247.635363836167</v>
      </c>
      <c r="S17" s="77">
        <v>9658.9247857622322</v>
      </c>
      <c r="T17" s="76">
        <v>29921.747544534323</v>
      </c>
      <c r="U17" s="76">
        <v>6537.500925667654</v>
      </c>
      <c r="V17" s="88">
        <v>3589.0274419898856</v>
      </c>
      <c r="W17" s="77">
        <v>1545.0953262438236</v>
      </c>
      <c r="X17" s="76">
        <v>1053.2348484151223</v>
      </c>
      <c r="Y17" s="76">
        <v>1167.8992738955315</v>
      </c>
      <c r="Z17" s="76">
        <v>25942.499213870084</v>
      </c>
      <c r="AA17" s="76">
        <v>19167.619104891117</v>
      </c>
      <c r="AB17" s="76">
        <v>7739.9765391129285</v>
      </c>
      <c r="AC17" s="76">
        <v>7688.9227588250296</v>
      </c>
      <c r="AD17" s="77">
        <v>2807.0378782983898</v>
      </c>
    </row>
    <row r="18" spans="1:30" ht="13" thickBot="1">
      <c r="A18" s="101">
        <v>2012</v>
      </c>
      <c r="B18" s="141">
        <f t="shared" si="0"/>
        <v>1</v>
      </c>
      <c r="C18" s="142">
        <f t="shared" si="1"/>
        <v>2.3812046581543549</v>
      </c>
      <c r="D18" s="143">
        <f t="shared" si="2"/>
        <v>2.1350281561847275</v>
      </c>
      <c r="E18" s="143">
        <f t="shared" si="3"/>
        <v>0.26110273316947924</v>
      </c>
      <c r="F18" s="144">
        <f t="shared" si="4"/>
        <v>0.69352426213571294</v>
      </c>
      <c r="G18" s="142">
        <v>2.2425959269101057</v>
      </c>
      <c r="H18" s="144">
        <v>0.60716440433749785</v>
      </c>
      <c r="I18" s="10"/>
      <c r="J18" s="116">
        <v>10092.004659202794</v>
      </c>
      <c r="K18" s="117">
        <v>24031.128504609147</v>
      </c>
      <c r="L18" s="117">
        <v>21546.714099745419</v>
      </c>
      <c r="M18" s="117">
        <v>2635.0499996769681</v>
      </c>
      <c r="N18" s="118">
        <v>6999.0500847437952</v>
      </c>
      <c r="O18" s="50"/>
      <c r="P18" s="116">
        <v>10092.004659202794</v>
      </c>
      <c r="Q18" s="145">
        <v>30689.425241049608</v>
      </c>
      <c r="R18" s="117">
        <v>15976.338912949695</v>
      </c>
      <c r="S18" s="118">
        <v>15363.406101359631</v>
      </c>
      <c r="T18" s="117">
        <v>40663.803209827936</v>
      </c>
      <c r="U18" s="117">
        <v>10434.921318606397</v>
      </c>
      <c r="V18" s="145">
        <v>5740.6014512271822</v>
      </c>
      <c r="W18" s="118">
        <v>2045.2906849101739</v>
      </c>
      <c r="X18" s="117">
        <v>7672.7613269136637</v>
      </c>
      <c r="Y18" s="117">
        <v>3200.0729563150626</v>
      </c>
      <c r="Z18" s="117">
        <v>29998.596840471113</v>
      </c>
      <c r="AA18" s="117">
        <v>29486.435676318597</v>
      </c>
      <c r="AB18" s="117">
        <v>13390.448118982455</v>
      </c>
      <c r="AC18" s="117">
        <v>6375.422050970752</v>
      </c>
      <c r="AD18" s="118">
        <v>5664.9811467516065</v>
      </c>
    </row>
    <row r="19" spans="1:30" ht="13" thickTop="1"/>
    <row r="20" spans="1:30">
      <c r="A20" s="92">
        <v>1980</v>
      </c>
      <c r="B20" s="140">
        <f>J20/$J20</f>
        <v>1</v>
      </c>
      <c r="C20" s="139">
        <f>K20/$J20</f>
        <v>2.3408633061197501</v>
      </c>
      <c r="D20" s="137">
        <f>L20/$J20</f>
        <v>2.3868497850276857</v>
      </c>
      <c r="E20" s="137">
        <f>M20/$J20</f>
        <v>0.34851619958676117</v>
      </c>
      <c r="F20" s="138">
        <f>N20/$J20</f>
        <v>0.44548524707972464</v>
      </c>
      <c r="G20" s="139"/>
      <c r="H20" s="138"/>
      <c r="I20" s="10"/>
      <c r="J20" s="75">
        <v>5888.7153574250924</v>
      </c>
      <c r="K20" s="76">
        <v>13784.677700380247</v>
      </c>
      <c r="L20" s="76">
        <v>14055.478984959314</v>
      </c>
      <c r="M20" s="76">
        <v>2052.312696817989</v>
      </c>
      <c r="N20" s="77">
        <v>2623.3358159846862</v>
      </c>
      <c r="O20" s="50"/>
      <c r="P20" s="75">
        <v>5888.7153574250897</v>
      </c>
      <c r="Q20" s="88">
        <v>18351.55001277705</v>
      </c>
      <c r="R20" s="76">
        <v>8792.8470635769318</v>
      </c>
      <c r="S20" s="77">
        <v>8547.3096651300821</v>
      </c>
      <c r="T20" s="76">
        <v>24107.017176213303</v>
      </c>
      <c r="U20" s="76">
        <v>7019.0435687839208</v>
      </c>
      <c r="V20" s="88">
        <v>3422.3364891481156</v>
      </c>
      <c r="W20" s="77">
        <v>1732.6666282268429</v>
      </c>
      <c r="X20" s="76">
        <v>851.70725776943834</v>
      </c>
      <c r="Y20" s="76">
        <v>991.75966997843204</v>
      </c>
      <c r="Z20" s="76">
        <v>18539.972918006722</v>
      </c>
      <c r="AA20" s="76">
        <v>16227.170859933416</v>
      </c>
      <c r="AB20" s="76">
        <v>8597.9340013574056</v>
      </c>
      <c r="AC20" s="76">
        <v>8813.2657237810072</v>
      </c>
      <c r="AD20" s="77">
        <v>1962.4171307004299</v>
      </c>
    </row>
    <row r="22" spans="1:30">
      <c r="A22" s="161">
        <v>2030</v>
      </c>
      <c r="B22" s="140">
        <f t="shared" ref="B22:F25" si="5">J22/$J22</f>
        <v>1</v>
      </c>
      <c r="C22" s="139">
        <f t="shared" si="5"/>
        <v>2.0785767340629127</v>
      </c>
      <c r="D22" s="137">
        <f t="shared" si="5"/>
        <v>1.8548547139861016</v>
      </c>
      <c r="E22" s="137">
        <f t="shared" si="5"/>
        <v>0.3821434402571614</v>
      </c>
      <c r="F22" s="138">
        <f t="shared" si="5"/>
        <v>0.84180857428797196</v>
      </c>
      <c r="G22" s="139"/>
      <c r="H22" s="138"/>
      <c r="J22" s="164">
        <f>SUMPRODUCT(K22:N22,TS2.2!AA18:AD18)/TS2.2!Z18</f>
        <v>15983.544098172601</v>
      </c>
      <c r="K22" s="163">
        <f>SUMPRODUCT(Q22:S22,TS2.2!AH18:AJ18)/TS2.2!AA18</f>
        <v>33223.022890330147</v>
      </c>
      <c r="L22" s="163">
        <f>SUMPRODUCT(T22:U22,TS2.2!AK18:AL18)/TS2.2!AB18</f>
        <v>29647.152116700181</v>
      </c>
      <c r="M22" s="163">
        <f>SUMPRODUCT(V22:W22,TS2.2!AM18:AN18)/TS2.2!AC18</f>
        <v>6108.0065291777255</v>
      </c>
      <c r="N22" s="163">
        <f>SUMPRODUCT(X22:AD22,TS2.2!AO18:AU18)/TS2.2!AD18</f>
        <v>13455.084469351605</v>
      </c>
      <c r="P22" s="164">
        <f>SUMPRODUCT(Q22:AD22,TS2.2!AH18:AU18)/TS2.2!AG18</f>
        <v>15983.544098172601</v>
      </c>
      <c r="Q22" s="163">
        <f>Q18*((1+TS2.3!C43)^18)</f>
        <v>38039.7785494079</v>
      </c>
      <c r="R22" s="163">
        <f>R18*((1+TS2.3!D43)^18)</f>
        <v>27198.647562979138</v>
      </c>
      <c r="S22" s="163">
        <f>S18*((1+TS2.3!E43)^18)</f>
        <v>26155.170480209483</v>
      </c>
      <c r="T22" s="163">
        <f>T18*((1+TS2.3!F43)^18)</f>
        <v>50403.096732145037</v>
      </c>
      <c r="U22" s="163">
        <f>U18*((1+TS2.3!G43)^18)</f>
        <v>17764.755044232617</v>
      </c>
      <c r="V22" s="163">
        <f>V18*((1+TS2.3!H43)^18)</f>
        <v>13815.441865478291</v>
      </c>
      <c r="W22" s="163">
        <f>W18*((1+TS2.3!I43)^18)</f>
        <v>4922.2359007940368</v>
      </c>
      <c r="X22" s="163">
        <f>X18*((1+TS2.3!J43)^18)</f>
        <v>18465.414984871553</v>
      </c>
      <c r="Y22" s="163">
        <f>Y18*((1+TS2.3!K43)^18)</f>
        <v>7701.3571258825204</v>
      </c>
      <c r="Z22" s="163">
        <f>Z18*((1+TS2.3!L43)^18)</f>
        <v>37183.491435288299</v>
      </c>
      <c r="AA22" s="163">
        <f>AA18*((1+TS2.3!M43)^18)</f>
        <v>36548.663734445305</v>
      </c>
      <c r="AB22" s="163">
        <f>AB18*((1+TS2.3!N43)^18)</f>
        <v>22796.341582573405</v>
      </c>
      <c r="AC22" s="163">
        <f>AC18*((1+TS2.3!O43)^18)</f>
        <v>10853.729278930519</v>
      </c>
      <c r="AD22" s="163">
        <f>AD18*((1+TS2.3!P43)^18)</f>
        <v>9644.2511955306745</v>
      </c>
    </row>
    <row r="23" spans="1:30">
      <c r="A23" s="161">
        <v>2050</v>
      </c>
      <c r="B23" s="140">
        <f t="shared" si="5"/>
        <v>1</v>
      </c>
      <c r="C23" s="139">
        <f t="shared" si="5"/>
        <v>1.7799577800867397</v>
      </c>
      <c r="D23" s="137">
        <f t="shared" si="5"/>
        <v>1.6158139534658191</v>
      </c>
      <c r="E23" s="137">
        <f t="shared" si="5"/>
        <v>0.49270808466802085</v>
      </c>
      <c r="F23" s="138">
        <f t="shared" si="5"/>
        <v>0.96405102872377324</v>
      </c>
      <c r="G23" s="139"/>
      <c r="H23" s="138"/>
      <c r="J23" s="164">
        <f>SUMPRODUCT(K23:N23,TS2.2!AA19:AD19)/TS2.2!Z19</f>
        <v>26067.213440485189</v>
      </c>
      <c r="K23" s="163">
        <f>SUMPRODUCT(Q23:S23,TS2.2!AH19:AJ19)/TS2.2!AA19</f>
        <v>46398.539368573242</v>
      </c>
      <c r="L23" s="163">
        <f>SUMPRODUCT(T23:U23,TS2.2!AK19:AL19)/TS2.2!AB19</f>
        <v>42119.76720510771</v>
      </c>
      <c r="M23" s="163">
        <f>SUMPRODUCT(V23:W23,TS2.2!AM19:AN19)/TS2.2!AC19</f>
        <v>12843.526806893948</v>
      </c>
      <c r="N23" s="163">
        <f>SUMPRODUCT(X23:AD23,TS2.2!AO19:AU19)/TS2.2!AD19</f>
        <v>25130.123933261915</v>
      </c>
      <c r="P23" s="164">
        <f>SUMPRODUCT(Q23:AD23,TS2.2!AH19:AU19)/TS2.2!AG19</f>
        <v>26067.213440485193</v>
      </c>
      <c r="Q23" s="163">
        <f>Q22*((1+TS2.3!C44)^20)</f>
        <v>48289.002027974166</v>
      </c>
      <c r="R23" s="163">
        <f>R22*((1+TS2.3!D44)^20)</f>
        <v>44568.151050361921</v>
      </c>
      <c r="S23" s="163">
        <f>S22*((1+TS2.3!E44)^20)</f>
        <v>42858.292347469302</v>
      </c>
      <c r="T23" s="163">
        <f>T22*((1+TS2.3!F44)^20)</f>
        <v>63983.422962187935</v>
      </c>
      <c r="U23" s="163">
        <f>U22*((1+TS2.3!G44)^20)</f>
        <v>29109.619673211299</v>
      </c>
      <c r="V23" s="163">
        <f>V22*((1+TS2.3!H44)^20)</f>
        <v>30271.334402682307</v>
      </c>
      <c r="W23" s="163">
        <f>W22*((1+TS2.3!I44)^20)</f>
        <v>10785.224997699774</v>
      </c>
      <c r="X23" s="163">
        <f>X22*((1+TS2.3!J44)^20)</f>
        <v>40459.998119068194</v>
      </c>
      <c r="Y23" s="163">
        <f>Y22*((1+TS2.3!K44)^20)</f>
        <v>16874.621831286542</v>
      </c>
      <c r="Z23" s="163">
        <f>Z22*((1+TS2.3!L44)^20)</f>
        <v>47202.001741246859</v>
      </c>
      <c r="AA23" s="163">
        <f>AA22*((1+TS2.3!M44)^20)</f>
        <v>46396.129643605571</v>
      </c>
      <c r="AB23" s="163">
        <f>AB22*((1+TS2.3!N44)^20)</f>
        <v>37354.460095680355</v>
      </c>
      <c r="AC23" s="163">
        <f>AC22*((1+TS2.3!O44)^20)</f>
        <v>17785.099234916768</v>
      </c>
      <c r="AD23" s="163">
        <f>AD22*((1+TS2.3!P44)^20)</f>
        <v>15803.228563286866</v>
      </c>
    </row>
    <row r="24" spans="1:30">
      <c r="A24" s="161">
        <v>2070</v>
      </c>
      <c r="B24" s="140">
        <f t="shared" si="5"/>
        <v>1</v>
      </c>
      <c r="C24" s="139">
        <f t="shared" si="5"/>
        <v>1.6920171533456563</v>
      </c>
      <c r="D24" s="137">
        <f t="shared" si="5"/>
        <v>1.6694525628522825</v>
      </c>
      <c r="E24" s="137">
        <f t="shared" si="5"/>
        <v>0.52824056952370813</v>
      </c>
      <c r="F24" s="138">
        <f t="shared" si="5"/>
        <v>1.0062431874934235</v>
      </c>
      <c r="G24" s="139"/>
      <c r="H24" s="138"/>
      <c r="J24" s="164">
        <f>SUMPRODUCT(K24:N24,TS2.2!AA20:AD20)/TS2.2!Z20</f>
        <v>34872.616100187777</v>
      </c>
      <c r="K24" s="163">
        <f>SUMPRODUCT(Q24:S24,TS2.2!AH20:AJ20)/TS2.2!AA20</f>
        <v>59005.064623555627</v>
      </c>
      <c r="L24" s="163">
        <f>SUMPRODUCT(T24:U24,TS2.2!AK20:AL20)/TS2.2!AB20</f>
        <v>58218.178321822255</v>
      </c>
      <c r="M24" s="163">
        <f>SUMPRODUCT(V24:W24,TS2.2!AM20:AN20)/TS2.2!AC20</f>
        <v>18421.130589544824</v>
      </c>
      <c r="N24" s="163">
        <f>SUMPRODUCT(X24:AD24,TS2.2!AO20:AU20)/TS2.2!AD20</f>
        <v>35090.332380887427</v>
      </c>
      <c r="P24" s="164">
        <f>SUMPRODUCT(Q24:AD24,TS2.2!AH20:AU20)/TS2.2!AG20</f>
        <v>34872.61610018777</v>
      </c>
      <c r="Q24" s="163">
        <f>Q23*((1+TS2.3!C45)^20)</f>
        <v>61299.718499386181</v>
      </c>
      <c r="R24" s="163">
        <f>R23*((1+TS2.3!D45)^20)</f>
        <v>56576.342411107027</v>
      </c>
      <c r="S24" s="163">
        <f>S23*((1+TS2.3!E45)^20)</f>
        <v>54405.789018839292</v>
      </c>
      <c r="T24" s="163">
        <f>T23*((1+TS2.3!F45)^20)</f>
        <v>81222.755730945588</v>
      </c>
      <c r="U24" s="163">
        <f>U23*((1+TS2.3!G45)^20)</f>
        <v>43255.363551328599</v>
      </c>
      <c r="V24" s="163">
        <f>V23*((1+TS2.3!H45)^20)</f>
        <v>44981.610528455742</v>
      </c>
      <c r="W24" s="163">
        <f>W23*((1+TS2.3!I45)^20)</f>
        <v>16026.277000372631</v>
      </c>
      <c r="X24" s="163">
        <f>X23*((1+TS2.3!J45)^20)</f>
        <v>54493.751031672691</v>
      </c>
      <c r="Y24" s="163">
        <f>Y23*((1+TS2.3!K45)^20)</f>
        <v>25074.800368319724</v>
      </c>
      <c r="Z24" s="163">
        <f>Z23*((1+TS2.3!L45)^20)</f>
        <v>59919.842983496761</v>
      </c>
      <c r="AA24" s="163">
        <f>AA23*((1+TS2.3!M45)^20)</f>
        <v>58896.841251067017</v>
      </c>
      <c r="AB24" s="163">
        <f>AB23*((1+TS2.3!N45)^20)</f>
        <v>55506.76270735357</v>
      </c>
      <c r="AC24" s="163">
        <f>AC23*((1+TS2.3!O45)^20)</f>
        <v>26427.72189534119</v>
      </c>
      <c r="AD24" s="163">
        <f>AD23*((1+TS2.3!P45)^20)</f>
        <v>23482.766331666866</v>
      </c>
    </row>
    <row r="25" spans="1:30">
      <c r="A25" s="161">
        <v>2100</v>
      </c>
      <c r="B25" s="140">
        <f t="shared" si="5"/>
        <v>1</v>
      </c>
      <c r="C25" s="139">
        <f t="shared" si="5"/>
        <v>1.6743845435377027</v>
      </c>
      <c r="D25" s="137">
        <f t="shared" si="5"/>
        <v>1.7563272636475327</v>
      </c>
      <c r="E25" s="137">
        <f t="shared" si="5"/>
        <v>0.55039142793357454</v>
      </c>
      <c r="F25" s="138">
        <f t="shared" si="5"/>
        <v>1.0501394873010379</v>
      </c>
      <c r="G25" s="139"/>
      <c r="H25" s="138"/>
      <c r="J25" s="164">
        <f>SUMPRODUCT(K25:N25,TS2.2!AA21:AD21)/TS2.2!Z21</f>
        <v>50485.399954652959</v>
      </c>
      <c r="K25" s="163">
        <f>SUMPRODUCT(Q25:S25,TS2.2!AH21:AJ21)/TS2.2!AA21</f>
        <v>84531.973358389951</v>
      </c>
      <c r="L25" s="163">
        <f>SUMPRODUCT(T25:U25,TS2.2!AK21:AL21)/TS2.2!AB21</f>
        <v>88668.884356506896</v>
      </c>
      <c r="M25" s="163">
        <f>SUMPRODUCT(V25:W25,TS2.2!AM21:AN21)/TS2.2!AC21</f>
        <v>27786.731370839061</v>
      </c>
      <c r="N25" s="163">
        <f>SUMPRODUCT(X25:AD25,TS2.2!AO21:AU21)/TS2.2!AD21</f>
        <v>53016.712024567096</v>
      </c>
      <c r="P25" s="164">
        <f>SUMPRODUCT(Q25:AD25,TS2.2!AH21:AU21)/TS2.2!AG21</f>
        <v>50485.399954652952</v>
      </c>
      <c r="Q25" s="163">
        <f>Q24*((1+TS2.3!C46)^30)</f>
        <v>87674.612537319103</v>
      </c>
      <c r="R25" s="163">
        <f>R24*((1+TS2.3!D46)^30)</f>
        <v>80918.950708104341</v>
      </c>
      <c r="S25" s="163">
        <f>S24*((1+TS2.3!E46)^30)</f>
        <v>77814.492281259489</v>
      </c>
      <c r="T25" s="163">
        <f>T24*((1+TS2.3!F46)^30)</f>
        <v>116169.7608447464</v>
      </c>
      <c r="U25" s="163">
        <f>U24*((1+TS2.3!G46)^30)</f>
        <v>67611.603197222561</v>
      </c>
      <c r="V25" s="163">
        <f>V24*((1+TS2.3!H46)^30)</f>
        <v>70309.865702852112</v>
      </c>
      <c r="W25" s="163">
        <f>W24*((1+TS2.3!I46)^30)</f>
        <v>25050.356587389881</v>
      </c>
      <c r="X25" s="163">
        <f>X24*((1+TS2.3!J46)^30)</f>
        <v>77940.300940450121</v>
      </c>
      <c r="Y25" s="163">
        <f>Y24*((1+TS2.3!K46)^30)</f>
        <v>39193.924488477227</v>
      </c>
      <c r="Z25" s="163">
        <f>Z24*((1+TS2.3!L46)^30)</f>
        <v>85701.030045149106</v>
      </c>
      <c r="AA25" s="163">
        <f>AA24*((1+TS2.3!M46)^30)</f>
        <v>84237.870299698028</v>
      </c>
      <c r="AB25" s="163">
        <f>AB24*((1+TS2.3!N46)^30)</f>
        <v>86761.522891343469</v>
      </c>
      <c r="AC25" s="163">
        <f>AC24*((1+TS2.3!O46)^30)</f>
        <v>41308.649367240752</v>
      </c>
      <c r="AD25" s="163">
        <f>AD24*((1+TS2.3!P46)^30)</f>
        <v>36705.447575436941</v>
      </c>
    </row>
    <row r="26" spans="1:30" ht="13" thickBot="1"/>
    <row r="27" spans="1:30" ht="49" thickTop="1">
      <c r="B27" s="64" t="s">
        <v>66</v>
      </c>
      <c r="C27" s="65" t="s">
        <v>6</v>
      </c>
      <c r="D27" s="65" t="s">
        <v>7</v>
      </c>
      <c r="E27" s="65" t="s">
        <v>8</v>
      </c>
      <c r="F27" s="66" t="s">
        <v>9</v>
      </c>
      <c r="P27" s="64" t="s">
        <v>65</v>
      </c>
    </row>
    <row r="28" spans="1:30">
      <c r="A28" s="161">
        <v>2030</v>
      </c>
      <c r="B28" s="140">
        <f t="shared" ref="B28:F31" si="6">J28/$J28</f>
        <v>1</v>
      </c>
      <c r="C28" s="139">
        <f t="shared" si="6"/>
        <v>0.18515071587618023</v>
      </c>
      <c r="D28" s="137">
        <f t="shared" si="6"/>
        <v>0.24591984851046034</v>
      </c>
      <c r="E28" s="137">
        <f t="shared" si="6"/>
        <v>7.173401986161769E-2</v>
      </c>
      <c r="F28" s="138">
        <f t="shared" si="6"/>
        <v>0.49719541575174186</v>
      </c>
      <c r="G28" s="139"/>
      <c r="H28" s="138"/>
      <c r="J28" s="164">
        <f>SUMPRODUCT(K28:N28)</f>
        <v>133005.1379540693</v>
      </c>
      <c r="K28" s="163">
        <f>SUMPRODUCT(Q28:S28)</f>
        <v>24625.996507406042</v>
      </c>
      <c r="L28" s="163">
        <f>SUMPRODUCT(T28:U28)</f>
        <v>32708.603376777603</v>
      </c>
      <c r="M28" s="163">
        <f>SUMPRODUCT(V28:W28)</f>
        <v>9540.9932076944078</v>
      </c>
      <c r="N28" s="163">
        <f>SUMPRODUCT(X28:AD28)</f>
        <v>66129.544862191266</v>
      </c>
      <c r="P28" s="164">
        <f>SUM(Q28:AD28)</f>
        <v>133005.13795406933</v>
      </c>
      <c r="Q28" s="163">
        <f>Q22*TS2.2!AH18/1000</f>
        <v>16360.504657532807</v>
      </c>
      <c r="R28" s="163">
        <f>R22*TS2.2!AI18/1000</f>
        <v>3322.8387001672577</v>
      </c>
      <c r="S28" s="163">
        <f>S22*TS2.2!AJ18/1000</f>
        <v>4942.6531497059759</v>
      </c>
      <c r="T28" s="163">
        <f>T22*TS2.2!AK18/1000</f>
        <v>20244.74054555532</v>
      </c>
      <c r="U28" s="163">
        <f>U22*TS2.2!AL18/1000</f>
        <v>12463.862831222285</v>
      </c>
      <c r="V28" s="163">
        <f>V22*TS2.2!AM18/1000</f>
        <v>2877.4064434668148</v>
      </c>
      <c r="W28" s="163">
        <f>W22*TS2.2!AN18/1000</f>
        <v>6663.5867642275934</v>
      </c>
      <c r="X28" s="163">
        <f>X22*TS2.2!AO18/1000</f>
        <v>25723.727701113145</v>
      </c>
      <c r="Y28" s="163">
        <f>Y22*TS2.2!AP18/1000</f>
        <v>11732.881536808391</v>
      </c>
      <c r="Z28" s="163">
        <f>Z22*TS2.2!AQ18/1000</f>
        <v>4470.1082036128519</v>
      </c>
      <c r="AA28" s="163">
        <f>AA22*TS2.2!AR18/1000</f>
        <v>1205.4548253409296</v>
      </c>
      <c r="AB28" s="163">
        <f>AB22*TS2.2!AS18/1000</f>
        <v>8825.8623593739121</v>
      </c>
      <c r="AC28" s="163">
        <f>AC22*TS2.2!AT18/1000</f>
        <v>996.00400479528253</v>
      </c>
      <c r="AD28" s="163">
        <f>AD22*TS2.2!AU18/1000</f>
        <v>13175.506231146763</v>
      </c>
    </row>
    <row r="29" spans="1:30">
      <c r="A29" s="161">
        <v>2050</v>
      </c>
      <c r="B29" s="140">
        <f t="shared" si="6"/>
        <v>1</v>
      </c>
      <c r="C29" s="139">
        <f t="shared" si="6"/>
        <v>0.13757035795892147</v>
      </c>
      <c r="D29" s="137">
        <f t="shared" si="6"/>
        <v>0.20797604948481246</v>
      </c>
      <c r="E29" s="137">
        <f t="shared" si="6"/>
        <v>0.11603305912701226</v>
      </c>
      <c r="F29" s="138">
        <f t="shared" si="6"/>
        <v>0.53842053342925378</v>
      </c>
      <c r="G29" s="139"/>
      <c r="H29" s="138"/>
      <c r="J29" s="164">
        <f>SUMPRODUCT(K29:N29)</f>
        <v>242584.82451553459</v>
      </c>
      <c r="K29" s="163">
        <f>SUMPRODUCT(Q29:S29)</f>
        <v>33372.481144004247</v>
      </c>
      <c r="L29" s="163">
        <f>SUMPRODUCT(T29:U29)</f>
        <v>50451.833467707373</v>
      </c>
      <c r="M29" s="163">
        <f>SUMPRODUCT(V29:W29)</f>
        <v>28147.859286326919</v>
      </c>
      <c r="N29" s="163">
        <f>SUMPRODUCT(X29:AD29)</f>
        <v>130612.65061749605</v>
      </c>
      <c r="P29" s="164">
        <f>SUM(Q29:AD29)</f>
        <v>242584.82451553456</v>
      </c>
      <c r="Q29" s="163">
        <f>Q23*TS2.2!AH19/1000</f>
        <v>20922.994745267752</v>
      </c>
      <c r="R29" s="163">
        <f>R23*TS2.2!AI19/1000</f>
        <v>5038.2413095096817</v>
      </c>
      <c r="S29" s="163">
        <f>S23*TS2.2!AJ19/1000</f>
        <v>7411.2450892268134</v>
      </c>
      <c r="T29" s="163">
        <f>T23*TS2.2!AK19/1000</f>
        <v>28591.791575639629</v>
      </c>
      <c r="U29" s="163">
        <f>U23*TS2.2!AL19/1000</f>
        <v>21860.04189206774</v>
      </c>
      <c r="V29" s="163">
        <f>V23*TS2.2!AM19/1000</f>
        <v>7007.7170762222013</v>
      </c>
      <c r="W29" s="163">
        <f>W23*TS2.2!AN19/1000</f>
        <v>21140.142210104717</v>
      </c>
      <c r="X29" s="163">
        <f>X23*TS2.2!AO19/1000</f>
        <v>52420.125814037674</v>
      </c>
      <c r="Y29" s="163">
        <f>Y23*TS2.2!AP19/1000</f>
        <v>28551.988908776024</v>
      </c>
      <c r="Z29" s="163">
        <f>Z23*TS2.2!AQ19/1000</f>
        <v>5123.7148407640425</v>
      </c>
      <c r="AA29" s="163">
        <f>AA23*TS2.2!AR19/1000</f>
        <v>1719.587361946215</v>
      </c>
      <c r="AB29" s="163">
        <f>AB23*TS2.2!AS19/1000</f>
        <v>17295.679412837588</v>
      </c>
      <c r="AC29" s="163">
        <f>AC23*TS2.2!AT19/1000</f>
        <v>1769.5190400605486</v>
      </c>
      <c r="AD29" s="163">
        <f>AD23*TS2.2!AU19/1000</f>
        <v>23732.035239073943</v>
      </c>
    </row>
    <row r="30" spans="1:30">
      <c r="A30" s="161">
        <v>2070</v>
      </c>
      <c r="B30" s="140">
        <f t="shared" si="6"/>
        <v>1</v>
      </c>
      <c r="C30" s="139">
        <f t="shared" si="6"/>
        <v>0.11824275415273904</v>
      </c>
      <c r="D30" s="137">
        <f t="shared" si="6"/>
        <v>0.20893416871724121</v>
      </c>
      <c r="E30" s="137">
        <f t="shared" si="6"/>
        <v>0.15158482339991672</v>
      </c>
      <c r="F30" s="138">
        <f t="shared" si="6"/>
        <v>0.52123825373010302</v>
      </c>
      <c r="G30" s="139"/>
      <c r="H30" s="138"/>
      <c r="J30" s="164">
        <f>SUMPRODUCT(K30:N30)</f>
        <v>342697.12922295957</v>
      </c>
      <c r="K30" s="163">
        <f>SUMPRODUCT(Q30:S30)</f>
        <v>40521.45239955985</v>
      </c>
      <c r="L30" s="163">
        <f>SUMPRODUCT(T30:U30)</f>
        <v>71601.139815984046</v>
      </c>
      <c r="M30" s="163">
        <f>SUMPRODUCT(V30:W30)</f>
        <v>51947.683812920768</v>
      </c>
      <c r="N30" s="163">
        <f>SUMPRODUCT(X30:AD30)</f>
        <v>178626.85319449491</v>
      </c>
      <c r="P30" s="164">
        <f>SUM(Q30:AD30)</f>
        <v>342697.12922295963</v>
      </c>
      <c r="Q30" s="163">
        <f>Q24*TS2.2!AH20/1000</f>
        <v>26100.359835807751</v>
      </c>
      <c r="R30" s="163">
        <f>R24*TS2.2!AI20/1000</f>
        <v>5818.1908854069652</v>
      </c>
      <c r="S30" s="163">
        <f>S24*TS2.2!AJ20/1000</f>
        <v>8602.9016783451316</v>
      </c>
      <c r="T30" s="163">
        <f>T24*TS2.2!AK20/1000</f>
        <v>39367.838956443709</v>
      </c>
      <c r="U30" s="163">
        <f>U24*TS2.2!AL20/1000</f>
        <v>32233.300859540333</v>
      </c>
      <c r="V30" s="163">
        <f>V24*TS2.2!AM20/1000</f>
        <v>10491.444896615983</v>
      </c>
      <c r="W30" s="163">
        <f>W24*TS2.2!AN20/1000</f>
        <v>41456.238916304785</v>
      </c>
      <c r="X30" s="163">
        <f>X24*TS2.2!AO20/1000</f>
        <v>61354.657550631739</v>
      </c>
      <c r="Y30" s="163">
        <f>Y24*TS2.2!AP20/1000</f>
        <v>42832.78384356029</v>
      </c>
      <c r="Z30" s="163">
        <f>Z24*TS2.2!AQ20/1000</f>
        <v>5879.6795326378569</v>
      </c>
      <c r="AA30" s="163">
        <f>AA24*TS2.2!AR20/1000</f>
        <v>2333.6528730849541</v>
      </c>
      <c r="AB30" s="163">
        <f>AB24*TS2.2!AS20/1000</f>
        <v>28042.207851566076</v>
      </c>
      <c r="AC30" s="163">
        <f>AC24*TS2.2!AT20/1000</f>
        <v>2656.6486727528713</v>
      </c>
      <c r="AD30" s="163">
        <f>AD24*TS2.2!AU20/1000</f>
        <v>35527.222870261132</v>
      </c>
    </row>
    <row r="31" spans="1:30">
      <c r="A31" s="161">
        <v>2100</v>
      </c>
      <c r="B31" s="140">
        <f t="shared" si="6"/>
        <v>1</v>
      </c>
      <c r="C31" s="139">
        <f t="shared" si="6"/>
        <v>0.11159267637942358</v>
      </c>
      <c r="D31" s="137">
        <f t="shared" si="6"/>
        <v>0.21057793138716496</v>
      </c>
      <c r="E31" s="137">
        <f t="shared" si="6"/>
        <v>0.19429047674177261</v>
      </c>
      <c r="F31" s="138">
        <f t="shared" si="6"/>
        <v>0.4835389154916388</v>
      </c>
      <c r="G31" s="139"/>
      <c r="H31" s="138"/>
      <c r="J31" s="164">
        <f>SUMPRODUCT(K31:N31)</f>
        <v>511160.94851640298</v>
      </c>
      <c r="K31" s="163">
        <f>SUMPRODUCT(Q31:S31)</f>
        <v>57041.818305590154</v>
      </c>
      <c r="L31" s="163">
        <f>SUMPRODUCT(T31:U31)</f>
        <v>107639.21514448526</v>
      </c>
      <c r="M31" s="163">
        <f>SUMPRODUCT(V31:W31)</f>
        <v>99313.704379028612</v>
      </c>
      <c r="N31" s="163">
        <f>SUMPRODUCT(X31:AD31)</f>
        <v>247166.21068729891</v>
      </c>
      <c r="P31" s="164">
        <f>SUM(Q31:AD31)</f>
        <v>511160.94851640286</v>
      </c>
      <c r="Q31" s="163">
        <f>Q25*TS2.2!AH21/1000</f>
        <v>37685.515815801082</v>
      </c>
      <c r="R31" s="163">
        <f>R25*TS2.2!AI21/1000</f>
        <v>7681.8496167502144</v>
      </c>
      <c r="S31" s="163">
        <f>S25*TS2.2!AJ21/1000</f>
        <v>11674.452873038857</v>
      </c>
      <c r="T31" s="163">
        <f>T25*TS2.2!AK21/1000</f>
        <v>61155.070158784321</v>
      </c>
      <c r="U31" s="163">
        <f>U25*TS2.2!AL21/1000</f>
        <v>46484.144985700936</v>
      </c>
      <c r="V31" s="163">
        <f>V25*TS2.2!AM21/1000</f>
        <v>15193.356469822906</v>
      </c>
      <c r="W31" s="163">
        <f>W25*TS2.2!AN21/1000</f>
        <v>84120.34790920571</v>
      </c>
      <c r="X31" s="163">
        <f>X25*TS2.2!AO21/1000</f>
        <v>73345.09675554336</v>
      </c>
      <c r="Y31" s="163">
        <f>Y25*TS2.2!AP21/1000</f>
        <v>60785.831503607398</v>
      </c>
      <c r="Z31" s="163">
        <f>Z25*TS2.2!AQ21/1000</f>
        <v>7827.0569911061284</v>
      </c>
      <c r="AA31" s="163">
        <f>AA25*TS2.2!AR21/1000</f>
        <v>3557.523040287319</v>
      </c>
      <c r="AB31" s="163">
        <f>AB25*TS2.2!AS21/1000</f>
        <v>45845.334859572489</v>
      </c>
      <c r="AC31" s="163">
        <f>AC25*TS2.2!AT21/1000</f>
        <v>4025.9709161020755</v>
      </c>
      <c r="AD31" s="163">
        <f>AD25*TS2.2!AU21/1000</f>
        <v>51779.396621080123</v>
      </c>
    </row>
    <row r="33" spans="1:30">
      <c r="A33" s="161">
        <v>2030</v>
      </c>
      <c r="B33" s="175">
        <f t="shared" ref="B33:F34" si="7">B28</f>
        <v>1</v>
      </c>
      <c r="C33" s="174">
        <f t="shared" si="7"/>
        <v>0.18515071587618023</v>
      </c>
      <c r="D33" s="174">
        <f t="shared" si="7"/>
        <v>0.24591984851046034</v>
      </c>
      <c r="E33" s="174">
        <f t="shared" si="7"/>
        <v>7.173401986161769E-2</v>
      </c>
      <c r="F33" s="174">
        <f t="shared" si="7"/>
        <v>0.49719541575174186</v>
      </c>
      <c r="J33" s="175">
        <f>J28/$J28</f>
        <v>1</v>
      </c>
      <c r="K33" s="174">
        <f t="shared" ref="K33:AD33" si="8">K28/$J28</f>
        <v>0.18515071587618023</v>
      </c>
      <c r="L33" s="174">
        <f t="shared" si="8"/>
        <v>0.24591984851046034</v>
      </c>
      <c r="M33" s="174">
        <f t="shared" si="8"/>
        <v>7.173401986161769E-2</v>
      </c>
      <c r="N33" s="174">
        <f t="shared" si="8"/>
        <v>0.49719541575174186</v>
      </c>
      <c r="O33" s="174"/>
      <c r="P33" s="175">
        <f t="shared" si="8"/>
        <v>1.0000000000000002</v>
      </c>
      <c r="Q33" s="174">
        <f t="shared" si="8"/>
        <v>0.12300656131932726</v>
      </c>
      <c r="R33" s="174">
        <f t="shared" si="8"/>
        <v>2.4982784509533267E-2</v>
      </c>
      <c r="S33" s="174">
        <f t="shared" si="8"/>
        <v>3.7161370047319703E-2</v>
      </c>
      <c r="T33" s="174">
        <f t="shared" si="8"/>
        <v>0.15221021425913969</v>
      </c>
      <c r="U33" s="174">
        <f t="shared" si="8"/>
        <v>9.3709634251320673E-2</v>
      </c>
      <c r="V33" s="174">
        <f t="shared" si="8"/>
        <v>2.1633799172934735E-2</v>
      </c>
      <c r="W33" s="174">
        <f t="shared" si="8"/>
        <v>5.0100220688682959E-2</v>
      </c>
      <c r="X33" s="174">
        <f t="shared" si="8"/>
        <v>0.19340401503885005</v>
      </c>
      <c r="Y33" s="174">
        <f t="shared" si="8"/>
        <v>8.8213746606240956E-2</v>
      </c>
      <c r="Z33" s="174">
        <f t="shared" si="8"/>
        <v>3.3608537778115878E-2</v>
      </c>
      <c r="AA33" s="174">
        <f t="shared" si="8"/>
        <v>9.0632199919766232E-3</v>
      </c>
      <c r="AB33" s="174">
        <f t="shared" si="8"/>
        <v>6.6357303899205383E-2</v>
      </c>
      <c r="AC33" s="174">
        <f t="shared" si="8"/>
        <v>7.4884626272049195E-3</v>
      </c>
      <c r="AD33" s="174">
        <f t="shared" si="8"/>
        <v>9.9060129810148112E-2</v>
      </c>
    </row>
    <row r="34" spans="1:30">
      <c r="A34" s="161">
        <v>2050</v>
      </c>
      <c r="B34" s="175">
        <f t="shared" si="7"/>
        <v>1</v>
      </c>
      <c r="C34" s="174">
        <f t="shared" si="7"/>
        <v>0.13757035795892147</v>
      </c>
      <c r="D34" s="174">
        <f t="shared" si="7"/>
        <v>0.20797604948481246</v>
      </c>
      <c r="E34" s="174">
        <f t="shared" si="7"/>
        <v>0.11603305912701226</v>
      </c>
      <c r="F34" s="174">
        <f t="shared" si="7"/>
        <v>0.53842053342925378</v>
      </c>
      <c r="J34" s="175">
        <f t="shared" ref="J34:AD34" si="9">J29/$J29</f>
        <v>1</v>
      </c>
      <c r="K34" s="174">
        <f t="shared" si="9"/>
        <v>0.13757035795892147</v>
      </c>
      <c r="L34" s="174">
        <f t="shared" si="9"/>
        <v>0.20797604948481246</v>
      </c>
      <c r="M34" s="174">
        <f t="shared" si="9"/>
        <v>0.11603305912701226</v>
      </c>
      <c r="N34" s="174">
        <f t="shared" si="9"/>
        <v>0.53842053342925378</v>
      </c>
      <c r="O34" s="174"/>
      <c r="P34" s="175">
        <f t="shared" si="9"/>
        <v>0.99999999999999989</v>
      </c>
      <c r="Q34" s="174">
        <f t="shared" si="9"/>
        <v>8.6250221080617889E-2</v>
      </c>
      <c r="R34" s="174">
        <f t="shared" si="9"/>
        <v>2.0768988000677859E-2</v>
      </c>
      <c r="S34" s="174">
        <f t="shared" si="9"/>
        <v>3.0551148877625747E-2</v>
      </c>
      <c r="T34" s="174">
        <f t="shared" si="9"/>
        <v>0.1178630676207393</v>
      </c>
      <c r="U34" s="174">
        <f t="shared" si="9"/>
        <v>9.0112981864073169E-2</v>
      </c>
      <c r="V34" s="174">
        <f t="shared" si="9"/>
        <v>2.8887697695918497E-2</v>
      </c>
      <c r="W34" s="174">
        <f t="shared" si="9"/>
        <v>8.7145361431093762E-2</v>
      </c>
      <c r="X34" s="174">
        <f t="shared" si="9"/>
        <v>0.21608988080241931</v>
      </c>
      <c r="Y34" s="174">
        <f t="shared" si="9"/>
        <v>0.11769899030492577</v>
      </c>
      <c r="Z34" s="174">
        <f t="shared" si="9"/>
        <v>2.112133292342832E-2</v>
      </c>
      <c r="AA34" s="174">
        <f t="shared" si="9"/>
        <v>7.0886023698324809E-3</v>
      </c>
      <c r="AB34" s="174">
        <f t="shared" si="9"/>
        <v>7.1297450066708568E-2</v>
      </c>
      <c r="AC34" s="174">
        <f t="shared" si="9"/>
        <v>7.2944341988187E-3</v>
      </c>
      <c r="AD34" s="174">
        <f t="shared" si="9"/>
        <v>9.7829842763120553E-2</v>
      </c>
    </row>
    <row r="35" spans="1:30">
      <c r="A35" s="161">
        <v>2070</v>
      </c>
      <c r="B35" s="175">
        <f t="shared" ref="B35:F36" si="10">B30</f>
        <v>1</v>
      </c>
      <c r="C35" s="174">
        <f t="shared" si="10"/>
        <v>0.11824275415273904</v>
      </c>
      <c r="D35" s="174">
        <f t="shared" si="10"/>
        <v>0.20893416871724121</v>
      </c>
      <c r="E35" s="174">
        <f t="shared" si="10"/>
        <v>0.15158482339991672</v>
      </c>
      <c r="F35" s="174">
        <f t="shared" si="10"/>
        <v>0.52123825373010302</v>
      </c>
      <c r="J35" s="175">
        <f t="shared" ref="J35:AD35" si="11">J30/$J30</f>
        <v>1</v>
      </c>
      <c r="K35" s="174">
        <f t="shared" si="11"/>
        <v>0.11824275415273904</v>
      </c>
      <c r="L35" s="174">
        <f t="shared" si="11"/>
        <v>0.20893416871724121</v>
      </c>
      <c r="M35" s="174">
        <f t="shared" si="11"/>
        <v>0.15158482339991672</v>
      </c>
      <c r="N35" s="174">
        <f t="shared" si="11"/>
        <v>0.52123825373010302</v>
      </c>
      <c r="O35" s="174"/>
      <c r="P35" s="175">
        <f t="shared" si="11"/>
        <v>1.0000000000000002</v>
      </c>
      <c r="Q35" s="174">
        <f t="shared" si="11"/>
        <v>7.6161594627268653E-2</v>
      </c>
      <c r="R35" s="174">
        <f t="shared" si="11"/>
        <v>1.6977646992839664E-2</v>
      </c>
      <c r="S35" s="174">
        <f t="shared" si="11"/>
        <v>2.5103512532630712E-2</v>
      </c>
      <c r="T35" s="174">
        <f t="shared" si="11"/>
        <v>0.11487647721388089</v>
      </c>
      <c r="U35" s="174">
        <f t="shared" si="11"/>
        <v>9.4057691503360311E-2</v>
      </c>
      <c r="V35" s="174">
        <f t="shared" si="11"/>
        <v>3.0614335522461365E-2</v>
      </c>
      <c r="W35" s="174">
        <f t="shared" si="11"/>
        <v>0.12097048787745536</v>
      </c>
      <c r="X35" s="174">
        <f t="shared" si="11"/>
        <v>0.17903464114143264</v>
      </c>
      <c r="Y35" s="174">
        <f t="shared" si="11"/>
        <v>0.1249872852471232</v>
      </c>
      <c r="Z35" s="174">
        <f t="shared" si="11"/>
        <v>1.7157072619690735E-2</v>
      </c>
      <c r="AA35" s="174">
        <f t="shared" si="11"/>
        <v>6.8096656612687111E-3</v>
      </c>
      <c r="AB35" s="174">
        <f t="shared" si="11"/>
        <v>8.1827962536919152E-2</v>
      </c>
      <c r="AC35" s="174">
        <f t="shared" si="11"/>
        <v>7.7521766195609108E-3</v>
      </c>
      <c r="AD35" s="174">
        <f t="shared" si="11"/>
        <v>0.1036694499041077</v>
      </c>
    </row>
    <row r="36" spans="1:30">
      <c r="A36" s="161">
        <v>2100</v>
      </c>
      <c r="B36" s="175">
        <f t="shared" si="10"/>
        <v>1</v>
      </c>
      <c r="C36" s="174">
        <f t="shared" si="10"/>
        <v>0.11159267637942358</v>
      </c>
      <c r="D36" s="174">
        <f t="shared" si="10"/>
        <v>0.21057793138716496</v>
      </c>
      <c r="E36" s="174">
        <f t="shared" si="10"/>
        <v>0.19429047674177261</v>
      </c>
      <c r="F36" s="174">
        <f t="shared" si="10"/>
        <v>0.4835389154916388</v>
      </c>
      <c r="J36" s="175">
        <f t="shared" ref="J36:AD36" si="12">J31/$J31</f>
        <v>1</v>
      </c>
      <c r="K36" s="174">
        <f t="shared" si="12"/>
        <v>0.11159267637942358</v>
      </c>
      <c r="L36" s="174">
        <f t="shared" si="12"/>
        <v>0.21057793138716496</v>
      </c>
      <c r="M36" s="174">
        <f t="shared" si="12"/>
        <v>0.19429047674177261</v>
      </c>
      <c r="N36" s="174">
        <f t="shared" si="12"/>
        <v>0.4835389154916388</v>
      </c>
      <c r="O36" s="174"/>
      <c r="P36" s="175">
        <f t="shared" si="12"/>
        <v>0.99999999999999978</v>
      </c>
      <c r="Q36" s="174">
        <f t="shared" si="12"/>
        <v>7.3725342135739794E-2</v>
      </c>
      <c r="R36" s="174">
        <f t="shared" si="12"/>
        <v>1.5028240398735598E-2</v>
      </c>
      <c r="S36" s="174">
        <f t="shared" si="12"/>
        <v>2.2839093844948189E-2</v>
      </c>
      <c r="T36" s="174">
        <f t="shared" si="12"/>
        <v>0.11963955841360968</v>
      </c>
      <c r="U36" s="174">
        <f t="shared" si="12"/>
        <v>9.0938372973555268E-2</v>
      </c>
      <c r="V36" s="174">
        <f t="shared" si="12"/>
        <v>2.9723233971453038E-2</v>
      </c>
      <c r="W36" s="174">
        <f t="shared" si="12"/>
        <v>0.16456724277031956</v>
      </c>
      <c r="X36" s="174">
        <f t="shared" si="12"/>
        <v>0.14348728510740241</v>
      </c>
      <c r="Y36" s="174">
        <f t="shared" si="12"/>
        <v>0.11891720539300314</v>
      </c>
      <c r="Z36" s="174">
        <f t="shared" si="12"/>
        <v>1.5312314083897513E-2</v>
      </c>
      <c r="AA36" s="174">
        <f t="shared" si="12"/>
        <v>6.9596925403098541E-3</v>
      </c>
      <c r="AB36" s="174">
        <f t="shared" si="12"/>
        <v>8.9688648932658696E-2</v>
      </c>
      <c r="AC36" s="174">
        <f t="shared" si="12"/>
        <v>7.8761316328782183E-3</v>
      </c>
      <c r="AD36" s="174">
        <f t="shared" si="12"/>
        <v>0.10129763780148894</v>
      </c>
    </row>
    <row r="38" spans="1:30">
      <c r="A38" s="3" t="s">
        <v>139</v>
      </c>
    </row>
    <row r="39" spans="1:30">
      <c r="A39" s="3" t="s">
        <v>138</v>
      </c>
    </row>
  </sheetData>
  <mergeCells count="1">
    <mergeCell ref="A4:F4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9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/>
    </sheetView>
  </sheetViews>
  <sheetFormatPr baseColWidth="10" defaultColWidth="11.5" defaultRowHeight="12" x14ac:dyDescent="0"/>
  <cols>
    <col min="1" max="5" width="20.83203125" style="1" customWidth="1"/>
    <col min="6" max="6" width="10.83203125" style="1" customWidth="1"/>
    <col min="7" max="16384" width="11.5" style="1"/>
  </cols>
  <sheetData>
    <row r="1" spans="1:6">
      <c r="A1" s="2"/>
      <c r="B1" s="2"/>
      <c r="C1" s="2"/>
      <c r="D1" s="2"/>
      <c r="E1" s="2"/>
    </row>
    <row r="3" spans="1:6" ht="13" thickBot="1"/>
    <row r="4" spans="1:6" ht="57" customHeight="1" thickTop="1" thickBot="1">
      <c r="A4" s="256" t="s">
        <v>76</v>
      </c>
      <c r="B4" s="257"/>
      <c r="C4" s="257"/>
      <c r="D4" s="257"/>
      <c r="E4" s="258"/>
      <c r="F4" s="4"/>
    </row>
    <row r="5" spans="1:6" ht="28" customHeight="1" thickTop="1" thickBot="1">
      <c r="A5" s="5"/>
      <c r="B5" s="6"/>
      <c r="C5" s="6"/>
      <c r="D5" s="6"/>
      <c r="E5" s="7"/>
      <c r="F5" s="4"/>
    </row>
    <row r="6" spans="1:6" ht="100" customHeight="1" thickTop="1" thickBot="1">
      <c r="A6" s="9" t="s">
        <v>77</v>
      </c>
      <c r="B6" s="22" t="s">
        <v>78</v>
      </c>
      <c r="C6" s="23" t="s">
        <v>79</v>
      </c>
      <c r="D6" s="9" t="s">
        <v>80</v>
      </c>
      <c r="E6" s="9" t="s">
        <v>81</v>
      </c>
      <c r="F6" s="10"/>
    </row>
    <row r="7" spans="1:6" ht="28" customHeight="1" thickTop="1">
      <c r="A7" s="13">
        <v>1E-3</v>
      </c>
      <c r="B7" s="24">
        <f>(1+A7)^30-1</f>
        <v>3.0439087548097543E-2</v>
      </c>
      <c r="C7" s="25">
        <f>1+B7</f>
        <v>1.0304390875480975</v>
      </c>
      <c r="D7" s="26">
        <f>(1+$A7)^100</f>
        <v>1.105115697720753</v>
      </c>
      <c r="E7" s="26">
        <f>(1+$A7)^1000</f>
        <v>2.7169239322355208</v>
      </c>
      <c r="F7" s="10"/>
    </row>
    <row r="8" spans="1:6" ht="28" customHeight="1">
      <c r="A8" s="13">
        <v>2E-3</v>
      </c>
      <c r="B8" s="24">
        <f t="shared" ref="B8:B15" si="0">(1+A8)^30-1</f>
        <v>6.1772923078454722E-2</v>
      </c>
      <c r="C8" s="25">
        <f t="shared" ref="C8:C15" si="1">1+B8</f>
        <v>1.0617729230784547</v>
      </c>
      <c r="D8" s="27">
        <f t="shared" ref="D8:D15" si="2">(1+$A8)^100</f>
        <v>1.2211588271895892</v>
      </c>
      <c r="E8" s="27">
        <f t="shared" ref="E8:E13" si="3">(1+$A8)^1000</f>
        <v>7.3743123903544516</v>
      </c>
      <c r="F8" s="10"/>
    </row>
    <row r="9" spans="1:6" ht="28" customHeight="1">
      <c r="A9" s="13">
        <v>5.0000000000000001E-3</v>
      </c>
      <c r="B9" s="24">
        <f t="shared" si="0"/>
        <v>0.16140008289534058</v>
      </c>
      <c r="C9" s="25">
        <f t="shared" si="1"/>
        <v>1.1614000828953406</v>
      </c>
      <c r="D9" s="27">
        <f t="shared" si="2"/>
        <v>1.6466684921165196</v>
      </c>
      <c r="E9" s="28">
        <f t="shared" si="3"/>
        <v>146.57562561108551</v>
      </c>
      <c r="F9" s="10"/>
    </row>
    <row r="10" spans="1:6" ht="28" customHeight="1">
      <c r="A10" s="13">
        <v>0.01</v>
      </c>
      <c r="B10" s="24">
        <f t="shared" si="0"/>
        <v>0.34784891533290629</v>
      </c>
      <c r="C10" s="25">
        <f t="shared" si="1"/>
        <v>1.3478489153329063</v>
      </c>
      <c r="D10" s="27">
        <f>(1+$A10)^100</f>
        <v>2.7048138294215289</v>
      </c>
      <c r="E10" s="29">
        <f t="shared" si="3"/>
        <v>20959.155637813903</v>
      </c>
      <c r="F10" s="10"/>
    </row>
    <row r="11" spans="1:6" ht="28" customHeight="1">
      <c r="A11" s="13">
        <v>1.4999999999999999E-2</v>
      </c>
      <c r="B11" s="24">
        <f t="shared" si="0"/>
        <v>0.56308022049084938</v>
      </c>
      <c r="C11" s="25">
        <f t="shared" si="1"/>
        <v>1.5630802204908494</v>
      </c>
      <c r="D11" s="27">
        <f t="shared" si="2"/>
        <v>4.4320456495251586</v>
      </c>
      <c r="E11" s="29">
        <f t="shared" si="3"/>
        <v>2924436.860391154</v>
      </c>
      <c r="F11" s="10"/>
    </row>
    <row r="12" spans="1:6" ht="28" customHeight="1">
      <c r="A12" s="13">
        <v>0.02</v>
      </c>
      <c r="B12" s="24">
        <f t="shared" si="0"/>
        <v>0.81136158410335346</v>
      </c>
      <c r="C12" s="25">
        <f t="shared" si="1"/>
        <v>1.8113615841033535</v>
      </c>
      <c r="D12" s="27">
        <f t="shared" si="2"/>
        <v>7.244646118252331</v>
      </c>
      <c r="E12" s="29">
        <f t="shared" si="3"/>
        <v>398264651.65812737</v>
      </c>
      <c r="F12" s="10"/>
    </row>
    <row r="13" spans="1:6" ht="28" customHeight="1">
      <c r="A13" s="13">
        <v>2.5000000000000001E-2</v>
      </c>
      <c r="B13" s="24">
        <f t="shared" si="0"/>
        <v>1.097567579081788</v>
      </c>
      <c r="C13" s="25">
        <f t="shared" si="1"/>
        <v>2.097567579081788</v>
      </c>
      <c r="D13" s="30">
        <f t="shared" si="2"/>
        <v>11.813716351062128</v>
      </c>
      <c r="E13" s="29">
        <f t="shared" si="3"/>
        <v>52949930178.991302</v>
      </c>
      <c r="F13" s="10"/>
    </row>
    <row r="14" spans="1:6" ht="28" customHeight="1">
      <c r="A14" s="13">
        <v>3.5000000000000003E-2</v>
      </c>
      <c r="B14" s="24">
        <f t="shared" si="0"/>
        <v>1.8067937047026272</v>
      </c>
      <c r="C14" s="25">
        <f t="shared" si="1"/>
        <v>2.8067937047026272</v>
      </c>
      <c r="D14" s="30">
        <f t="shared" si="2"/>
        <v>31.191407983109396</v>
      </c>
      <c r="E14" s="28" t="s">
        <v>5</v>
      </c>
      <c r="F14" s="10"/>
    </row>
    <row r="15" spans="1:6" ht="28" customHeight="1" thickBot="1">
      <c r="A15" s="31">
        <v>0.05</v>
      </c>
      <c r="B15" s="32">
        <f t="shared" si="0"/>
        <v>3.3219423751506625</v>
      </c>
      <c r="C15" s="33">
        <f t="shared" si="1"/>
        <v>4.3219423751506625</v>
      </c>
      <c r="D15" s="34">
        <f t="shared" si="2"/>
        <v>131.50125784630362</v>
      </c>
      <c r="E15" s="35" t="s">
        <v>5</v>
      </c>
      <c r="F15" s="10"/>
    </row>
    <row r="16" spans="1:6" ht="22.75" customHeight="1" thickTop="1">
      <c r="A16" s="259" t="s">
        <v>152</v>
      </c>
      <c r="B16" s="260"/>
      <c r="C16" s="260"/>
      <c r="D16" s="260"/>
      <c r="E16" s="261"/>
    </row>
    <row r="17" spans="1:5" ht="22.75" customHeight="1" thickBot="1">
      <c r="A17" s="262"/>
      <c r="B17" s="263"/>
      <c r="C17" s="263"/>
      <c r="D17" s="263"/>
      <c r="E17" s="264"/>
    </row>
    <row r="18" spans="1:5" ht="28" customHeight="1" thickTop="1"/>
    <row r="19" spans="1:5" ht="28" customHeight="1"/>
  </sheetData>
  <mergeCells count="2">
    <mergeCell ref="A4:E4"/>
    <mergeCell ref="A16:E17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8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3" sqref="A3"/>
    </sheetView>
  </sheetViews>
  <sheetFormatPr baseColWidth="10" defaultColWidth="11.5" defaultRowHeight="12" x14ac:dyDescent="0"/>
  <cols>
    <col min="1" max="2" width="28.33203125" style="1" customWidth="1"/>
    <col min="3" max="6" width="18.83203125" style="1" customWidth="1"/>
    <col min="7" max="7" width="10.83203125" style="1" customWidth="1"/>
    <col min="8" max="16384" width="11.5" style="1"/>
  </cols>
  <sheetData>
    <row r="1" spans="1:7">
      <c r="B1" s="2"/>
      <c r="C1" s="2"/>
      <c r="D1" s="2"/>
      <c r="E1" s="2"/>
      <c r="F1" s="3"/>
    </row>
    <row r="3" spans="1:7" ht="13" thickBot="1"/>
    <row r="4" spans="1:7" ht="57" customHeight="1" thickTop="1">
      <c r="A4" s="243" t="s">
        <v>82</v>
      </c>
      <c r="B4" s="245"/>
      <c r="C4" s="245"/>
      <c r="D4" s="245"/>
      <c r="E4" s="245"/>
      <c r="F4" s="246"/>
      <c r="G4" s="4"/>
    </row>
    <row r="5" spans="1:7" ht="28" customHeight="1" thickBot="1">
      <c r="A5" s="5"/>
      <c r="B5" s="6"/>
      <c r="C5" s="6"/>
      <c r="D5" s="6"/>
      <c r="E5" s="6"/>
      <c r="F5" s="7"/>
      <c r="G5" s="4"/>
    </row>
    <row r="6" spans="1:7" ht="85" customHeight="1" thickTop="1" thickBot="1">
      <c r="A6" s="38" t="s">
        <v>70</v>
      </c>
      <c r="B6" s="9" t="s">
        <v>72</v>
      </c>
      <c r="C6" s="8" t="s">
        <v>6</v>
      </c>
      <c r="D6" s="8" t="s">
        <v>83</v>
      </c>
      <c r="E6" s="8" t="s">
        <v>84</v>
      </c>
      <c r="F6" s="8" t="s">
        <v>85</v>
      </c>
      <c r="G6" s="10"/>
    </row>
    <row r="7" spans="1:7" ht="28" customHeight="1" thickTop="1" thickBot="1">
      <c r="A7" s="5" t="s">
        <v>0</v>
      </c>
      <c r="B7" s="39">
        <f>(TS2.2!Z$11/TS2.2!Z$8)^(1/1700)-1</f>
        <v>5.7839735353626409E-4</v>
      </c>
      <c r="C7" s="13">
        <f>(TS2.2!AA$11/TS2.2!AA$8)^(1/1700)-1</f>
        <v>7.7190695529338882E-4</v>
      </c>
      <c r="D7" s="13">
        <f>(TS2.2!AB$11/TS2.2!AB$8)^(1/1700)-1</f>
        <v>4.3183978954330904E-4</v>
      </c>
      <c r="E7" s="13">
        <f>(TS2.2!AC$11/TS2.2!AC$8)^(1/1700)-1</f>
        <v>7.5261903821122189E-4</v>
      </c>
      <c r="F7" s="13">
        <f>(TS2.2!AD$11/TS2.2!AD$8)^(1/1700)-1</f>
        <v>5.1473726842021783E-4</v>
      </c>
      <c r="G7" s="10"/>
    </row>
    <row r="8" spans="1:7" ht="28" customHeight="1" thickTop="1" thickBot="1">
      <c r="A8" s="14" t="s">
        <v>1</v>
      </c>
      <c r="B8" s="40">
        <f>(TS2.2!Z$17/TS2.2!Z$11)^(1/312)-1</f>
        <v>7.9104707319013201E-3</v>
      </c>
      <c r="C8" s="16">
        <f>(TS2.2!AA$17/TS2.2!AA$11)^(1/312)-1</f>
        <v>5.7666843565502557E-3</v>
      </c>
      <c r="D8" s="16">
        <f>(TS2.2!AB$17/TS2.2!AB$11)^(1/312)-1</f>
        <v>1.380085076890003E-2</v>
      </c>
      <c r="E8" s="16">
        <f>(TS2.2!AC$17/TS2.2!AC$11)^(1/312)-1</f>
        <v>9.219546093425901E-3</v>
      </c>
      <c r="F8" s="16">
        <f>(TS2.2!AD$17/TS2.2!AD$11)^(1/312)-1</f>
        <v>7.5832629384788852E-3</v>
      </c>
      <c r="G8" s="10"/>
    </row>
    <row r="9" spans="1:7" ht="28" customHeight="1" thickTop="1">
      <c r="A9" s="5" t="s">
        <v>86</v>
      </c>
      <c r="B9" s="39">
        <f>(TS2.2!Z$12/TS2.2!Z$11)^(1/120)-1.0001</f>
        <v>4.4594248070473075E-3</v>
      </c>
      <c r="C9" s="13">
        <f>(TS2.2!AA$12/TS2.2!AA$11)^(1/120)-1</f>
        <v>4.7195823888310784E-3</v>
      </c>
      <c r="D9" s="13">
        <f>(TS2.2!AB$12/TS2.2!AB$11)^(1/120)-1</f>
        <v>7.4760497366692658E-3</v>
      </c>
      <c r="E9" s="13">
        <f>(TS2.2!AC$12/TS2.2!AC$11)^(1/120)-1</f>
        <v>1.6268613000480769E-3</v>
      </c>
      <c r="F9" s="13">
        <f>(TS2.2!AD$12/TS2.2!AD$11)^(1/120)-1</f>
        <v>4.7667720382003065E-3</v>
      </c>
      <c r="G9" s="10"/>
    </row>
    <row r="10" spans="1:7" ht="28" customHeight="1">
      <c r="A10" s="5" t="s">
        <v>2</v>
      </c>
      <c r="B10" s="39">
        <f>(TS2.2!Z$13/TS2.2!Z$12)^(1/93)-1</f>
        <v>5.8556427303122494E-3</v>
      </c>
      <c r="C10" s="13">
        <f>(TS2.2!AA$13/TS2.2!AA$12)^(1/93)-1</f>
        <v>8.4760616678696277E-3</v>
      </c>
      <c r="D10" s="13">
        <f>(TS2.2!AB$13/TS2.2!AB$12)^(1/93)-1</f>
        <v>1.8990001709900062E-2</v>
      </c>
      <c r="E10" s="13">
        <f>(TS2.2!AC$13/TS2.2!AC$12)^(1/93)-1</f>
        <v>5.592327253794549E-3</v>
      </c>
      <c r="F10" s="13">
        <f>(TS2.2!AD$13/TS2.2!AD$12)^(1/93)-1</f>
        <v>3.6378367307170478E-3</v>
      </c>
      <c r="G10" s="10"/>
    </row>
    <row r="11" spans="1:7" ht="28" customHeight="1" thickBot="1">
      <c r="A11" s="5" t="s">
        <v>3</v>
      </c>
      <c r="B11" s="39">
        <f>(TS2.2!Z$17/TS2.2!Z$13)^(1/99)-1</f>
        <v>1.3929274847269468E-2</v>
      </c>
      <c r="C11" s="13">
        <f>(TS2.2!AA$17/TS2.2!AA$13)^(1/99)-1</f>
        <v>4.4956132443334518E-3</v>
      </c>
      <c r="D11" s="13">
        <f>(TS2.2!AB$17/TS2.2!AB$13)^(1/99)-1</f>
        <v>1.6633015233644688E-2</v>
      </c>
      <c r="E11" s="13">
        <f>(TS2.2!AC$17/TS2.2!AC$13)^(1/99)-1</f>
        <v>2.1950752319261913E-2</v>
      </c>
      <c r="F11" s="13">
        <f>(TS2.2!AD$17/TS2.2!AD$13)^(1/99)-1</f>
        <v>1.4740859650483218E-2</v>
      </c>
      <c r="G11" s="10"/>
    </row>
    <row r="12" spans="1:7" ht="28" customHeight="1" thickTop="1">
      <c r="A12" s="41" t="s">
        <v>87</v>
      </c>
      <c r="B12" s="42">
        <f>(TS2.2!Z$19/TS2.2!Z$17)^(1/38)-1</f>
        <v>7.3251898277923999E-3</v>
      </c>
      <c r="C12" s="43">
        <f>(TS2.2!AA$19/TS2.2!AA$17)^(1/38)-1</f>
        <v>-7.5414475660240399E-4</v>
      </c>
      <c r="D12" s="43">
        <f>(TS2.2!AB$19/TS2.2!AB$17)^(1/38)-1</f>
        <v>6.0136928869036765E-3</v>
      </c>
      <c r="E12" s="43">
        <f>(TS2.2!AC$19/TS2.2!AC$17)^(1/38)-1</f>
        <v>1.9044413029061458E-2</v>
      </c>
      <c r="F12" s="43">
        <f>(TS2.2!AD$19/TS2.2!AD$17)^(1/38)-1</f>
        <v>5.0740462919229845E-3</v>
      </c>
      <c r="G12" s="10"/>
    </row>
    <row r="13" spans="1:7" ht="28" customHeight="1" thickBot="1">
      <c r="A13" s="44" t="s">
        <v>88</v>
      </c>
      <c r="B13" s="45">
        <f>(TS2.2!Z$21/TS2.2!Z$19)^(1/50)-1</f>
        <v>1.6879673616290169E-3</v>
      </c>
      <c r="C13" s="46">
        <f>(TS2.2!AA$21/TS2.2!AA$19)^(1/50)-1</f>
        <v>-1.2753631388616737E-3</v>
      </c>
      <c r="D13" s="46">
        <f>(TS2.2!AB$21/TS2.2!AB$19)^(1/50)-1</f>
        <v>2.6751727435403438E-4</v>
      </c>
      <c r="E13" s="46">
        <f>(TS2.2!AC$21/TS2.2!AC$19)^(1/50)-1</f>
        <v>9.8298705331527625E-3</v>
      </c>
      <c r="F13" s="46">
        <f>(TS2.2!AD$21/TS2.2!AD$19)^(1/50)-1</f>
        <v>-2.1719369496941976E-3</v>
      </c>
      <c r="G13" s="10"/>
    </row>
    <row r="14" spans="1:7" ht="28" customHeight="1" thickTop="1" thickBot="1"/>
    <row r="15" spans="1:7" ht="22.75" customHeight="1" thickTop="1">
      <c r="A15" s="247" t="s">
        <v>151</v>
      </c>
      <c r="B15" s="248"/>
      <c r="C15" s="248"/>
      <c r="D15" s="248"/>
      <c r="E15" s="248"/>
      <c r="F15" s="249"/>
    </row>
    <row r="16" spans="1:7" ht="22.75" customHeight="1" thickBot="1">
      <c r="A16" s="250"/>
      <c r="B16" s="251"/>
      <c r="C16" s="251"/>
      <c r="D16" s="251"/>
      <c r="E16" s="251"/>
      <c r="F16" s="252"/>
    </row>
    <row r="17" spans="1:6" ht="30" customHeight="1" thickTop="1" thickBot="1">
      <c r="A17" s="253" t="s">
        <v>89</v>
      </c>
      <c r="B17" s="254"/>
      <c r="C17" s="254"/>
      <c r="D17" s="254"/>
      <c r="E17" s="265"/>
      <c r="F17" s="266"/>
    </row>
    <row r="18" spans="1:6" ht="13" thickTop="1"/>
  </sheetData>
  <mergeCells count="3">
    <mergeCell ref="A4:F4"/>
    <mergeCell ref="A15:F16"/>
    <mergeCell ref="A17:F17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0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20" sqref="A20:G20"/>
    </sheetView>
  </sheetViews>
  <sheetFormatPr baseColWidth="10" defaultColWidth="11.5" defaultRowHeight="12" x14ac:dyDescent="0"/>
  <cols>
    <col min="1" max="1" width="18.83203125" style="1" customWidth="1"/>
    <col min="2" max="2" width="15.83203125" style="1" customWidth="1"/>
    <col min="3" max="3" width="16.83203125" style="1" customWidth="1"/>
    <col min="4" max="5" width="15.83203125" style="1" customWidth="1"/>
    <col min="6" max="6" width="16.83203125" style="1" customWidth="1"/>
    <col min="7" max="7" width="15.83203125" style="1" customWidth="1"/>
    <col min="8" max="8" width="10.83203125" style="1" customWidth="1"/>
    <col min="9" max="16384" width="11.5" style="1"/>
  </cols>
  <sheetData>
    <row r="1" spans="1:8">
      <c r="B1" s="2"/>
      <c r="C1" s="2"/>
      <c r="D1" s="2"/>
      <c r="E1" s="2"/>
      <c r="F1" s="2"/>
      <c r="G1" s="3"/>
    </row>
    <row r="3" spans="1:8" ht="13" thickBot="1"/>
    <row r="4" spans="1:8" ht="57" customHeight="1" thickTop="1">
      <c r="A4" s="268" t="s">
        <v>90</v>
      </c>
      <c r="B4" s="269"/>
      <c r="C4" s="269"/>
      <c r="D4" s="269"/>
      <c r="E4" s="269"/>
      <c r="F4" s="269"/>
      <c r="G4" s="270"/>
      <c r="H4" s="4"/>
    </row>
    <row r="5" spans="1:8" ht="28" customHeight="1" thickBot="1">
      <c r="A5" s="5"/>
      <c r="B5" s="6"/>
      <c r="C5" s="6"/>
      <c r="D5" s="6"/>
      <c r="E5" s="6"/>
      <c r="F5" s="6"/>
      <c r="G5" s="7"/>
      <c r="H5" s="4"/>
    </row>
    <row r="6" spans="1:8" ht="40" customHeight="1" thickTop="1" thickBot="1">
      <c r="A6" s="274" t="s">
        <v>91</v>
      </c>
      <c r="B6" s="271" t="s">
        <v>10</v>
      </c>
      <c r="C6" s="272"/>
      <c r="D6" s="273"/>
      <c r="E6" s="271" t="s">
        <v>93</v>
      </c>
      <c r="F6" s="272"/>
      <c r="G6" s="273"/>
      <c r="H6" s="10"/>
    </row>
    <row r="7" spans="1:8" ht="40" customHeight="1" thickTop="1" thickBot="1">
      <c r="A7" s="275"/>
      <c r="B7" s="13" t="s">
        <v>11</v>
      </c>
      <c r="C7" s="13" t="s">
        <v>92</v>
      </c>
      <c r="D7" s="13" t="s">
        <v>12</v>
      </c>
      <c r="E7" s="13" t="s">
        <v>11</v>
      </c>
      <c r="F7" s="13" t="s">
        <v>92</v>
      </c>
      <c r="G7" s="13" t="s">
        <v>12</v>
      </c>
      <c r="H7" s="10"/>
    </row>
    <row r="8" spans="1:8" ht="28" customHeight="1" thickTop="1">
      <c r="A8" s="47">
        <v>1800</v>
      </c>
      <c r="B8" s="57">
        <f>5415/8456</f>
        <v>0.64037369914853359</v>
      </c>
      <c r="C8" s="57">
        <f>1825/8456</f>
        <v>0.21582308420056764</v>
      </c>
      <c r="D8" s="57">
        <f>1216/8456</f>
        <v>0.14380321665089876</v>
      </c>
      <c r="E8" s="57">
        <f>1300/1900</f>
        <v>0.68421052631578949</v>
      </c>
      <c r="F8" s="57">
        <f>350/1900</f>
        <v>0.18421052631578946</v>
      </c>
      <c r="G8" s="57">
        <f>250/1900</f>
        <v>0.13157894736842105</v>
      </c>
      <c r="H8" s="10"/>
    </row>
    <row r="9" spans="1:8" ht="28" customHeight="1">
      <c r="A9" s="5">
        <v>1900</v>
      </c>
      <c r="B9" s="58">
        <v>0.432</v>
      </c>
      <c r="C9" s="58">
        <v>0.28999999999999998</v>
      </c>
      <c r="D9" s="58">
        <v>0.27800000000000002</v>
      </c>
      <c r="E9" s="58">
        <v>0.40500000000000003</v>
      </c>
      <c r="F9" s="58">
        <v>0.28199999999999997</v>
      </c>
      <c r="G9" s="58">
        <v>0.313</v>
      </c>
      <c r="H9" s="10"/>
    </row>
    <row r="10" spans="1:8" ht="28" customHeight="1">
      <c r="A10" s="5">
        <v>1950</v>
      </c>
      <c r="B10" s="58">
        <v>0.315</v>
      </c>
      <c r="C10" s="58">
        <v>0.33300000000000002</v>
      </c>
      <c r="D10" s="58">
        <v>0.35199999999999998</v>
      </c>
      <c r="E10" s="58">
        <v>0.13500000000000001</v>
      </c>
      <c r="F10" s="58">
        <v>0.33200000000000002</v>
      </c>
      <c r="G10" s="58">
        <v>0.503</v>
      </c>
      <c r="H10" s="10"/>
    </row>
    <row r="11" spans="1:8" ht="28" customHeight="1" thickBot="1">
      <c r="A11" s="49">
        <v>2012</v>
      </c>
      <c r="B11" s="59">
        <v>2.9000000000000001E-2</v>
      </c>
      <c r="C11" s="59">
        <v>0.20899999999999999</v>
      </c>
      <c r="D11" s="59">
        <v>0.76200000000000001</v>
      </c>
      <c r="E11" s="59">
        <v>1.6E-2</v>
      </c>
      <c r="F11" s="59">
        <v>0.183</v>
      </c>
      <c r="G11" s="59">
        <v>0.80100000000000005</v>
      </c>
      <c r="H11" s="10"/>
    </row>
    <row r="12" spans="1:8" ht="28" customHeight="1" thickTop="1" thickBot="1"/>
    <row r="13" spans="1:8" ht="22.75" customHeight="1" thickTop="1">
      <c r="A13" s="247" t="s">
        <v>94</v>
      </c>
      <c r="B13" s="248"/>
      <c r="C13" s="248"/>
      <c r="D13" s="248"/>
      <c r="E13" s="248"/>
      <c r="F13" s="248"/>
      <c r="G13" s="249"/>
    </row>
    <row r="14" spans="1:8" ht="22.75" customHeight="1" thickBot="1">
      <c r="A14" s="250"/>
      <c r="B14" s="251"/>
      <c r="C14" s="251"/>
      <c r="D14" s="251"/>
      <c r="E14" s="251"/>
      <c r="F14" s="251"/>
      <c r="G14" s="252"/>
    </row>
    <row r="15" spans="1:8" ht="28" customHeight="1" thickTop="1" thickBot="1">
      <c r="A15" s="253" t="s">
        <v>95</v>
      </c>
      <c r="B15" s="254"/>
      <c r="C15" s="254"/>
      <c r="D15" s="254"/>
      <c r="E15" s="254"/>
      <c r="F15" s="254"/>
      <c r="G15" s="255"/>
    </row>
    <row r="16" spans="1:8" ht="13" thickTop="1"/>
    <row r="18" spans="1:7" ht="70" customHeight="1">
      <c r="A18" s="267" t="s">
        <v>125</v>
      </c>
      <c r="B18" s="267"/>
      <c r="C18" s="267"/>
      <c r="D18" s="267"/>
      <c r="E18" s="267"/>
      <c r="F18" s="267"/>
      <c r="G18" s="267"/>
    </row>
    <row r="19" spans="1:7" ht="49.75" customHeight="1">
      <c r="A19" s="267" t="s">
        <v>126</v>
      </c>
      <c r="B19" s="267"/>
      <c r="C19" s="267"/>
      <c r="D19" s="267"/>
      <c r="E19" s="267"/>
      <c r="F19" s="267"/>
      <c r="G19" s="267"/>
    </row>
    <row r="20" spans="1:7" ht="49.75" customHeight="1">
      <c r="A20" s="267" t="s">
        <v>127</v>
      </c>
      <c r="B20" s="267"/>
      <c r="C20" s="267"/>
      <c r="D20" s="267"/>
      <c r="E20" s="267"/>
      <c r="F20" s="267"/>
      <c r="G20" s="267"/>
    </row>
  </sheetData>
  <mergeCells count="9">
    <mergeCell ref="A19:G19"/>
    <mergeCell ref="A20:G20"/>
    <mergeCell ref="A18:G18"/>
    <mergeCell ref="A15:G15"/>
    <mergeCell ref="A4:G4"/>
    <mergeCell ref="A13:G14"/>
    <mergeCell ref="B6:D6"/>
    <mergeCell ref="A6:A7"/>
    <mergeCell ref="E6:G6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22" sqref="A22"/>
    </sheetView>
  </sheetViews>
  <sheetFormatPr baseColWidth="10" defaultColWidth="11.5" defaultRowHeight="12" x14ac:dyDescent="0"/>
  <cols>
    <col min="1" max="2" width="28.33203125" style="1" customWidth="1"/>
    <col min="3" max="7" width="18.83203125" style="1" customWidth="1"/>
    <col min="8" max="16384" width="11.5" style="1"/>
  </cols>
  <sheetData>
    <row r="1" spans="1:7">
      <c r="A1" s="50"/>
      <c r="B1" s="2"/>
      <c r="C1" s="2"/>
      <c r="D1" s="2"/>
      <c r="E1" s="2"/>
      <c r="F1" s="3"/>
      <c r="G1" s="3"/>
    </row>
    <row r="3" spans="1:7" ht="13" thickBot="1"/>
    <row r="4" spans="1:7" ht="57" customHeight="1" thickTop="1">
      <c r="A4" s="243" t="s">
        <v>96</v>
      </c>
      <c r="B4" s="245"/>
      <c r="C4" s="245"/>
      <c r="D4" s="245"/>
      <c r="E4" s="245"/>
      <c r="F4" s="246"/>
      <c r="G4" s="51"/>
    </row>
    <row r="5" spans="1:7" ht="28" customHeight="1" thickBot="1">
      <c r="A5" s="5"/>
      <c r="B5" s="6"/>
      <c r="C5" s="6"/>
      <c r="D5" s="6"/>
      <c r="E5" s="6"/>
      <c r="F5" s="7"/>
      <c r="G5" s="6"/>
    </row>
    <row r="6" spans="1:7" ht="85" customHeight="1" thickTop="1" thickBot="1">
      <c r="A6" s="8" t="s">
        <v>70</v>
      </c>
      <c r="B6" s="9" t="s">
        <v>97</v>
      </c>
      <c r="C6" s="8" t="s">
        <v>6</v>
      </c>
      <c r="D6" s="8" t="s">
        <v>83</v>
      </c>
      <c r="E6" s="8" t="s">
        <v>84</v>
      </c>
      <c r="F6" s="8" t="s">
        <v>85</v>
      </c>
      <c r="G6" s="52"/>
    </row>
    <row r="7" spans="1:7" ht="28" customHeight="1" thickTop="1" thickBot="1">
      <c r="A7" s="5" t="s">
        <v>0</v>
      </c>
      <c r="B7" s="39">
        <f>(CTS1.3!J$11/CTS1.3!J$8)^(1/1700)-1</f>
        <v>1.5672876339212216E-4</v>
      </c>
      <c r="C7" s="13">
        <f>(CTS1.3!K$11/CTS1.3!K$8)^(1/1700)-1</f>
        <v>2.7978353621760377E-4</v>
      </c>
      <c r="D7" s="13">
        <f>(CTS1.3!L$11/CTS1.3!L$8)^(1/1700)-1</f>
        <v>1.5987114587301399E-4</v>
      </c>
      <c r="E7" s="13">
        <f>(CTS1.3!M$11/CTS1.3!M$8)^(1/1700)-1</f>
        <v>-6.0863357219331782E-5</v>
      </c>
      <c r="F7" s="13">
        <f>(CTS1.3!N$11/CTS1.3!N$8)^(1/1700)-1</f>
        <v>1.194017586916285E-4</v>
      </c>
      <c r="G7" s="53"/>
    </row>
    <row r="8" spans="1:7" ht="28" customHeight="1" thickTop="1" thickBot="1">
      <c r="A8" s="14" t="s">
        <v>1</v>
      </c>
      <c r="B8" s="39">
        <f>(CTS1.3!J$18/CTS1.3!J$11)^(1/312)-1</f>
        <v>8.075265122180042E-3</v>
      </c>
      <c r="C8" s="13">
        <f>(CTS1.3!K$18/CTS1.3!K$11)^(1/312)-1</f>
        <v>9.6319325901645936E-3</v>
      </c>
      <c r="D8" s="13">
        <f>(CTS1.3!L$18/CTS1.3!L$11)^(1/312)-1</f>
        <v>1.1142893930800701E-2</v>
      </c>
      <c r="E8" s="13">
        <f>(CTS1.3!M$18/CTS1.3!M$11)^(1/312)-1</f>
        <v>4.904083804362358E-3</v>
      </c>
      <c r="F8" s="13">
        <f>(CTS1.3!N$18/CTS1.3!N$11)^(1/312)-1</f>
        <v>7.2042447504150342E-3</v>
      </c>
      <c r="G8" s="53"/>
    </row>
    <row r="9" spans="1:7" ht="28" customHeight="1" thickTop="1">
      <c r="A9" s="5" t="s">
        <v>74</v>
      </c>
      <c r="B9" s="39">
        <f>(CTS1.3!J$12/CTS1.3!J$11)^(1/120)-1</f>
        <v>7.0288843227550579E-4</v>
      </c>
      <c r="C9" s="13">
        <f>(CTS1.3!K$12/CTS1.3!K$11)^(1/120)-1</f>
        <v>1.2089230268661488E-3</v>
      </c>
      <c r="D9" s="13">
        <f>(CTS1.3!L$12/CTS1.3!L$11)^(1/120)-1</f>
        <v>4.2813827697882889E-3</v>
      </c>
      <c r="E9" s="13">
        <f>(CTS1.3!M$12/CTS1.3!M$11)^(1/120)-1</f>
        <v>-1.6767950227314365E-5</v>
      </c>
      <c r="F9" s="13">
        <f>(CTS1.3!N$12/CTS1.3!N$11)^(1/120)-1</f>
        <v>2.0163554386964933E-4</v>
      </c>
      <c r="G9" s="53"/>
    </row>
    <row r="10" spans="1:7" ht="28" customHeight="1">
      <c r="A10" s="5" t="s">
        <v>2</v>
      </c>
      <c r="B10" s="39">
        <f>(CTS1.3!J$14/CTS1.3!J$12)^(1/93)-1</f>
        <v>8.984703109527814E-3</v>
      </c>
      <c r="C10" s="13">
        <f>(CTS1.3!K$14/CTS1.3!K$12)^(1/93)-1</f>
        <v>1.0354484921315743E-2</v>
      </c>
      <c r="D10" s="13">
        <f>(CTS1.3!L$14/CTS1.3!L$12)^(1/93)-1</f>
        <v>1.5485163645828193E-2</v>
      </c>
      <c r="E10" s="13">
        <f>(CTS1.3!M$14/CTS1.3!M$12)^(1/93)-1</f>
        <v>4.4622935594293978E-3</v>
      </c>
      <c r="F10" s="13">
        <f>(CTS1.3!N$14/CTS1.3!N$12)^(1/93)-1</f>
        <v>2.3990440442906991E-3</v>
      </c>
      <c r="G10" s="53"/>
    </row>
    <row r="11" spans="1:7" ht="28" customHeight="1" thickBot="1">
      <c r="A11" s="5" t="s">
        <v>3</v>
      </c>
      <c r="B11" s="39">
        <f>(CTS1.3!J$18/CTS1.3!J$14)^(1/99)-1</f>
        <v>1.6223132389781236E-2</v>
      </c>
      <c r="C11" s="13">
        <f>(CTS1.3!K$18/CTS1.3!K$14)^(1/99)-1</f>
        <v>1.9251486516141725E-2</v>
      </c>
      <c r="D11" s="13">
        <f>(CTS1.3!L$18/CTS1.3!L$14)^(1/99)-1</f>
        <v>1.542690610284958E-2</v>
      </c>
      <c r="E11" s="13">
        <f>(CTS1.3!M$18/CTS1.3!M$14)^(1/99)-1</f>
        <v>1.1318898585931825E-2</v>
      </c>
      <c r="F11" s="13">
        <f>(CTS1.3!N$18/CTS1.3!N$14)^(1/99)-1</f>
        <v>2.0331488287695487E-2</v>
      </c>
      <c r="G11" s="53"/>
    </row>
    <row r="12" spans="1:7" ht="28" customHeight="1" thickTop="1" thickBot="1">
      <c r="A12" s="14" t="s">
        <v>13</v>
      </c>
      <c r="B12" s="40">
        <f>(CTS1.3!J$15/CTS1.3!J$14)^(1/37)-1</f>
        <v>8.6562488427233131E-3</v>
      </c>
      <c r="C12" s="16">
        <f>(CTS1.3!K$15/CTS1.3!K$14)^(1/37)-1</f>
        <v>9.3257069125347591E-3</v>
      </c>
      <c r="D12" s="16">
        <f>(CTS1.3!L$15/CTS1.3!L$14)^(1/37)-1</f>
        <v>1.3548557650602699E-2</v>
      </c>
      <c r="E12" s="16">
        <f>(CTS1.3!M$15/CTS1.3!M$14)^(1/37)-1</f>
        <v>9.0632132846184543E-3</v>
      </c>
      <c r="F12" s="16">
        <f>(CTS1.3!N$15/CTS1.3!N$14)^(1/37)-1</f>
        <v>2.1162818268376515E-3</v>
      </c>
      <c r="G12" s="53"/>
    </row>
    <row r="13" spans="1:7" ht="28" customHeight="1" thickTop="1">
      <c r="A13" s="5" t="s">
        <v>14</v>
      </c>
      <c r="B13" s="39">
        <f>(CTS1.3!J$16/CTS1.3!J$15)^(1/20)-1</f>
        <v>2.8137312350013488E-2</v>
      </c>
      <c r="C13" s="13">
        <f>(CTS1.3!K$16/CTS1.3!K$15)^(1/20)-1</f>
        <v>3.8430007203516858E-2</v>
      </c>
      <c r="D13" s="13">
        <f>(CTS1.3!L$16/CTS1.3!L$15)^(1/20)-1</f>
        <v>1.9481742541441527E-2</v>
      </c>
      <c r="E13" s="13">
        <f>(CTS1.3!M$16/CTS1.3!M$15)^(1/20)-1</f>
        <v>2.0524299011893898E-2</v>
      </c>
      <c r="F13" s="13">
        <f>(CTS1.3!N$16/CTS1.3!N$15)^(1/20)-1</f>
        <v>3.514301938706077E-2</v>
      </c>
      <c r="G13" s="53"/>
    </row>
    <row r="14" spans="1:7" ht="28" customHeight="1">
      <c r="A14" s="5" t="s">
        <v>15</v>
      </c>
      <c r="B14" s="39">
        <f>(CTS1.3!J$17/CTS1.3!J$16)^(1/20)-1</f>
        <v>1.3416128363568314E-2</v>
      </c>
      <c r="C14" s="13">
        <f>(CTS1.3!K$17/CTS1.3!K$16)^(1/20)-1</f>
        <v>1.9174932369492081E-2</v>
      </c>
      <c r="D14" s="13">
        <f>(CTS1.3!L$17/CTS1.3!L$16)^(1/20)-1</f>
        <v>1.5614201353935986E-2</v>
      </c>
      <c r="E14" s="13">
        <f>(CTS1.3!M$17/CTS1.3!M$16)^(1/20)-1</f>
        <v>3.1466771486925449E-3</v>
      </c>
      <c r="F14" s="13">
        <f>(CTS1.3!N$17/CTS1.3!N$16)^(1/20)-1</f>
        <v>2.0808370413512023E-2</v>
      </c>
      <c r="G14" s="53"/>
    </row>
    <row r="15" spans="1:7" ht="28" customHeight="1" thickBot="1">
      <c r="A15" s="49" t="s">
        <v>16</v>
      </c>
      <c r="B15" s="39">
        <f>(CTS1.3!J$18/CTS1.3!J$17)^(1/22)-1</f>
        <v>2.0794401534121265E-2</v>
      </c>
      <c r="C15" s="13">
        <f>(CTS1.3!K$18/CTS1.3!K$17)^(1/22)-1</f>
        <v>1.8823327692256253E-2</v>
      </c>
      <c r="D15" s="13">
        <f>(CTS1.3!L$18/CTS1.3!L$17)^(1/22)-1</f>
        <v>1.4739977330617604E-2</v>
      </c>
      <c r="E15" s="13">
        <f>(CTS1.3!M$18/CTS1.3!M$17)^(1/22)-1</f>
        <v>1.424981052850538E-2</v>
      </c>
      <c r="F15" s="13">
        <f>(CTS1.3!N$18/CTS1.3!N$17)^(1/22)-1</f>
        <v>3.7585501488323514E-2</v>
      </c>
      <c r="G15" s="53"/>
    </row>
    <row r="16" spans="1:7" ht="28" customHeight="1" thickTop="1">
      <c r="A16" s="5" t="s">
        <v>17</v>
      </c>
      <c r="B16" s="54">
        <f>(CTS1.3!J$20/CTS1.3!J$15)^(1/30)-1</f>
        <v>2.4822843033457831E-2</v>
      </c>
      <c r="C16" s="48">
        <f>(CTS1.3!K$20/CTS1.3!K$15)^(1/30)-1</f>
        <v>3.3500209349867971E-2</v>
      </c>
      <c r="D16" s="48">
        <f>(CTS1.3!L$20/CTS1.3!L$15)^(1/30)-1</f>
        <v>1.9876997544567621E-2</v>
      </c>
      <c r="E16" s="48">
        <f>(CTS1.3!M$20/CTS1.3!M$15)^(1/30)-1</f>
        <v>1.7841062281019893E-2</v>
      </c>
      <c r="F16" s="48">
        <f>(CTS1.3!N$20/CTS1.3!N$15)^(1/30)-1</f>
        <v>3.1591454295943899E-2</v>
      </c>
      <c r="G16" s="53"/>
    </row>
    <row r="17" spans="1:7" ht="28" customHeight="1" thickBot="1">
      <c r="A17" s="49" t="s">
        <v>18</v>
      </c>
      <c r="B17" s="55">
        <f>(CTS1.3!J$18/CTS1.3!J$20)^(1/32)-1</f>
        <v>1.6977050323944809E-2</v>
      </c>
      <c r="C17" s="31">
        <f>(CTS1.3!K$18/CTS1.3!K$20)^(1/32)-1</f>
        <v>1.7520220486090476E-2</v>
      </c>
      <c r="D17" s="31">
        <f>(CTS1.3!L$18/CTS1.3!L$20)^(1/32)-1</f>
        <v>1.3439858880619049E-2</v>
      </c>
      <c r="E17" s="31">
        <f>(CTS1.3!M$18/CTS1.3!M$20)^(1/32)-1</f>
        <v>7.8410454592068302E-3</v>
      </c>
      <c r="F17" s="31">
        <f>(CTS1.3!N$18/CTS1.3!N$20)^(1/32)-1</f>
        <v>3.1141551724715777E-2</v>
      </c>
      <c r="G17" s="53"/>
    </row>
    <row r="18" spans="1:7" ht="28" customHeight="1" thickTop="1" thickBot="1"/>
    <row r="19" spans="1:7" ht="22.75" customHeight="1" thickTop="1">
      <c r="A19" s="276" t="s">
        <v>149</v>
      </c>
      <c r="B19" s="277"/>
      <c r="C19" s="277"/>
      <c r="D19" s="277"/>
      <c r="E19" s="277"/>
      <c r="F19" s="278"/>
      <c r="G19" s="56"/>
    </row>
    <row r="20" spans="1:7" ht="22.75" customHeight="1" thickBot="1">
      <c r="A20" s="279"/>
      <c r="B20" s="280"/>
      <c r="C20" s="280"/>
      <c r="D20" s="280"/>
      <c r="E20" s="280"/>
      <c r="F20" s="281"/>
      <c r="G20" s="56"/>
    </row>
    <row r="21" spans="1:7" ht="28" customHeight="1" thickTop="1" thickBot="1">
      <c r="A21" s="253" t="s">
        <v>150</v>
      </c>
      <c r="B21" s="282"/>
      <c r="C21" s="282"/>
      <c r="D21" s="282"/>
      <c r="E21" s="282"/>
      <c r="F21" s="283"/>
    </row>
    <row r="22" spans="1:7" ht="28" customHeight="1" thickTop="1"/>
  </sheetData>
  <mergeCells count="3">
    <mergeCell ref="A4:F4"/>
    <mergeCell ref="A19:F20"/>
    <mergeCell ref="A21:F21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18" sqref="A18:D19"/>
    </sheetView>
  </sheetViews>
  <sheetFormatPr baseColWidth="10" defaultColWidth="11.5" defaultRowHeight="12" x14ac:dyDescent="0"/>
  <cols>
    <col min="1" max="4" width="28.33203125" style="1" customWidth="1"/>
    <col min="5" max="5" width="10.83203125" style="1" customWidth="1"/>
    <col min="6" max="16384" width="11.5" style="1"/>
  </cols>
  <sheetData>
    <row r="1" spans="1:7">
      <c r="C1" s="2"/>
      <c r="D1" s="3"/>
      <c r="F1" s="82"/>
    </row>
    <row r="2" spans="1:7">
      <c r="G2" s="172"/>
    </row>
    <row r="3" spans="1:7" ht="13" thickBot="1"/>
    <row r="4" spans="1:7" ht="57" customHeight="1" thickTop="1">
      <c r="A4" s="268" t="s">
        <v>145</v>
      </c>
      <c r="B4" s="284"/>
      <c r="C4" s="269"/>
      <c r="D4" s="270"/>
      <c r="E4" s="4"/>
    </row>
    <row r="5" spans="1:7" ht="28" customHeight="1" thickBot="1">
      <c r="A5" s="5"/>
      <c r="B5" s="6"/>
      <c r="C5" s="6"/>
      <c r="D5" s="7"/>
      <c r="E5" s="4"/>
    </row>
    <row r="6" spans="1:7" ht="85" customHeight="1" thickTop="1" thickBot="1">
      <c r="A6" s="8" t="s">
        <v>70</v>
      </c>
      <c r="B6" s="9" t="s">
        <v>71</v>
      </c>
      <c r="C6" s="8" t="s">
        <v>72</v>
      </c>
      <c r="D6" s="8" t="s">
        <v>73</v>
      </c>
      <c r="E6" s="10"/>
    </row>
    <row r="7" spans="1:7" ht="28" customHeight="1" thickTop="1" thickBot="1">
      <c r="A7" s="11" t="s">
        <v>0</v>
      </c>
      <c r="B7" s="122">
        <f t="shared" ref="B7:B14" si="0">(1+C7)*(1+D7)-1</f>
        <v>7.3521676843024686E-4</v>
      </c>
      <c r="C7" s="123">
        <f>(TS2.2!Z$11/TS2.2!Z$8)^(1/1700)-1</f>
        <v>5.7839735353626409E-4</v>
      </c>
      <c r="D7" s="123">
        <f>(CTS1.3!J$11/CTS1.3!J$8)^(1/1700)-1</f>
        <v>1.5672876339212216E-4</v>
      </c>
      <c r="E7" s="10"/>
    </row>
    <row r="8" spans="1:7" ht="28" customHeight="1" thickTop="1">
      <c r="A8" s="124" t="s">
        <v>52</v>
      </c>
      <c r="B8" s="125">
        <f t="shared" si="0"/>
        <v>1.3546412016229858E-4</v>
      </c>
      <c r="C8" s="126">
        <f>(TS2.2!Z$9/TS2.2!Z$8)^(1/1000)-1</f>
        <v>1.6875986688491551E-4</v>
      </c>
      <c r="D8" s="126">
        <f>(CTS1.3!J$9/CTS1.3!J$8)^(1/1000)-1</f>
        <v>-3.3290128685026232E-5</v>
      </c>
      <c r="E8" s="10"/>
    </row>
    <row r="9" spans="1:7" ht="28" customHeight="1">
      <c r="A9" s="124" t="s">
        <v>53</v>
      </c>
      <c r="B9" s="127">
        <f t="shared" si="0"/>
        <v>1.4200732525344595E-3</v>
      </c>
      <c r="C9" s="128">
        <f>(TS2.2!Z$10/TS2.2!Z$9)^(1/500)-1</f>
        <v>9.8991314473839687E-4</v>
      </c>
      <c r="D9" s="128">
        <f>(CTS1.3!J$10/CTS1.3!J$9)^(1/500)-1</f>
        <v>4.2973470776019873E-4</v>
      </c>
      <c r="E9" s="10"/>
    </row>
    <row r="10" spans="1:7" ht="28" customHeight="1" thickBot="1">
      <c r="A10" s="124" t="s">
        <v>54</v>
      </c>
      <c r="B10" s="127">
        <f t="shared" si="0"/>
        <v>2.0241526993365344E-3</v>
      </c>
      <c r="C10" s="128">
        <f>(TS2.2!Z$11/TS2.2!Z$10)^(1/200)-1</f>
        <v>1.5989462945438238E-3</v>
      </c>
      <c r="D10" s="128">
        <f>(CTS1.3!J$11/CTS1.3!J$10)^(1/200)-1</f>
        <v>4.2452760794708944E-4</v>
      </c>
      <c r="E10" s="10"/>
    </row>
    <row r="11" spans="1:7" ht="28" customHeight="1" thickTop="1" thickBot="1">
      <c r="A11" s="14" t="s">
        <v>1</v>
      </c>
      <c r="B11" s="129">
        <f t="shared" si="0"/>
        <v>1.6049615002482698E-2</v>
      </c>
      <c r="C11" s="130">
        <f>(TS2.2!Z$17/TS2.2!Z$11)^(1/312)-1</f>
        <v>7.9104707319013201E-3</v>
      </c>
      <c r="D11" s="130">
        <f>(CTS1.3!J$18/CTS1.3!J$11)^(1/312)-1</f>
        <v>8.075265122180042E-3</v>
      </c>
      <c r="E11" s="10"/>
    </row>
    <row r="12" spans="1:7" ht="28" customHeight="1" thickTop="1">
      <c r="A12" s="124" t="s">
        <v>74</v>
      </c>
      <c r="B12" s="127">
        <f t="shared" si="0"/>
        <v>5.2655180062775031E-3</v>
      </c>
      <c r="C12" s="128">
        <f>(TS2.2!Z$12/TS2.2!Z$11)^(1/120)-1</f>
        <v>4.5594248070472965E-3</v>
      </c>
      <c r="D12" s="128">
        <f>(CTS1.3!J$12/CTS1.3!J$11)^(1/120)-1</f>
        <v>7.0288843227550579E-4</v>
      </c>
      <c r="E12" s="10"/>
    </row>
    <row r="13" spans="1:7" ht="28" customHeight="1">
      <c r="A13" s="124" t="s">
        <v>2</v>
      </c>
      <c r="B13" s="127">
        <f t="shared" si="0"/>
        <v>1.4648635182629377E-2</v>
      </c>
      <c r="C13" s="128">
        <f>(TS2.2!Z$13/TS2.2!Z$12)^(1/97)-1</f>
        <v>5.6134964738774329E-3</v>
      </c>
      <c r="D13" s="128">
        <f>(CTS1.3!J$14/CTS1.3!J$12)^(1/93)-1</f>
        <v>8.984703109527814E-3</v>
      </c>
      <c r="E13" s="10"/>
    </row>
    <row r="14" spans="1:7" ht="28" customHeight="1" thickBot="1">
      <c r="A14" s="124" t="s">
        <v>3</v>
      </c>
      <c r="B14" s="127">
        <f t="shared" si="0"/>
        <v>3.037838370699153E-2</v>
      </c>
      <c r="C14" s="128">
        <f>(TS2.2!Z$17/TS2.2!Z$13)^(1/99)-1</f>
        <v>1.3929274847269468E-2</v>
      </c>
      <c r="D14" s="128">
        <f>(CTS1.3!J$18/CTS1.3!J$14)^(1/99)-1</f>
        <v>1.6223132389781236E-2</v>
      </c>
      <c r="E14" s="10"/>
    </row>
    <row r="15" spans="1:7" ht="28" customHeight="1" thickTop="1">
      <c r="A15" s="20" t="s">
        <v>87</v>
      </c>
      <c r="B15" s="131" t="s">
        <v>4</v>
      </c>
      <c r="C15" s="132">
        <f>(TS2.2!Z$19/TS2.2!Z$17)^(1/38)-1</f>
        <v>7.3251898277923999E-3</v>
      </c>
      <c r="D15" s="132" t="s">
        <v>4</v>
      </c>
      <c r="E15" s="10"/>
    </row>
    <row r="16" spans="1:7" ht="28" customHeight="1" thickBot="1">
      <c r="A16" s="21" t="s">
        <v>88</v>
      </c>
      <c r="B16" s="133" t="s">
        <v>4</v>
      </c>
      <c r="C16" s="134">
        <f>(TS2.2!Z$21/TS2.2!Z$19)^(1/50)-1</f>
        <v>1.6879673616290169E-3</v>
      </c>
      <c r="D16" s="134" t="s">
        <v>4</v>
      </c>
      <c r="E16" s="10"/>
    </row>
    <row r="17" spans="1:4" ht="28" customHeight="1" thickTop="1" thickBot="1"/>
    <row r="18" spans="1:4" ht="22.75" customHeight="1" thickTop="1">
      <c r="A18" s="247" t="s">
        <v>148</v>
      </c>
      <c r="B18" s="248"/>
      <c r="C18" s="248"/>
      <c r="D18" s="249"/>
    </row>
    <row r="19" spans="1:4" ht="22.75" customHeight="1" thickBot="1">
      <c r="A19" s="250"/>
      <c r="B19" s="251"/>
      <c r="C19" s="251"/>
      <c r="D19" s="252"/>
    </row>
    <row r="20" spans="1:4" ht="22.75" customHeight="1" thickTop="1">
      <c r="A20" s="247" t="s">
        <v>89</v>
      </c>
      <c r="B20" s="248"/>
      <c r="C20" s="248"/>
      <c r="D20" s="249"/>
    </row>
    <row r="21" spans="1:4" ht="22.75" customHeight="1" thickBot="1">
      <c r="A21" s="250"/>
      <c r="B21" s="251"/>
      <c r="C21" s="251"/>
      <c r="D21" s="252"/>
    </row>
    <row r="22" spans="1:4" ht="13" thickTop="1"/>
  </sheetData>
  <mergeCells count="3">
    <mergeCell ref="A4:D4"/>
    <mergeCell ref="A18:D19"/>
    <mergeCell ref="A20:D21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zoomScale="88" zoomScaleNormal="88" zoomScalePageLayoutView="88" workbookViewId="0">
      <selection activeCell="G7" sqref="G7"/>
    </sheetView>
  </sheetViews>
  <sheetFormatPr baseColWidth="10" defaultColWidth="11.5" defaultRowHeight="12" x14ac:dyDescent="0"/>
  <cols>
    <col min="1" max="1" width="14.1640625" style="1" customWidth="1"/>
    <col min="2" max="2" width="11.83203125" style="1" customWidth="1"/>
    <col min="3" max="7" width="9.83203125" style="1" customWidth="1"/>
    <col min="8" max="8" width="18.83203125" style="1" customWidth="1"/>
    <col min="9" max="25" width="10.83203125" style="1" customWidth="1"/>
    <col min="26" max="16384" width="11.5" style="1"/>
  </cols>
  <sheetData>
    <row r="1" spans="1:48">
      <c r="B1" s="2"/>
      <c r="C1" s="3"/>
      <c r="D1" s="3"/>
      <c r="E1" s="3"/>
      <c r="F1" s="3"/>
      <c r="G1" s="3"/>
    </row>
    <row r="3" spans="1:48" ht="13" thickBot="1"/>
    <row r="4" spans="1:48" ht="49.75" customHeight="1" thickTop="1" thickBot="1">
      <c r="A4" s="285" t="s">
        <v>146</v>
      </c>
      <c r="B4" s="286"/>
      <c r="C4" s="286"/>
      <c r="D4" s="286"/>
      <c r="E4" s="286"/>
      <c r="F4" s="287"/>
      <c r="G4" s="52"/>
      <c r="H4" s="297" t="s">
        <v>122</v>
      </c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9"/>
      <c r="X4" s="4"/>
      <c r="Y4" s="297" t="s">
        <v>123</v>
      </c>
      <c r="Z4" s="300"/>
      <c r="AA4" s="300"/>
      <c r="AB4" s="300"/>
      <c r="AC4" s="300"/>
      <c r="AD4" s="301"/>
      <c r="AE4" s="52"/>
      <c r="AF4" s="297" t="s">
        <v>124</v>
      </c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9"/>
    </row>
    <row r="5" spans="1:48" ht="13" thickTop="1">
      <c r="A5" s="178"/>
      <c r="B5" s="178"/>
      <c r="C5" s="178"/>
      <c r="D5" s="178"/>
      <c r="E5" s="178"/>
      <c r="F5" s="17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48" ht="13" thickBot="1">
      <c r="A6" s="4"/>
      <c r="B6" s="60"/>
      <c r="C6" s="61"/>
      <c r="D6" s="61"/>
      <c r="E6" s="61"/>
      <c r="F6" s="61"/>
      <c r="G6" s="6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48" ht="60" customHeight="1" thickTop="1" thickBot="1">
      <c r="A7" s="179"/>
      <c r="B7" s="64" t="s">
        <v>100</v>
      </c>
      <c r="C7" s="65" t="s">
        <v>6</v>
      </c>
      <c r="D7" s="230" t="s">
        <v>101</v>
      </c>
      <c r="E7" s="230" t="s">
        <v>102</v>
      </c>
      <c r="F7" s="231" t="s">
        <v>103</v>
      </c>
      <c r="G7" s="67"/>
      <c r="H7" s="10"/>
      <c r="I7" s="64" t="s">
        <v>100</v>
      </c>
      <c r="J7" s="232" t="s">
        <v>67</v>
      </c>
      <c r="K7" s="230" t="s">
        <v>104</v>
      </c>
      <c r="L7" s="231" t="s">
        <v>105</v>
      </c>
      <c r="M7" s="233" t="s">
        <v>68</v>
      </c>
      <c r="N7" s="231" t="s">
        <v>106</v>
      </c>
      <c r="O7" s="232" t="s">
        <v>107</v>
      </c>
      <c r="P7" s="231" t="s">
        <v>108</v>
      </c>
      <c r="Q7" s="233" t="s">
        <v>109</v>
      </c>
      <c r="R7" s="234" t="s">
        <v>110</v>
      </c>
      <c r="S7" s="234" t="s">
        <v>111</v>
      </c>
      <c r="T7" s="234" t="s">
        <v>112</v>
      </c>
      <c r="U7" s="234" t="s">
        <v>113</v>
      </c>
      <c r="V7" s="234" t="s">
        <v>114</v>
      </c>
      <c r="W7" s="231" t="s">
        <v>115</v>
      </c>
      <c r="X7" s="10"/>
      <c r="Y7" s="10"/>
      <c r="Z7" s="180" t="s">
        <v>116</v>
      </c>
      <c r="AA7" s="241" t="s">
        <v>6</v>
      </c>
      <c r="AB7" s="238" t="s">
        <v>101</v>
      </c>
      <c r="AC7" s="238" t="s">
        <v>102</v>
      </c>
      <c r="AD7" s="239" t="s">
        <v>103</v>
      </c>
      <c r="AE7" s="67"/>
      <c r="AG7" s="64" t="s">
        <v>100</v>
      </c>
      <c r="AH7" s="232" t="s">
        <v>67</v>
      </c>
      <c r="AI7" s="230" t="s">
        <v>104</v>
      </c>
      <c r="AJ7" s="231" t="s">
        <v>105</v>
      </c>
      <c r="AK7" s="233" t="s">
        <v>68</v>
      </c>
      <c r="AL7" s="231" t="s">
        <v>106</v>
      </c>
      <c r="AM7" s="232" t="s">
        <v>107</v>
      </c>
      <c r="AN7" s="231" t="s">
        <v>108</v>
      </c>
      <c r="AO7" s="233" t="s">
        <v>109</v>
      </c>
      <c r="AP7" s="234" t="s">
        <v>110</v>
      </c>
      <c r="AQ7" s="234" t="s">
        <v>111</v>
      </c>
      <c r="AR7" s="234" t="s">
        <v>112</v>
      </c>
      <c r="AS7" s="234" t="s">
        <v>113</v>
      </c>
      <c r="AT7" s="234" t="s">
        <v>114</v>
      </c>
      <c r="AU7" s="231" t="s">
        <v>115</v>
      </c>
      <c r="AV7" s="67"/>
    </row>
    <row r="8" spans="1:48" ht="15" customHeight="1" thickTop="1">
      <c r="A8" s="177" t="s">
        <v>47</v>
      </c>
      <c r="B8" s="94">
        <f>(Z9/Z8)^(1/1000)-1</f>
        <v>1.6875986688491551E-4</v>
      </c>
      <c r="C8" s="95">
        <f>(AA9/AA8)^(1/1000)-1</f>
        <v>1.4076288080522303E-4</v>
      </c>
      <c r="D8" s="96">
        <f>(AB9/AB8)^(1/1000)-1</f>
        <v>7.0434127335983199E-4</v>
      </c>
      <c r="E8" s="96">
        <f>(AC9/AC8)^(1/1000)-1</f>
        <v>6.4205991845645016E-4</v>
      </c>
      <c r="F8" s="97">
        <f>(AD9/AD8)^(1/1000)-1</f>
        <v>8.3259763068888049E-5</v>
      </c>
      <c r="G8" s="86"/>
      <c r="H8" s="102" t="s">
        <v>47</v>
      </c>
      <c r="I8" s="69">
        <f t="shared" ref="I8:W8" si="0">(AG9/AG8)^(1/1000)-1</f>
        <v>1.6875986688491551E-4</v>
      </c>
      <c r="J8" s="72">
        <f t="shared" si="0"/>
        <v>2.0155005087785227E-5</v>
      </c>
      <c r="K8" s="73">
        <f t="shared" si="0"/>
        <v>3.1370675453046282E-4</v>
      </c>
      <c r="L8" s="74">
        <f t="shared" si="0"/>
        <v>5.9929773808575781E-4</v>
      </c>
      <c r="M8" s="72">
        <f t="shared" si="0"/>
        <v>6.5308644957084994E-4</v>
      </c>
      <c r="N8" s="74">
        <f t="shared" si="0"/>
        <v>7.110994690919803E-4</v>
      </c>
      <c r="O8" s="72">
        <f t="shared" si="0"/>
        <v>1.8806991443232057E-4</v>
      </c>
      <c r="P8" s="74">
        <f t="shared" si="0"/>
        <v>9.661208493689788E-4</v>
      </c>
      <c r="Q8" s="72">
        <f t="shared" si="0"/>
        <v>-1.0118078977439104E-5</v>
      </c>
      <c r="R8" s="73">
        <f t="shared" si="0"/>
        <v>0</v>
      </c>
      <c r="S8" s="73">
        <f t="shared" si="0"/>
        <v>9.1671065447407329E-4</v>
      </c>
      <c r="T8" s="73">
        <f t="shared" si="0"/>
        <v>1.3006158552286706E-4</v>
      </c>
      <c r="U8" s="73">
        <f t="shared" si="0"/>
        <v>3.0459671371163566E-5</v>
      </c>
      <c r="V8" s="73">
        <f t="shared" si="0"/>
        <v>5.9929773808575781E-4</v>
      </c>
      <c r="W8" s="74">
        <f t="shared" si="0"/>
        <v>6.1584924240443151E-4</v>
      </c>
      <c r="X8" s="10"/>
      <c r="Y8" s="102">
        <v>0</v>
      </c>
      <c r="Z8" s="75">
        <f>AG8</f>
        <v>225.82000000000002</v>
      </c>
      <c r="AA8" s="76">
        <f>AH8+AI8+AJ8</f>
        <v>33.152362519755926</v>
      </c>
      <c r="AB8" s="76">
        <f>AK8+AL8</f>
        <v>6.3599999999999994</v>
      </c>
      <c r="AC8" s="76">
        <f>AM8+AN8</f>
        <v>17</v>
      </c>
      <c r="AD8" s="77">
        <f>AO8+AP8+AQ8+AR8+AS8+AT8+AU8</f>
        <v>169.3076374802441</v>
      </c>
      <c r="AE8" s="76"/>
      <c r="AF8" s="102">
        <v>0</v>
      </c>
      <c r="AG8" s="78">
        <f>SUM(AH8:AU8)</f>
        <v>225.82000000000002</v>
      </c>
      <c r="AH8" s="79">
        <v>25.05</v>
      </c>
      <c r="AI8" s="80">
        <v>4.75</v>
      </c>
      <c r="AJ8" s="81">
        <v>3.3523625197559221</v>
      </c>
      <c r="AK8" s="80">
        <v>0.76</v>
      </c>
      <c r="AL8" s="80">
        <v>5.6</v>
      </c>
      <c r="AM8" s="79">
        <v>8.6999999999999993</v>
      </c>
      <c r="AN8" s="81">
        <v>8.3000000000000007</v>
      </c>
      <c r="AO8" s="80">
        <v>59.6</v>
      </c>
      <c r="AP8" s="80">
        <v>75</v>
      </c>
      <c r="AQ8" s="80">
        <v>3</v>
      </c>
      <c r="AR8" s="80">
        <v>0.36</v>
      </c>
      <c r="AS8" s="80">
        <v>19.399999999999999</v>
      </c>
      <c r="AT8" s="80">
        <v>0.54763748024407766</v>
      </c>
      <c r="AU8" s="81">
        <v>11.4</v>
      </c>
      <c r="AV8" s="76"/>
    </row>
    <row r="9" spans="1:48" ht="15" customHeight="1">
      <c r="A9" s="68" t="s">
        <v>19</v>
      </c>
      <c r="B9" s="83">
        <f>(Z10/Z9)^(1/500)-1</f>
        <v>9.8991314473839687E-4</v>
      </c>
      <c r="C9" s="84">
        <f>(AA10/AA9)^(1/500)-1</f>
        <v>1.610798980259398E-3</v>
      </c>
      <c r="D9" s="70">
        <f>(AB10/AB9)^(1/500)-1</f>
        <v>8.5843178691646926E-4</v>
      </c>
      <c r="E9" s="70">
        <f>(AC10/AC9)^(1/500)-1</f>
        <v>7.337648341114722E-4</v>
      </c>
      <c r="F9" s="71">
        <f>(AD10/AD9)^(1/500)-1</f>
        <v>8.875290533429947E-4</v>
      </c>
      <c r="G9" s="86"/>
      <c r="H9" s="68" t="s">
        <v>19</v>
      </c>
      <c r="I9" s="83">
        <f t="shared" ref="I9:W9" si="1">(AG10/AG9)^(1/500)-1</f>
        <v>9.8991314473839687E-4</v>
      </c>
      <c r="J9" s="85">
        <f t="shared" si="1"/>
        <v>1.6147290211929732E-3</v>
      </c>
      <c r="K9" s="86">
        <f t="shared" si="1"/>
        <v>1.4628439309596342E-3</v>
      </c>
      <c r="L9" s="87">
        <f t="shared" si="1"/>
        <v>1.7418613807418382E-3</v>
      </c>
      <c r="M9" s="85">
        <f t="shared" si="1"/>
        <v>8.6536177062024322E-4</v>
      </c>
      <c r="N9" s="87">
        <f t="shared" si="1"/>
        <v>8.5754253058278884E-4</v>
      </c>
      <c r="O9" s="85">
        <f t="shared" si="1"/>
        <v>-4.701289394636321E-4</v>
      </c>
      <c r="P9" s="87">
        <f t="shared" si="1"/>
        <v>1.1282379599677483E-3</v>
      </c>
      <c r="Q9" s="85">
        <f t="shared" si="1"/>
        <v>1.1150042441956387E-3</v>
      </c>
      <c r="R9" s="86">
        <f t="shared" si="1"/>
        <v>7.6627794556172191E-4</v>
      </c>
      <c r="S9" s="86">
        <f t="shared" si="1"/>
        <v>1.4399647327891785E-3</v>
      </c>
      <c r="T9" s="86">
        <f t="shared" si="1"/>
        <v>5.8769486205112464E-4</v>
      </c>
      <c r="U9" s="86">
        <f t="shared" si="1"/>
        <v>-2.3304047436112363E-4</v>
      </c>
      <c r="V9" s="86">
        <f t="shared" si="1"/>
        <v>1.7418613807418382E-3</v>
      </c>
      <c r="W9" s="87">
        <f t="shared" si="1"/>
        <v>1.1561298232496409E-3</v>
      </c>
      <c r="X9" s="10"/>
      <c r="Y9" s="68">
        <v>1000</v>
      </c>
      <c r="Z9" s="75">
        <f>AG9</f>
        <v>267.33</v>
      </c>
      <c r="AA9" s="76">
        <f>AH9+AI9+AJ9</f>
        <v>38.163018946222323</v>
      </c>
      <c r="AB9" s="76">
        <f>AK9+AL9</f>
        <v>12.86</v>
      </c>
      <c r="AC9" s="76">
        <f>AM9+AN9</f>
        <v>32.299999999999997</v>
      </c>
      <c r="AD9" s="77">
        <f>AO9+AP9+AQ9+AR9+AS9+AT9+AU9</f>
        <v>184.00698105377768</v>
      </c>
      <c r="AE9" s="76"/>
      <c r="AF9" s="68">
        <v>1000</v>
      </c>
      <c r="AG9" s="75">
        <f t="shared" ref="AG9:AG17" si="2">SUM(AH9:AU9)</f>
        <v>267.33</v>
      </c>
      <c r="AH9" s="88">
        <v>25.56</v>
      </c>
      <c r="AI9" s="76">
        <v>6.5</v>
      </c>
      <c r="AJ9" s="77">
        <v>6.1030189462223197</v>
      </c>
      <c r="AK9" s="76">
        <v>1.46</v>
      </c>
      <c r="AL9" s="76">
        <v>11.4</v>
      </c>
      <c r="AM9" s="88">
        <v>10.5</v>
      </c>
      <c r="AN9" s="77">
        <v>21.8</v>
      </c>
      <c r="AO9" s="76">
        <v>59</v>
      </c>
      <c r="AP9" s="76">
        <v>75</v>
      </c>
      <c r="AQ9" s="76">
        <v>7.5</v>
      </c>
      <c r="AR9" s="76">
        <v>0.41</v>
      </c>
      <c r="AS9" s="76">
        <v>20</v>
      </c>
      <c r="AT9" s="76">
        <v>0.99698105377767987</v>
      </c>
      <c r="AU9" s="77">
        <v>21.1</v>
      </c>
      <c r="AV9" s="76"/>
    </row>
    <row r="10" spans="1:48" ht="15" customHeight="1">
      <c r="A10" s="68" t="s">
        <v>48</v>
      </c>
      <c r="B10" s="83">
        <f>(Z11/Z10)^(1/200)-1</f>
        <v>1.5989462945438238E-3</v>
      </c>
      <c r="C10" s="84">
        <f>(AA11/AA10)^(1/200)-1</f>
        <v>1.8328332293462424E-3</v>
      </c>
      <c r="D10" s="70">
        <f>(AB11/AB10)^(1/200)-1</f>
        <v>-1.9937894505296372E-3</v>
      </c>
      <c r="E10" s="70">
        <f>(AC11/AC10)^(1/200)-1</f>
        <v>1.3527610066685902E-3</v>
      </c>
      <c r="F10" s="71">
        <f>(AD11/AD10)^(1/200)-1</f>
        <v>1.7415357598133951E-3</v>
      </c>
      <c r="G10" s="86"/>
      <c r="H10" s="68" t="s">
        <v>48</v>
      </c>
      <c r="I10" s="83">
        <f t="shared" ref="I10:W10" si="3">(AG11/AG10)^(1/200)-1</f>
        <v>1.5989462945438238E-3</v>
      </c>
      <c r="J10" s="85">
        <f t="shared" si="3"/>
        <v>1.7634034640918728E-3</v>
      </c>
      <c r="K10" s="86">
        <f t="shared" si="3"/>
        <v>1.6572075752310234E-3</v>
      </c>
      <c r="L10" s="87">
        <f t="shared" si="3"/>
        <v>2.2463287938667698E-3</v>
      </c>
      <c r="M10" s="85">
        <f t="shared" si="3"/>
        <v>-3.1381091073391376E-3</v>
      </c>
      <c r="N10" s="87">
        <f t="shared" si="3"/>
        <v>-1.8639418037998956E-3</v>
      </c>
      <c r="O10" s="85">
        <f t="shared" si="3"/>
        <v>5.6895622100761045E-4</v>
      </c>
      <c r="P10" s="87">
        <f t="shared" si="3"/>
        <v>1.5076003665890347E-3</v>
      </c>
      <c r="Q10" s="85">
        <f t="shared" si="3"/>
        <v>1.4636936400480582E-3</v>
      </c>
      <c r="R10" s="86">
        <f t="shared" si="3"/>
        <v>2.0293819544030534E-3</v>
      </c>
      <c r="S10" s="86">
        <f t="shared" si="3"/>
        <v>2.8112910710347272E-3</v>
      </c>
      <c r="T10" s="86">
        <f t="shared" si="3"/>
        <v>0</v>
      </c>
      <c r="U10" s="86">
        <f t="shared" si="3"/>
        <v>7.7907596919857269E-4</v>
      </c>
      <c r="V10" s="86">
        <f t="shared" si="3"/>
        <v>2.2463287938667698E-3</v>
      </c>
      <c r="W10" s="87">
        <f t="shared" si="3"/>
        <v>1.5252699543901738E-3</v>
      </c>
      <c r="X10" s="10"/>
      <c r="Y10" s="68">
        <v>1500</v>
      </c>
      <c r="Z10" s="75">
        <f t="shared" ref="Z10:Z17" si="4">AG10</f>
        <v>438.42800000000005</v>
      </c>
      <c r="AA10" s="76">
        <f t="shared" ref="AA10:AA17" si="5">AH10+AI10+AJ10</f>
        <v>85.3378832589392</v>
      </c>
      <c r="AB10" s="76">
        <f t="shared" ref="AB10:AB17" si="6">AK10+AL10</f>
        <v>19.75</v>
      </c>
      <c r="AC10" s="76">
        <f t="shared" ref="AC10:AC17" si="7">AM10+AN10</f>
        <v>46.61</v>
      </c>
      <c r="AD10" s="77">
        <f t="shared" ref="AD10:AD17" si="8">AO10+AP10+AQ10+AR10+AS10+AT10+AU10</f>
        <v>286.73011674106084</v>
      </c>
      <c r="AE10" s="76"/>
      <c r="AF10" s="68">
        <v>1500</v>
      </c>
      <c r="AG10" s="75">
        <f t="shared" si="2"/>
        <v>438.42800000000005</v>
      </c>
      <c r="AH10" s="89">
        <v>57.268000000000001</v>
      </c>
      <c r="AI10" s="90">
        <v>13.5</v>
      </c>
      <c r="AJ10" s="91">
        <v>14.5698832589392</v>
      </c>
      <c r="AK10" s="90">
        <v>2.25</v>
      </c>
      <c r="AL10" s="90">
        <v>17.5</v>
      </c>
      <c r="AM10" s="89">
        <v>8.3000000000000007</v>
      </c>
      <c r="AN10" s="91">
        <v>38.31</v>
      </c>
      <c r="AO10" s="90">
        <v>103</v>
      </c>
      <c r="AP10" s="90">
        <v>110</v>
      </c>
      <c r="AQ10" s="90">
        <v>15.4</v>
      </c>
      <c r="AR10" s="90">
        <v>0.55000000000000004</v>
      </c>
      <c r="AS10" s="90">
        <v>17.8</v>
      </c>
      <c r="AT10" s="90">
        <v>2.3801167410607991</v>
      </c>
      <c r="AU10" s="91">
        <v>37.6</v>
      </c>
      <c r="AV10" s="90"/>
    </row>
    <row r="11" spans="1:48" ht="15" customHeight="1">
      <c r="A11" s="68" t="s">
        <v>49</v>
      </c>
      <c r="B11" s="83">
        <f>(Z12/Z11)^(1/120)-1</f>
        <v>4.5594248070472965E-3</v>
      </c>
      <c r="C11" s="84">
        <f>(AA12/AA11)^(1/120)-1</f>
        <v>4.7195823888310784E-3</v>
      </c>
      <c r="D11" s="70">
        <f>(AB12/AB11)^(1/120)-1</f>
        <v>7.4760497366692658E-3</v>
      </c>
      <c r="E11" s="70">
        <f>(AC12/AC11)^(1/120)-1</f>
        <v>1.6268613000480769E-3</v>
      </c>
      <c r="F11" s="71">
        <f>(AD12/AD11)^(1/120)-1</f>
        <v>4.7667720382003065E-3</v>
      </c>
      <c r="G11" s="86"/>
      <c r="H11" s="68" t="s">
        <v>49</v>
      </c>
      <c r="I11" s="83">
        <f t="shared" ref="I11:W11" si="9">(AG12/AG11)^(1/120)-1</f>
        <v>4.5594248070472965E-3</v>
      </c>
      <c r="J11" s="85">
        <f t="shared" si="9"/>
        <v>4.0954261823717975E-3</v>
      </c>
      <c r="K11" s="86">
        <f t="shared" si="9"/>
        <v>5.5342293645515017E-3</v>
      </c>
      <c r="L11" s="87">
        <f t="shared" si="9"/>
        <v>6.0517512686542041E-3</v>
      </c>
      <c r="M11" s="85">
        <f t="shared" si="9"/>
        <v>1.8476121490739406E-2</v>
      </c>
      <c r="N11" s="87">
        <f t="shared" si="9"/>
        <v>4.8721019798074749E-3</v>
      </c>
      <c r="O11" s="85">
        <f t="shared" si="9"/>
        <v>1.3885990927910985E-3</v>
      </c>
      <c r="P11" s="87">
        <f t="shared" si="9"/>
        <v>1.6689491766881392E-3</v>
      </c>
      <c r="Q11" s="85">
        <f t="shared" si="9"/>
        <v>8.4987921582093673E-3</v>
      </c>
      <c r="R11" s="86">
        <f t="shared" si="9"/>
        <v>1.9718485543029907E-3</v>
      </c>
      <c r="S11" s="86">
        <f t="shared" si="9"/>
        <v>1.1519157665837998E-3</v>
      </c>
      <c r="T11" s="86">
        <f t="shared" si="9"/>
        <v>-1.9720009138978201E-3</v>
      </c>
      <c r="U11" s="86">
        <f t="shared" si="9"/>
        <v>1.5827981249951772E-3</v>
      </c>
      <c r="V11" s="86">
        <f t="shared" si="9"/>
        <v>6.0517512686542041E-3</v>
      </c>
      <c r="W11" s="87">
        <f t="shared" si="9"/>
        <v>1.9268772347069696E-3</v>
      </c>
      <c r="X11" s="10"/>
      <c r="Y11" s="68">
        <v>1700</v>
      </c>
      <c r="Z11" s="75">
        <f t="shared" si="4"/>
        <v>603.4899999999999</v>
      </c>
      <c r="AA11" s="76">
        <f t="shared" si="5"/>
        <v>123.08185253833838</v>
      </c>
      <c r="AB11" s="76">
        <f t="shared" si="6"/>
        <v>13.25</v>
      </c>
      <c r="AC11" s="76">
        <f t="shared" si="7"/>
        <v>61.08</v>
      </c>
      <c r="AD11" s="77">
        <f t="shared" si="8"/>
        <v>406.07814746166162</v>
      </c>
      <c r="AE11" s="76"/>
      <c r="AF11" s="68">
        <v>1700</v>
      </c>
      <c r="AG11" s="75">
        <f t="shared" si="2"/>
        <v>603.4899999999999</v>
      </c>
      <c r="AH11" s="89">
        <v>81.459999999999994</v>
      </c>
      <c r="AI11" s="90">
        <v>18.8</v>
      </c>
      <c r="AJ11" s="91">
        <v>22.821852538338394</v>
      </c>
      <c r="AK11" s="90">
        <v>1.2</v>
      </c>
      <c r="AL11" s="90">
        <v>12.05</v>
      </c>
      <c r="AM11" s="89">
        <v>9.3000000000000007</v>
      </c>
      <c r="AN11" s="91">
        <v>51.78</v>
      </c>
      <c r="AO11" s="90">
        <v>138</v>
      </c>
      <c r="AP11" s="90">
        <v>165</v>
      </c>
      <c r="AQ11" s="90">
        <v>27</v>
      </c>
      <c r="AR11" s="90">
        <v>0.55000000000000004</v>
      </c>
      <c r="AS11" s="90">
        <v>20.8</v>
      </c>
      <c r="AT11" s="90">
        <v>3.7281474616616062</v>
      </c>
      <c r="AU11" s="91">
        <v>51</v>
      </c>
      <c r="AV11" s="90"/>
    </row>
    <row r="12" spans="1:48" ht="15" customHeight="1">
      <c r="A12" s="68" t="s">
        <v>20</v>
      </c>
      <c r="B12" s="83">
        <f>(Z13/Z12)^(1/93)-1</f>
        <v>5.8556427303122494E-3</v>
      </c>
      <c r="C12" s="84">
        <f>(AA13/AA12)^(1/93)-1</f>
        <v>8.4760616678696277E-3</v>
      </c>
      <c r="D12" s="70">
        <f>(AB13/AB12)^(1/93)-1</f>
        <v>1.8990001709900062E-2</v>
      </c>
      <c r="E12" s="70">
        <f>(AC13/AC12)^(1/93)-1</f>
        <v>5.592327253794549E-3</v>
      </c>
      <c r="F12" s="71">
        <f>(AD13/AD12)^(1/93)-1</f>
        <v>3.6378367307170478E-3</v>
      </c>
      <c r="G12" s="86"/>
      <c r="H12" s="68" t="s">
        <v>20</v>
      </c>
      <c r="I12" s="83">
        <f t="shared" ref="I12:W12" si="10">(AG13/AG12)^(1/93)-1</f>
        <v>5.8556427303122494E-3</v>
      </c>
      <c r="J12" s="85">
        <f t="shared" si="10"/>
        <v>7.2721748160966548E-3</v>
      </c>
      <c r="K12" s="86">
        <f t="shared" si="10"/>
        <v>8.4223759526347308E-3</v>
      </c>
      <c r="L12" s="87">
        <f t="shared" si="10"/>
        <v>1.13329270157152E-2</v>
      </c>
      <c r="M12" s="85">
        <f t="shared" si="10"/>
        <v>2.4809090548192581E-2</v>
      </c>
      <c r="N12" s="87">
        <f t="shared" si="10"/>
        <v>1.4295396760774182E-2</v>
      </c>
      <c r="O12" s="85">
        <f t="shared" si="10"/>
        <v>8.7163665622358444E-3</v>
      </c>
      <c r="P12" s="87">
        <f t="shared" si="10"/>
        <v>4.9456191554815288E-3</v>
      </c>
      <c r="Q12" s="85">
        <f t="shared" si="10"/>
        <v>1.479094231866096E-3</v>
      </c>
      <c r="R12" s="86">
        <f t="shared" si="10"/>
        <v>4.0264290667904046E-3</v>
      </c>
      <c r="S12" s="86">
        <f t="shared" si="10"/>
        <v>5.5089774554795135E-3</v>
      </c>
      <c r="T12" s="86">
        <f t="shared" si="10"/>
        <v>2.8538617039819414E-2</v>
      </c>
      <c r="U12" s="86">
        <f t="shared" si="10"/>
        <v>4.7174816809361086E-3</v>
      </c>
      <c r="V12" s="86">
        <f t="shared" si="10"/>
        <v>1.13329270157152E-2</v>
      </c>
      <c r="W12" s="87">
        <f t="shared" si="10"/>
        <v>8.9998458458142583E-3</v>
      </c>
      <c r="X12" s="10"/>
      <c r="Y12" s="68">
        <v>1820</v>
      </c>
      <c r="Z12" s="75">
        <f t="shared" si="4"/>
        <v>1041.7079704657854</v>
      </c>
      <c r="AA12" s="76">
        <f t="shared" si="5"/>
        <v>216.55990599857256</v>
      </c>
      <c r="AB12" s="76">
        <f t="shared" si="6"/>
        <v>32.387957200000002</v>
      </c>
      <c r="AC12" s="76">
        <f t="shared" si="7"/>
        <v>74.236000000000004</v>
      </c>
      <c r="AD12" s="77">
        <f t="shared" si="8"/>
        <v>718.52410726721268</v>
      </c>
      <c r="AE12" s="76"/>
      <c r="AF12" s="68">
        <v>1820</v>
      </c>
      <c r="AG12" s="75">
        <f t="shared" si="2"/>
        <v>1041.7079704657854</v>
      </c>
      <c r="AH12" s="89">
        <v>133.02799999999999</v>
      </c>
      <c r="AI12" s="90">
        <v>36.457000000000001</v>
      </c>
      <c r="AJ12" s="91">
        <v>47.074905998572589</v>
      </c>
      <c r="AK12" s="90">
        <v>10.796510200000002</v>
      </c>
      <c r="AL12" s="90">
        <v>21.591446999999999</v>
      </c>
      <c r="AM12" s="89">
        <v>10.984999999999999</v>
      </c>
      <c r="AN12" s="91">
        <v>63.251000000000005</v>
      </c>
      <c r="AO12" s="90">
        <v>381</v>
      </c>
      <c r="AP12" s="90">
        <v>209.00001326578524</v>
      </c>
      <c r="AQ12" s="90">
        <v>31</v>
      </c>
      <c r="AR12" s="90">
        <v>0.434</v>
      </c>
      <c r="AS12" s="90">
        <v>25.146999999999998</v>
      </c>
      <c r="AT12" s="90">
        <v>7.690094001427414</v>
      </c>
      <c r="AU12" s="91">
        <v>64.2530000000001</v>
      </c>
      <c r="AV12" s="90"/>
    </row>
    <row r="13" spans="1:48" ht="15" customHeight="1">
      <c r="A13" s="92" t="s">
        <v>50</v>
      </c>
      <c r="B13" s="83">
        <f>(Z14/Z13)^(1/37)-1</f>
        <v>9.3287689088881187E-3</v>
      </c>
      <c r="C13" s="84">
        <f>(AA14/AA13)^(1/37)-1</f>
        <v>3.8659732221586474E-3</v>
      </c>
      <c r="D13" s="70">
        <f>(AB14/AB13)^(1/37)-1</f>
        <v>1.5720793013103584E-2</v>
      </c>
      <c r="E13" s="70">
        <f>(AC14/AC13)^(1/37)-1</f>
        <v>1.6436082161531695E-2</v>
      </c>
      <c r="F13" s="71">
        <f>(AD14/AD13)^(1/37)-1</f>
        <v>9.3393189245452035E-3</v>
      </c>
      <c r="G13" s="86"/>
      <c r="H13" s="92" t="s">
        <v>50</v>
      </c>
      <c r="I13" s="83">
        <f t="shared" ref="I13:W13" si="11">(AG14/AG13)^(1/37)-1</f>
        <v>9.3287689088881187E-3</v>
      </c>
      <c r="J13" s="85">
        <f t="shared" si="11"/>
        <v>4.2779833614694507E-3</v>
      </c>
      <c r="K13" s="86">
        <f t="shared" si="11"/>
        <v>2.6268543842269398E-3</v>
      </c>
      <c r="L13" s="87">
        <f t="shared" si="11"/>
        <v>3.7769457091216818E-3</v>
      </c>
      <c r="M13" s="85">
        <f t="shared" si="11"/>
        <v>1.2383478100580936E-2</v>
      </c>
      <c r="N13" s="87">
        <f t="shared" si="11"/>
        <v>1.9554677176615964E-2</v>
      </c>
      <c r="O13" s="85">
        <f t="shared" si="11"/>
        <v>1.5759493882273823E-2</v>
      </c>
      <c r="P13" s="87">
        <f t="shared" si="11"/>
        <v>1.6600090511910581E-2</v>
      </c>
      <c r="Q13" s="85">
        <f t="shared" si="11"/>
        <v>6.0685292817153069E-3</v>
      </c>
      <c r="R13" s="86">
        <f t="shared" si="11"/>
        <v>4.5313713327597149E-3</v>
      </c>
      <c r="S13" s="86">
        <f t="shared" si="11"/>
        <v>1.3155419481682529E-2</v>
      </c>
      <c r="T13" s="86">
        <f t="shared" si="11"/>
        <v>1.4640824831240185E-2</v>
      </c>
      <c r="U13" s="86">
        <f t="shared" si="11"/>
        <v>1.1666487666426084E-2</v>
      </c>
      <c r="V13" s="86">
        <f t="shared" si="11"/>
        <v>3.7769457091216818E-3</v>
      </c>
      <c r="W13" s="87">
        <f t="shared" si="11"/>
        <v>2.2420505822909886E-2</v>
      </c>
      <c r="X13" s="10"/>
      <c r="Y13" s="92">
        <v>1913</v>
      </c>
      <c r="Z13" s="75">
        <f t="shared" si="4"/>
        <v>1792.9247028219831</v>
      </c>
      <c r="AA13" s="76">
        <f t="shared" si="5"/>
        <v>474.76454017582489</v>
      </c>
      <c r="AB13" s="76">
        <f t="shared" si="6"/>
        <v>186.28863999999999</v>
      </c>
      <c r="AC13" s="76">
        <f t="shared" si="7"/>
        <v>124.697</v>
      </c>
      <c r="AD13" s="77">
        <f t="shared" si="8"/>
        <v>1007.1745226461584</v>
      </c>
      <c r="AE13" s="76"/>
      <c r="AF13" s="92">
        <v>1913</v>
      </c>
      <c r="AG13" s="75">
        <f t="shared" si="2"/>
        <v>1792.9247028219831</v>
      </c>
      <c r="AH13" s="89">
        <v>260.97500000000002</v>
      </c>
      <c r="AI13" s="90">
        <v>79.53</v>
      </c>
      <c r="AJ13" s="91">
        <v>134.2595401758249</v>
      </c>
      <c r="AK13" s="90">
        <v>105.458</v>
      </c>
      <c r="AL13" s="90">
        <v>80.830640000000002</v>
      </c>
      <c r="AM13" s="89">
        <v>24.622</v>
      </c>
      <c r="AN13" s="91">
        <v>100.075</v>
      </c>
      <c r="AO13" s="90">
        <v>437.14</v>
      </c>
      <c r="AP13" s="90">
        <v>303.7</v>
      </c>
      <c r="AQ13" s="90">
        <v>51.671999999999997</v>
      </c>
      <c r="AR13" s="90">
        <v>5.9429999999999996</v>
      </c>
      <c r="AS13" s="90">
        <v>38.956000000000003</v>
      </c>
      <c r="AT13" s="90">
        <v>21.932459824175123</v>
      </c>
      <c r="AU13" s="91">
        <v>147.83106282198332</v>
      </c>
      <c r="AV13" s="90"/>
    </row>
    <row r="14" spans="1:48" ht="15" customHeight="1">
      <c r="A14" s="92" t="s">
        <v>51</v>
      </c>
      <c r="B14" s="83">
        <f t="shared" ref="B14:F15" si="12">(Z15/Z14)^(1/20)-1</f>
        <v>1.9106612256393873E-2</v>
      </c>
      <c r="C14" s="84">
        <f t="shared" si="12"/>
        <v>9.2429616452147645E-3</v>
      </c>
      <c r="D14" s="70">
        <f t="shared" si="12"/>
        <v>2.1941248804815849E-2</v>
      </c>
      <c r="E14" s="70">
        <f t="shared" si="12"/>
        <v>2.3945968351480884E-2</v>
      </c>
      <c r="F14" s="71">
        <f t="shared" si="12"/>
        <v>2.1050778379568369E-2</v>
      </c>
      <c r="G14" s="86"/>
      <c r="H14" s="92" t="s">
        <v>51</v>
      </c>
      <c r="I14" s="83">
        <f t="shared" ref="I14:W15" si="13">(AG15/AG14)^(1/20)-1</f>
        <v>1.9106612256393873E-2</v>
      </c>
      <c r="J14" s="85">
        <f t="shared" si="13"/>
        <v>7.283692401641062E-3</v>
      </c>
      <c r="K14" s="86">
        <f t="shared" si="13"/>
        <v>1.0464116969303605E-2</v>
      </c>
      <c r="L14" s="87">
        <f t="shared" si="13"/>
        <v>1.226290294202359E-2</v>
      </c>
      <c r="M14" s="85">
        <f t="shared" si="13"/>
        <v>1.5640534998901501E-2</v>
      </c>
      <c r="N14" s="87">
        <f t="shared" si="13"/>
        <v>2.7606281286035372E-2</v>
      </c>
      <c r="O14" s="85">
        <f t="shared" si="13"/>
        <v>2.3962676123450155E-2</v>
      </c>
      <c r="P14" s="87">
        <f t="shared" si="13"/>
        <v>2.394198079117249E-2</v>
      </c>
      <c r="Q14" s="85">
        <f t="shared" si="13"/>
        <v>2.0361361527075017E-2</v>
      </c>
      <c r="R14" s="86">
        <f t="shared" si="13"/>
        <v>2.0716513110644819E-2</v>
      </c>
      <c r="S14" s="86">
        <f t="shared" si="13"/>
        <v>1.1020775535734773E-2</v>
      </c>
      <c r="T14" s="86">
        <f t="shared" si="13"/>
        <v>2.1226227055186175E-2</v>
      </c>
      <c r="U14" s="86">
        <f t="shared" si="13"/>
        <v>2.777133814992383E-2</v>
      </c>
      <c r="V14" s="86">
        <f t="shared" si="13"/>
        <v>2.9967943747588155E-2</v>
      </c>
      <c r="W14" s="87">
        <f t="shared" si="13"/>
        <v>2.2768699947388837E-2</v>
      </c>
      <c r="X14" s="10"/>
      <c r="Y14" s="92">
        <v>1950</v>
      </c>
      <c r="Z14" s="75">
        <f t="shared" si="4"/>
        <v>2527.9598949347428</v>
      </c>
      <c r="AA14" s="76">
        <f t="shared" si="5"/>
        <v>547.62141500000007</v>
      </c>
      <c r="AB14" s="76">
        <f t="shared" si="6"/>
        <v>331.76996399999996</v>
      </c>
      <c r="AC14" s="76">
        <f t="shared" si="7"/>
        <v>227.93904599999999</v>
      </c>
      <c r="AD14" s="77">
        <f t="shared" si="8"/>
        <v>1420.6294699347422</v>
      </c>
      <c r="AE14" s="76"/>
      <c r="AF14" s="92">
        <v>1950</v>
      </c>
      <c r="AG14" s="75">
        <f t="shared" si="2"/>
        <v>2527.9598949347428</v>
      </c>
      <c r="AH14" s="89">
        <v>305.62913600000002</v>
      </c>
      <c r="AI14" s="90">
        <v>87.636755000000008</v>
      </c>
      <c r="AJ14" s="91">
        <v>154.355524</v>
      </c>
      <c r="AK14" s="90">
        <v>166.282422</v>
      </c>
      <c r="AL14" s="90">
        <v>165.48754199999999</v>
      </c>
      <c r="AM14" s="89">
        <v>43.912307999999996</v>
      </c>
      <c r="AN14" s="91">
        <v>184.02673799999999</v>
      </c>
      <c r="AO14" s="90">
        <v>546.81500000000005</v>
      </c>
      <c r="AP14" s="90">
        <v>359</v>
      </c>
      <c r="AQ14" s="90">
        <v>83.805000000000007</v>
      </c>
      <c r="AR14" s="90">
        <v>10.175647</v>
      </c>
      <c r="AS14" s="90">
        <v>59.835209999999989</v>
      </c>
      <c r="AT14" s="90">
        <v>25.215312999999998</v>
      </c>
      <c r="AU14" s="91">
        <v>335.78329993474222</v>
      </c>
      <c r="AV14" s="90"/>
    </row>
    <row r="15" spans="1:48" ht="15" customHeight="1">
      <c r="A15" s="92" t="s">
        <v>15</v>
      </c>
      <c r="B15" s="83">
        <f t="shared" si="12"/>
        <v>1.8314607648478587E-2</v>
      </c>
      <c r="C15" s="84">
        <f t="shared" si="12"/>
        <v>4.5275735786658444E-3</v>
      </c>
      <c r="D15" s="70">
        <f t="shared" si="12"/>
        <v>1.7477796867719997E-2</v>
      </c>
      <c r="E15" s="70">
        <f t="shared" si="12"/>
        <v>2.7970189761330255E-2</v>
      </c>
      <c r="F15" s="71">
        <f t="shared" si="12"/>
        <v>2.0386843984014913E-2</v>
      </c>
      <c r="G15" s="86"/>
      <c r="H15" s="92" t="s">
        <v>15</v>
      </c>
      <c r="I15" s="83">
        <f t="shared" si="13"/>
        <v>1.8314607648478587E-2</v>
      </c>
      <c r="J15" s="85">
        <f t="shared" si="13"/>
        <v>3.0947870159703239E-3</v>
      </c>
      <c r="K15" s="86">
        <f t="shared" si="13"/>
        <v>9.3840962649229809E-3</v>
      </c>
      <c r="L15" s="87">
        <f t="shared" si="13"/>
        <v>4.2761664147794587E-3</v>
      </c>
      <c r="M15" s="85">
        <f t="shared" si="13"/>
        <v>1.0800518142827453E-2</v>
      </c>
      <c r="N15" s="87">
        <f t="shared" si="13"/>
        <v>2.2249066490573011E-2</v>
      </c>
      <c r="O15" s="85">
        <f t="shared" si="13"/>
        <v>2.6810180007814433E-2</v>
      </c>
      <c r="P15" s="87">
        <f t="shared" si="13"/>
        <v>2.8243462435521005E-2</v>
      </c>
      <c r="Q15" s="85">
        <f t="shared" si="13"/>
        <v>1.6946136924076205E-2</v>
      </c>
      <c r="R15" s="86">
        <f t="shared" si="13"/>
        <v>2.4260387795589367E-2</v>
      </c>
      <c r="S15" s="86">
        <f t="shared" si="13"/>
        <v>7.9502041373116228E-3</v>
      </c>
      <c r="T15" s="86">
        <f t="shared" si="13"/>
        <v>1.4101486387804618E-2</v>
      </c>
      <c r="U15" s="86">
        <f t="shared" si="13"/>
        <v>3.0087955221754781E-2</v>
      </c>
      <c r="V15" s="86">
        <f t="shared" si="13"/>
        <v>1.9238172522231256E-2</v>
      </c>
      <c r="W15" s="87">
        <f t="shared" si="13"/>
        <v>2.1802731709067213E-2</v>
      </c>
      <c r="X15" s="10"/>
      <c r="Y15" s="92">
        <v>1970</v>
      </c>
      <c r="Z15" s="75">
        <f t="shared" si="4"/>
        <v>3691.1574281273156</v>
      </c>
      <c r="AA15" s="76">
        <f t="shared" si="5"/>
        <v>658.25627899999995</v>
      </c>
      <c r="AB15" s="76">
        <f t="shared" si="6"/>
        <v>512.10102600000005</v>
      </c>
      <c r="AC15" s="76">
        <f t="shared" si="7"/>
        <v>365.89757700000013</v>
      </c>
      <c r="AD15" s="77">
        <f t="shared" si="8"/>
        <v>2154.902546127315</v>
      </c>
      <c r="AE15" s="76"/>
      <c r="AF15" s="92">
        <v>1970</v>
      </c>
      <c r="AG15" s="75">
        <f t="shared" si="2"/>
        <v>3691.1574281273156</v>
      </c>
      <c r="AH15" s="89">
        <v>353.37092399999995</v>
      </c>
      <c r="AI15" s="90">
        <v>107.920563</v>
      </c>
      <c r="AJ15" s="91">
        <v>196.96479199999999</v>
      </c>
      <c r="AK15" s="90">
        <v>226.801986</v>
      </c>
      <c r="AL15" s="90">
        <v>285.29903999999999</v>
      </c>
      <c r="AM15" s="89">
        <v>70.512935999999982</v>
      </c>
      <c r="AN15" s="91">
        <v>295.38464100000016</v>
      </c>
      <c r="AO15" s="90">
        <v>818.31500000000005</v>
      </c>
      <c r="AP15" s="90">
        <v>541</v>
      </c>
      <c r="AQ15" s="90">
        <v>104.344973</v>
      </c>
      <c r="AR15" s="90">
        <v>15.488209999999999</v>
      </c>
      <c r="AS15" s="90">
        <v>103.48725400000002</v>
      </c>
      <c r="AT15" s="90">
        <v>45.513320999999998</v>
      </c>
      <c r="AU15" s="91">
        <v>526.75378812731503</v>
      </c>
      <c r="AV15" s="90"/>
    </row>
    <row r="16" spans="1:48" ht="15" customHeight="1" thickBot="1">
      <c r="A16" s="92" t="s">
        <v>16</v>
      </c>
      <c r="B16" s="83">
        <f>(Z17/Z16)^(1/22)-1</f>
        <v>1.3011746987008133E-2</v>
      </c>
      <c r="C16" s="84">
        <f>(AA17/AA16)^(1/22)-1</f>
        <v>1.2255602855566483E-3</v>
      </c>
      <c r="D16" s="70">
        <f>(AB17/AB16)^(1/22)-1</f>
        <v>1.2595159306247217E-2</v>
      </c>
      <c r="E16" s="70">
        <f>(AC17/AC16)^(1/22)-1</f>
        <v>2.3984332738797853E-2</v>
      </c>
      <c r="F16" s="71">
        <f>(AD17/AD16)^(1/22)-1</f>
        <v>1.301398960187905E-2</v>
      </c>
      <c r="G16" s="86"/>
      <c r="H16" s="92" t="s">
        <v>16</v>
      </c>
      <c r="I16" s="83">
        <f t="shared" ref="I16:W16" si="14">(AG17/AG16)^(1/22)-1</f>
        <v>1.3011746987008133E-2</v>
      </c>
      <c r="J16" s="85">
        <f t="shared" si="14"/>
        <v>4.351295806997113E-3</v>
      </c>
      <c r="K16" s="86">
        <f t="shared" si="14"/>
        <v>-1.4822768027692446E-3</v>
      </c>
      <c r="L16" s="87">
        <f t="shared" si="14"/>
        <v>-3.0228534768019788E-3</v>
      </c>
      <c r="M16" s="85">
        <f t="shared" si="14"/>
        <v>1.008234618876247E-2</v>
      </c>
      <c r="N16" s="87">
        <f t="shared" si="14"/>
        <v>1.4124496583246327E-2</v>
      </c>
      <c r="O16" s="85">
        <f t="shared" si="14"/>
        <v>1.6288530799403844E-2</v>
      </c>
      <c r="P16" s="87">
        <f t="shared" si="14"/>
        <v>2.5609365985991728E-2</v>
      </c>
      <c r="Q16" s="85">
        <f t="shared" si="14"/>
        <v>7.628636780791398E-3</v>
      </c>
      <c r="R16" s="86">
        <f t="shared" si="14"/>
        <v>1.671647913995189E-2</v>
      </c>
      <c r="S16" s="86">
        <f t="shared" si="14"/>
        <v>1.5306149353349063E-3</v>
      </c>
      <c r="T16" s="86">
        <f t="shared" si="14"/>
        <v>1.3253975221077408E-2</v>
      </c>
      <c r="U16" s="86">
        <f t="shared" si="14"/>
        <v>2.1700896197499375E-2</v>
      </c>
      <c r="V16" s="86">
        <f t="shared" si="14"/>
        <v>7.7666026424356716E-3</v>
      </c>
      <c r="W16" s="87">
        <f t="shared" si="14"/>
        <v>1.5730588346282603E-2</v>
      </c>
      <c r="X16" s="10"/>
      <c r="Y16" s="92">
        <v>1990</v>
      </c>
      <c r="Z16" s="75">
        <f t="shared" si="4"/>
        <v>5306.4251540000005</v>
      </c>
      <c r="AA16" s="76">
        <f t="shared" si="5"/>
        <v>720.49713300000008</v>
      </c>
      <c r="AB16" s="76">
        <f t="shared" si="6"/>
        <v>724.19323699999995</v>
      </c>
      <c r="AC16" s="76">
        <f t="shared" si="7"/>
        <v>635.286969</v>
      </c>
      <c r="AD16" s="77">
        <f t="shared" si="8"/>
        <v>3226.447815</v>
      </c>
      <c r="AE16" s="76"/>
      <c r="AF16" s="92">
        <v>1990</v>
      </c>
      <c r="AG16" s="75">
        <f t="shared" si="2"/>
        <v>5306.4251540000005</v>
      </c>
      <c r="AH16" s="89">
        <v>375.89822999999996</v>
      </c>
      <c r="AI16" s="90">
        <v>130.08683800000009</v>
      </c>
      <c r="AJ16" s="91">
        <v>214.51206499999998</v>
      </c>
      <c r="AK16" s="90">
        <v>281.16157699999997</v>
      </c>
      <c r="AL16" s="90">
        <v>443.03165999999999</v>
      </c>
      <c r="AM16" s="89">
        <v>119.693926</v>
      </c>
      <c r="AN16" s="91">
        <v>515.59304299999997</v>
      </c>
      <c r="AO16" s="90">
        <v>1145.1952290000002</v>
      </c>
      <c r="AP16" s="90">
        <v>873.78544899999997</v>
      </c>
      <c r="AQ16" s="90">
        <v>122.25118399999999</v>
      </c>
      <c r="AR16" s="90">
        <v>20.494135999999997</v>
      </c>
      <c r="AS16" s="90">
        <v>187.22896799999998</v>
      </c>
      <c r="AT16" s="90">
        <v>66.627288000000007</v>
      </c>
      <c r="AU16" s="91">
        <v>810.86556100000007</v>
      </c>
      <c r="AV16" s="90"/>
    </row>
    <row r="17" spans="1:59" ht="15" customHeight="1" thickTop="1" thickBot="1">
      <c r="A17" s="93" t="s">
        <v>23</v>
      </c>
      <c r="B17" s="94">
        <f>(Z18/Z17)^(1/18)-1</f>
        <v>9.2367091045337801E-3</v>
      </c>
      <c r="C17" s="95">
        <f>(AA18/AA17)^(1/18)-1</f>
        <v>7.9313275358927626E-5</v>
      </c>
      <c r="D17" s="96">
        <f>(AB18/AB17)^(1/18)-1</f>
        <v>8.1220334853413512E-3</v>
      </c>
      <c r="E17" s="96">
        <f>(AC18/AC17)^(1/18)-1</f>
        <v>2.1236156760290115E-2</v>
      </c>
      <c r="F17" s="97">
        <f>(AD18/AD17)^(1/18)-1</f>
        <v>7.607457301284537E-3</v>
      </c>
      <c r="G17" s="86"/>
      <c r="H17" s="93" t="s">
        <v>23</v>
      </c>
      <c r="I17" s="94">
        <f t="shared" ref="I17:W17" si="15">(AG18/AG17)^(1/18)-1</f>
        <v>9.2367091045337801E-3</v>
      </c>
      <c r="J17" s="98">
        <f t="shared" si="15"/>
        <v>2.1775763880729215E-3</v>
      </c>
      <c r="K17" s="99">
        <f t="shared" si="15"/>
        <v>-1.6741777357334175E-3</v>
      </c>
      <c r="L17" s="100">
        <f t="shared" si="15"/>
        <v>-3.3361916327858676E-3</v>
      </c>
      <c r="M17" s="98">
        <f t="shared" si="15"/>
        <v>7.5823403538464174E-3</v>
      </c>
      <c r="N17" s="100">
        <f t="shared" si="15"/>
        <v>8.4334870664257711E-3</v>
      </c>
      <c r="O17" s="98">
        <f t="shared" si="15"/>
        <v>1.1086522134950094E-2</v>
      </c>
      <c r="P17" s="100">
        <f t="shared" si="15"/>
        <v>2.2983466414502329E-2</v>
      </c>
      <c r="Q17" s="98">
        <f t="shared" si="15"/>
        <v>1.5982805145455803E-3</v>
      </c>
      <c r="R17" s="99">
        <f t="shared" si="15"/>
        <v>1.0678648175593386E-2</v>
      </c>
      <c r="S17" s="99">
        <f t="shared" si="15"/>
        <v>-2.7973350265767527E-3</v>
      </c>
      <c r="T17" s="99">
        <f t="shared" si="15"/>
        <v>1.0395707462975023E-2</v>
      </c>
      <c r="U17" s="99">
        <f t="shared" si="15"/>
        <v>1.4222185925605313E-2</v>
      </c>
      <c r="V17" s="99">
        <f t="shared" si="15"/>
        <v>8.3638481271843812E-3</v>
      </c>
      <c r="W17" s="100">
        <f t="shared" si="15"/>
        <v>9.9531691951790791E-3</v>
      </c>
      <c r="X17" s="10"/>
      <c r="Y17" s="101">
        <v>2012</v>
      </c>
      <c r="Z17" s="75">
        <f t="shared" si="4"/>
        <v>7052.1353050000007</v>
      </c>
      <c r="AA17" s="76">
        <f t="shared" si="5"/>
        <v>740.17545099999995</v>
      </c>
      <c r="AB17" s="76">
        <f t="shared" si="6"/>
        <v>953.76876800000014</v>
      </c>
      <c r="AC17" s="76">
        <f t="shared" si="7"/>
        <v>1070.096166</v>
      </c>
      <c r="AD17" s="77">
        <f t="shared" si="8"/>
        <v>4288.0949200000005</v>
      </c>
      <c r="AE17" s="76"/>
      <c r="AF17" s="101">
        <v>2012</v>
      </c>
      <c r="AG17" s="75">
        <f t="shared" si="2"/>
        <v>7052.1353050000007</v>
      </c>
      <c r="AH17" s="89">
        <v>413.57516700000008</v>
      </c>
      <c r="AI17" s="90">
        <v>125.91007099999993</v>
      </c>
      <c r="AJ17" s="91">
        <v>200.690213</v>
      </c>
      <c r="AK17" s="90">
        <v>350.594539</v>
      </c>
      <c r="AL17" s="90">
        <v>603.17422900000008</v>
      </c>
      <c r="AM17" s="89">
        <v>170.78379100000001</v>
      </c>
      <c r="AN17" s="91">
        <v>899.31237499999997</v>
      </c>
      <c r="AO17" s="90">
        <v>1353.6006869999999</v>
      </c>
      <c r="AP17" s="90">
        <v>1258.3509709999998</v>
      </c>
      <c r="AQ17" s="90">
        <v>126.43465300000001</v>
      </c>
      <c r="AR17" s="90">
        <v>27.379944999999999</v>
      </c>
      <c r="AS17" s="90">
        <v>300.25903099999994</v>
      </c>
      <c r="AT17" s="90">
        <v>78.989851000000016</v>
      </c>
      <c r="AU17" s="91">
        <v>1143.0797820000007</v>
      </c>
      <c r="AV17" s="90"/>
    </row>
    <row r="18" spans="1:59" ht="15" customHeight="1" thickTop="1">
      <c r="A18" s="92" t="s">
        <v>24</v>
      </c>
      <c r="B18" s="83">
        <f t="shared" ref="B18:C20" si="16">(Z19/Z18)^(1/20)-1</f>
        <v>5.6079181716328641E-3</v>
      </c>
      <c r="C18" s="84">
        <f t="shared" si="16"/>
        <v>-1.5036630882596658E-3</v>
      </c>
      <c r="D18" s="70">
        <f t="shared" ref="D18:F20" si="17">(AB19/AB18)^(1/20)-1</f>
        <v>4.1199565522509474E-3</v>
      </c>
      <c r="E18" s="70">
        <f t="shared" si="17"/>
        <v>1.7075865749658359E-2</v>
      </c>
      <c r="F18" s="71">
        <f t="shared" si="17"/>
        <v>2.7994229457315445E-3</v>
      </c>
      <c r="G18" s="86"/>
      <c r="H18" s="92" t="s">
        <v>24</v>
      </c>
      <c r="I18" s="83">
        <f t="shared" ref="I18:W20" si="18">(AG19/AG18)^(1/20)-1</f>
        <v>5.6079181716328641E-3</v>
      </c>
      <c r="J18" s="85">
        <f t="shared" si="18"/>
        <v>3.704278999310251E-4</v>
      </c>
      <c r="K18" s="86">
        <f t="shared" si="18"/>
        <v>-3.8732109395004377E-3</v>
      </c>
      <c r="L18" s="87">
        <f t="shared" si="18"/>
        <v>-4.4279705147295401E-3</v>
      </c>
      <c r="M18" s="85">
        <f t="shared" si="18"/>
        <v>5.3469048346288517E-3</v>
      </c>
      <c r="N18" s="87">
        <f t="shared" si="18"/>
        <v>3.4045154149253687E-3</v>
      </c>
      <c r="O18" s="85">
        <f t="shared" si="18"/>
        <v>5.2994109783326415E-3</v>
      </c>
      <c r="P18" s="87">
        <f t="shared" si="18"/>
        <v>1.8677357574492293E-2</v>
      </c>
      <c r="Q18" s="85">
        <f t="shared" si="18"/>
        <v>-3.620305228932974E-3</v>
      </c>
      <c r="R18" s="86">
        <f t="shared" si="18"/>
        <v>5.2596359178722629E-3</v>
      </c>
      <c r="S18" s="86">
        <f t="shared" si="18"/>
        <v>-5.0922056107598479E-3</v>
      </c>
      <c r="T18" s="86">
        <f t="shared" si="18"/>
        <v>5.8498436356597683E-3</v>
      </c>
      <c r="U18" s="86">
        <f t="shared" si="18"/>
        <v>8.9860421117602396E-3</v>
      </c>
      <c r="V18" s="86">
        <f t="shared" si="18"/>
        <v>4.0511603347777037E-3</v>
      </c>
      <c r="W18" s="87">
        <f t="shared" si="18"/>
        <v>4.741910650380099E-3</v>
      </c>
      <c r="X18" s="10"/>
      <c r="Y18" s="102" t="s">
        <v>25</v>
      </c>
      <c r="Z18" s="78">
        <f t="shared" ref="Z18:Z29" si="19">AG18</f>
        <v>8321.37961</v>
      </c>
      <c r="AA18" s="80">
        <f t="shared" ref="AA18:AA29" si="20">AH18+AI18+AJ18</f>
        <v>741.23286699999994</v>
      </c>
      <c r="AB18" s="80">
        <f t="shared" ref="AB18:AB29" si="21">AK18+AL18</f>
        <v>1103.2629119999999</v>
      </c>
      <c r="AC18" s="80">
        <f t="shared" ref="AC18:AC29" si="22">AM18+AN18</f>
        <v>1562.0469890000002</v>
      </c>
      <c r="AD18" s="81">
        <f t="shared" ref="AD18:AD29" si="23">AO18+AP18+AQ18+AR18+AS18+AT18+AU18</f>
        <v>4914.8368419999988</v>
      </c>
      <c r="AE18" s="76"/>
      <c r="AF18" s="102" t="s">
        <v>25</v>
      </c>
      <c r="AG18" s="78">
        <f t="shared" ref="AG18:AG29" si="24">SUM(AH18:AU18)</f>
        <v>8321.37961</v>
      </c>
      <c r="AH18" s="103">
        <v>430.08937700000001</v>
      </c>
      <c r="AI18" s="104">
        <v>122.16926199999992</v>
      </c>
      <c r="AJ18" s="105">
        <v>188.97422800000001</v>
      </c>
      <c r="AK18" s="104">
        <v>401.65668099999999</v>
      </c>
      <c r="AL18" s="104">
        <v>701.60623099999998</v>
      </c>
      <c r="AM18" s="103">
        <v>208.27465899999999</v>
      </c>
      <c r="AN18" s="105">
        <v>1353.7723300000002</v>
      </c>
      <c r="AO18" s="104">
        <v>1393.0760680000001</v>
      </c>
      <c r="AP18" s="104">
        <v>1523.4823349999999</v>
      </c>
      <c r="AQ18" s="104">
        <v>120.21754900000001</v>
      </c>
      <c r="AR18" s="104">
        <v>32.982185999999999</v>
      </c>
      <c r="AS18" s="104">
        <v>387.16134899999992</v>
      </c>
      <c r="AT18" s="104">
        <v>91.766062999999988</v>
      </c>
      <c r="AU18" s="105">
        <v>1366.1512919999986</v>
      </c>
      <c r="AV18" s="90"/>
    </row>
    <row r="19" spans="1:59" ht="15" customHeight="1">
      <c r="A19" s="92" t="s">
        <v>26</v>
      </c>
      <c r="B19" s="83">
        <f t="shared" si="16"/>
        <v>2.7273155397222748E-3</v>
      </c>
      <c r="C19" s="84">
        <f t="shared" si="16"/>
        <v>-2.3100986788094913E-3</v>
      </c>
      <c r="D19" s="70">
        <f t="shared" si="17"/>
        <v>1.3214431717565311E-3</v>
      </c>
      <c r="E19" s="70">
        <f t="shared" si="17"/>
        <v>1.2685150187024208E-2</v>
      </c>
      <c r="F19" s="71">
        <f t="shared" si="17"/>
        <v>-1.0392318796523803E-3</v>
      </c>
      <c r="G19" s="86"/>
      <c r="H19" s="92" t="s">
        <v>26</v>
      </c>
      <c r="I19" s="83">
        <f t="shared" si="18"/>
        <v>2.7273155397222748E-3</v>
      </c>
      <c r="J19" s="85">
        <f t="shared" si="18"/>
        <v>-8.7317343552739679E-4</v>
      </c>
      <c r="K19" s="86">
        <f t="shared" si="18"/>
        <v>-4.7207780826999945E-3</v>
      </c>
      <c r="L19" s="87">
        <f t="shared" si="18"/>
        <v>-4.4635247277646783E-3</v>
      </c>
      <c r="M19" s="85">
        <f t="shared" si="18"/>
        <v>4.0711711302434672E-3</v>
      </c>
      <c r="N19" s="87">
        <f t="shared" si="18"/>
        <v>-3.8556758568297766E-4</v>
      </c>
      <c r="O19" s="85">
        <f t="shared" si="18"/>
        <v>3.7485154461869286E-4</v>
      </c>
      <c r="P19" s="87">
        <f t="shared" si="18"/>
        <v>1.3967249857360864E-2</v>
      </c>
      <c r="Q19" s="85">
        <f t="shared" si="18"/>
        <v>-6.9950083339561653E-3</v>
      </c>
      <c r="R19" s="86">
        <f t="shared" si="18"/>
        <v>4.7634558531672866E-4</v>
      </c>
      <c r="S19" s="86">
        <f t="shared" si="18"/>
        <v>-5.0347275039329675E-3</v>
      </c>
      <c r="T19" s="86">
        <f t="shared" si="18"/>
        <v>3.3445316624569621E-3</v>
      </c>
      <c r="U19" s="86">
        <f t="shared" si="18"/>
        <v>4.3695953178659597E-3</v>
      </c>
      <c r="V19" s="86">
        <f t="shared" si="18"/>
        <v>5.1538797622674437E-4</v>
      </c>
      <c r="W19" s="87">
        <f t="shared" si="18"/>
        <v>3.7111208654683203E-4</v>
      </c>
      <c r="X19" s="10"/>
      <c r="Y19" s="106" t="s">
        <v>27</v>
      </c>
      <c r="Z19" s="75">
        <f t="shared" si="19"/>
        <v>9306.1279859999995</v>
      </c>
      <c r="AA19" s="76">
        <f t="shared" si="20"/>
        <v>719.25714899999991</v>
      </c>
      <c r="AB19" s="76">
        <f t="shared" si="21"/>
        <v>1197.8184309999999</v>
      </c>
      <c r="AC19" s="76">
        <f t="shared" si="22"/>
        <v>2191.5989049999998</v>
      </c>
      <c r="AD19" s="77">
        <f t="shared" si="23"/>
        <v>5197.453501</v>
      </c>
      <c r="AE19" s="76"/>
      <c r="AF19" s="106" t="s">
        <v>27</v>
      </c>
      <c r="AG19" s="75">
        <f t="shared" si="24"/>
        <v>9306.1279859999995</v>
      </c>
      <c r="AH19" s="89">
        <v>433.28695699999997</v>
      </c>
      <c r="AI19" s="90">
        <v>113.04577800000001</v>
      </c>
      <c r="AJ19" s="91">
        <v>172.92441399999998</v>
      </c>
      <c r="AK19" s="90">
        <v>446.86248799999998</v>
      </c>
      <c r="AL19" s="90">
        <v>750.95594299999993</v>
      </c>
      <c r="AM19" s="89">
        <v>231.49680100000003</v>
      </c>
      <c r="AN19" s="91">
        <v>1960.1021039999998</v>
      </c>
      <c r="AO19" s="90">
        <v>1295.6037630000001</v>
      </c>
      <c r="AP19" s="90">
        <v>1692.0076309999999</v>
      </c>
      <c r="AQ19" s="90">
        <v>108.548677</v>
      </c>
      <c r="AR19" s="90">
        <v>37.063164</v>
      </c>
      <c r="AS19" s="90">
        <v>463.01510899999994</v>
      </c>
      <c r="AT19" s="90">
        <v>99.494471000000004</v>
      </c>
      <c r="AU19" s="91">
        <v>1501.7206859999997</v>
      </c>
      <c r="AV19" s="90"/>
      <c r="BA19" s="50"/>
      <c r="BD19" s="107"/>
      <c r="BE19" s="107"/>
      <c r="BF19" s="107"/>
      <c r="BG19" s="107"/>
    </row>
    <row r="20" spans="1:59" ht="15" customHeight="1" thickBot="1">
      <c r="A20" s="101" t="s">
        <v>28</v>
      </c>
      <c r="B20" s="108">
        <f t="shared" si="16"/>
        <v>1.4938724189139663E-3</v>
      </c>
      <c r="C20" s="109">
        <f t="shared" si="16"/>
        <v>-8.7728665206776579E-4</v>
      </c>
      <c r="D20" s="110">
        <f t="shared" si="17"/>
        <v>-6.5165466997696431E-4</v>
      </c>
      <c r="E20" s="110">
        <f t="shared" si="17"/>
        <v>1.1919792657392403E-2</v>
      </c>
      <c r="F20" s="111">
        <f t="shared" si="17"/>
        <v>-4.3863271517823321E-3</v>
      </c>
      <c r="G20" s="86"/>
      <c r="H20" s="101" t="s">
        <v>28</v>
      </c>
      <c r="I20" s="108">
        <f t="shared" si="18"/>
        <v>1.4938724189139663E-3</v>
      </c>
      <c r="J20" s="112">
        <f t="shared" si="18"/>
        <v>4.7359199730023782E-4</v>
      </c>
      <c r="K20" s="113">
        <f t="shared" si="18"/>
        <v>-3.9913204854746809E-3</v>
      </c>
      <c r="L20" s="114">
        <f t="shared" si="18"/>
        <v>-2.6242375245060234E-3</v>
      </c>
      <c r="M20" s="112">
        <f t="shared" si="18"/>
        <v>4.138863203075438E-3</v>
      </c>
      <c r="N20" s="114">
        <f t="shared" si="18"/>
        <v>-4.0192607999729457E-3</v>
      </c>
      <c r="O20" s="112">
        <f t="shared" si="18"/>
        <v>-3.8107341618159873E-3</v>
      </c>
      <c r="P20" s="114">
        <f t="shared" si="18"/>
        <v>1.3133077414026584E-2</v>
      </c>
      <c r="Q20" s="112">
        <f t="shared" si="18"/>
        <v>-8.9275385904401539E-3</v>
      </c>
      <c r="R20" s="113">
        <f t="shared" si="18"/>
        <v>-4.8186247231617463E-3</v>
      </c>
      <c r="S20" s="113">
        <f t="shared" si="18"/>
        <v>-3.5822089749711905E-3</v>
      </c>
      <c r="T20" s="113">
        <f t="shared" si="18"/>
        <v>3.1937193351996296E-3</v>
      </c>
      <c r="U20" s="113">
        <f t="shared" si="18"/>
        <v>2.2477359998578361E-3</v>
      </c>
      <c r="V20" s="113">
        <f t="shared" si="18"/>
        <v>-1.5466877753584907E-3</v>
      </c>
      <c r="W20" s="114">
        <f t="shared" si="18"/>
        <v>-3.4921530665565914E-3</v>
      </c>
      <c r="X20" s="10"/>
      <c r="Y20" s="106" t="s">
        <v>29</v>
      </c>
      <c r="Z20" s="75">
        <f t="shared" si="19"/>
        <v>9827.1127190000025</v>
      </c>
      <c r="AA20" s="76">
        <f t="shared" si="20"/>
        <v>686.74532700000009</v>
      </c>
      <c r="AB20" s="76">
        <f t="shared" si="21"/>
        <v>1229.875992</v>
      </c>
      <c r="AC20" s="76">
        <f t="shared" si="22"/>
        <v>2820.0051869999998</v>
      </c>
      <c r="AD20" s="77">
        <f t="shared" si="23"/>
        <v>5090.4862130000001</v>
      </c>
      <c r="AE20" s="76"/>
      <c r="AF20" s="106" t="s">
        <v>29</v>
      </c>
      <c r="AG20" s="75">
        <f t="shared" si="24"/>
        <v>9827.1127190000025</v>
      </c>
      <c r="AH20" s="89">
        <v>425.78270300000003</v>
      </c>
      <c r="AI20" s="90">
        <v>102.83787599999999</v>
      </c>
      <c r="AJ20" s="91">
        <v>158.12474800000001</v>
      </c>
      <c r="AK20" s="90">
        <v>484.689772</v>
      </c>
      <c r="AL20" s="90">
        <v>745.18621999999993</v>
      </c>
      <c r="AM20" s="89">
        <v>233.23853400000002</v>
      </c>
      <c r="AN20" s="91">
        <v>2586.7666529999997</v>
      </c>
      <c r="AO20" s="90">
        <v>1125.9026289999999</v>
      </c>
      <c r="AP20" s="90">
        <v>1708.2003929999998</v>
      </c>
      <c r="AQ20" s="90">
        <v>98.125749999999996</v>
      </c>
      <c r="AR20" s="90">
        <v>39.622716999999994</v>
      </c>
      <c r="AS20" s="90">
        <v>505.20344700000004</v>
      </c>
      <c r="AT20" s="90">
        <v>100.52507299999999</v>
      </c>
      <c r="AU20" s="91">
        <v>1512.9062040000003</v>
      </c>
      <c r="AV20" s="90"/>
    </row>
    <row r="21" spans="1:59" ht="15" customHeight="1" thickTop="1" thickBot="1">
      <c r="A21" s="93" t="s">
        <v>30</v>
      </c>
      <c r="B21" s="94">
        <f>(Z22/Z$17)^(1/18)-1</f>
        <v>1.2226681191560784E-2</v>
      </c>
      <c r="C21" s="95">
        <f>(AA22/AA$17)^(1/18)-1</f>
        <v>2.7874040999860128E-3</v>
      </c>
      <c r="D21" s="96">
        <f>(AB22/AB$17)^(1/18)-1</f>
        <v>1.1169895251770035E-2</v>
      </c>
      <c r="E21" s="96">
        <f>(AC22/AC$17)^(1/18)-1</f>
        <v>2.4052149209173201E-2</v>
      </c>
      <c r="F21" s="97">
        <f>(AD22/AD$17)^(1/18)-1</f>
        <v>1.0683014116972478E-2</v>
      </c>
      <c r="G21" s="86"/>
      <c r="H21" s="93" t="s">
        <v>30</v>
      </c>
      <c r="I21" s="94">
        <f t="shared" ref="I21:W21" si="25">(AG22/AG$17)^(1/18)-1</f>
        <v>1.2226681191560784E-2</v>
      </c>
      <c r="J21" s="98">
        <f t="shared" si="25"/>
        <v>4.7449775173675768E-3</v>
      </c>
      <c r="K21" s="99">
        <f t="shared" si="25"/>
        <v>1.2207828999895032E-3</v>
      </c>
      <c r="L21" s="100">
        <f t="shared" si="25"/>
        <v>-4.3070026701330644E-4</v>
      </c>
      <c r="M21" s="98">
        <f t="shared" si="25"/>
        <v>1.0268510006377296E-2</v>
      </c>
      <c r="N21" s="100">
        <f t="shared" si="25"/>
        <v>1.1687614352445586E-2</v>
      </c>
      <c r="O21" s="98">
        <f t="shared" si="25"/>
        <v>1.4351305291449457E-2</v>
      </c>
      <c r="P21" s="100">
        <f t="shared" si="25"/>
        <v>2.5729719324410372E-2</v>
      </c>
      <c r="Q21" s="98">
        <f t="shared" si="25"/>
        <v>4.495992156356321E-3</v>
      </c>
      <c r="R21" s="99">
        <f t="shared" si="25"/>
        <v>1.3855748398329482E-2</v>
      </c>
      <c r="S21" s="99">
        <f t="shared" si="25"/>
        <v>-3.8561138315229559E-4</v>
      </c>
      <c r="T21" s="99">
        <f t="shared" si="25"/>
        <v>1.3098260854956356E-2</v>
      </c>
      <c r="U21" s="99">
        <f t="shared" si="25"/>
        <v>1.7340783394913295E-2</v>
      </c>
      <c r="V21" s="99">
        <f t="shared" si="25"/>
        <v>1.1600725743404983E-2</v>
      </c>
      <c r="W21" s="100">
        <f t="shared" si="25"/>
        <v>1.3144825144422834E-2</v>
      </c>
      <c r="Y21" s="115" t="s">
        <v>31</v>
      </c>
      <c r="Z21" s="116">
        <f t="shared" si="19"/>
        <v>10124.926196</v>
      </c>
      <c r="AA21" s="117">
        <f t="shared" si="20"/>
        <v>674.79577300000005</v>
      </c>
      <c r="AB21" s="117">
        <f t="shared" si="21"/>
        <v>1213.9457480000001</v>
      </c>
      <c r="AC21" s="117">
        <f t="shared" si="22"/>
        <v>3574.1413069999999</v>
      </c>
      <c r="AD21" s="118">
        <f t="shared" si="23"/>
        <v>4662.0433680000006</v>
      </c>
      <c r="AE21" s="76"/>
      <c r="AF21" s="115" t="s">
        <v>31</v>
      </c>
      <c r="AG21" s="116">
        <f t="shared" si="24"/>
        <v>10124.926196</v>
      </c>
      <c r="AH21" s="119">
        <v>429.83384500000005</v>
      </c>
      <c r="AI21" s="120">
        <v>94.932639999999992</v>
      </c>
      <c r="AJ21" s="121">
        <v>150.02928800000001</v>
      </c>
      <c r="AK21" s="120">
        <v>526.42847600000005</v>
      </c>
      <c r="AL21" s="120">
        <v>687.51727200000005</v>
      </c>
      <c r="AM21" s="119">
        <v>216.09138799999997</v>
      </c>
      <c r="AN21" s="121">
        <v>3358.049919</v>
      </c>
      <c r="AO21" s="120">
        <v>941.04200100000003</v>
      </c>
      <c r="AP21" s="120">
        <v>1550.8993370000001</v>
      </c>
      <c r="AQ21" s="120">
        <v>91.329789000000005</v>
      </c>
      <c r="AR21" s="120">
        <v>42.231873</v>
      </c>
      <c r="AS21" s="120">
        <v>528.406295</v>
      </c>
      <c r="AT21" s="120">
        <v>97.460725000000011</v>
      </c>
      <c r="AU21" s="121">
        <v>1410.6733480000003</v>
      </c>
      <c r="AV21" s="90"/>
    </row>
    <row r="22" spans="1:59" ht="15" customHeight="1" thickTop="1">
      <c r="A22" s="92" t="s">
        <v>32</v>
      </c>
      <c r="B22" s="83">
        <f>(Z23/Z22)^(1/20)-1</f>
        <v>9.5517127713595773E-3</v>
      </c>
      <c r="C22" s="84">
        <f t="shared" ref="C22:F24" si="26">(AA23/AA22)^(1/20)-1</f>
        <v>2.2520700558277262E-3</v>
      </c>
      <c r="D22" s="70">
        <f t="shared" si="26"/>
        <v>8.1485928158682164E-3</v>
      </c>
      <c r="E22" s="70">
        <f t="shared" si="26"/>
        <v>2.0637885817131441E-2</v>
      </c>
      <c r="F22" s="71">
        <f t="shared" si="26"/>
        <v>6.9248567513189307E-3</v>
      </c>
      <c r="G22" s="86"/>
      <c r="H22" s="92" t="s">
        <v>32</v>
      </c>
      <c r="I22" s="83">
        <f t="shared" ref="I22:W24" si="27">(AG23/AG22)^(1/20)-1</f>
        <v>9.5517127713595773E-3</v>
      </c>
      <c r="J22" s="85">
        <f t="shared" si="27"/>
        <v>3.8096902356434814E-3</v>
      </c>
      <c r="K22" s="86">
        <f t="shared" si="27"/>
        <v>5.0442494321512044E-5</v>
      </c>
      <c r="L22" s="87">
        <f t="shared" si="27"/>
        <v>2.4175673166038081E-5</v>
      </c>
      <c r="M22" s="85">
        <f t="shared" si="27"/>
        <v>8.7244579638015018E-3</v>
      </c>
      <c r="N22" s="87">
        <f t="shared" si="27"/>
        <v>7.8194268028870528E-3</v>
      </c>
      <c r="O22" s="85">
        <f t="shared" si="27"/>
        <v>9.2939267300842232E-3</v>
      </c>
      <c r="P22" s="87">
        <f t="shared" si="27"/>
        <v>2.2203008242629441E-2</v>
      </c>
      <c r="Q22" s="85">
        <f t="shared" si="27"/>
        <v>4.031224981368986E-4</v>
      </c>
      <c r="R22" s="86">
        <f t="shared" si="27"/>
        <v>9.6311429503388446E-3</v>
      </c>
      <c r="S22" s="86">
        <f t="shared" si="27"/>
        <v>-1.6521480639258845E-3</v>
      </c>
      <c r="T22" s="86">
        <f t="shared" si="27"/>
        <v>9.1426895062853841E-3</v>
      </c>
      <c r="U22" s="86">
        <f t="shared" si="27"/>
        <v>1.2744738961949276E-2</v>
      </c>
      <c r="V22" s="86">
        <f t="shared" si="27"/>
        <v>8.3170268957646343E-3</v>
      </c>
      <c r="W22" s="87">
        <f t="shared" si="27"/>
        <v>8.8198673426500562E-3</v>
      </c>
      <c r="Y22" s="102" t="s">
        <v>33</v>
      </c>
      <c r="Z22" s="78">
        <f t="shared" si="19"/>
        <v>8776.4864770000004</v>
      </c>
      <c r="AA22" s="80">
        <f t="shared" si="20"/>
        <v>778.20558000000005</v>
      </c>
      <c r="AB22" s="80">
        <f t="shared" si="21"/>
        <v>1164.8699959999999</v>
      </c>
      <c r="AC22" s="80">
        <f t="shared" si="22"/>
        <v>1641.4215419999998</v>
      </c>
      <c r="AD22" s="81">
        <f t="shared" si="23"/>
        <v>5191.9893590000001</v>
      </c>
      <c r="AF22" s="102" t="s">
        <v>33</v>
      </c>
      <c r="AG22" s="78">
        <f t="shared" si="24"/>
        <v>8776.4864770000004</v>
      </c>
      <c r="AH22" s="103">
        <v>450.35982799999994</v>
      </c>
      <c r="AI22" s="104">
        <v>128.70572800000005</v>
      </c>
      <c r="AJ22" s="105">
        <v>199.14002400000001</v>
      </c>
      <c r="AK22" s="104">
        <v>421.37410199999999</v>
      </c>
      <c r="AL22" s="104">
        <v>743.49589400000002</v>
      </c>
      <c r="AM22" s="103">
        <v>220.71797999999995</v>
      </c>
      <c r="AN22" s="105">
        <v>1420.7035619999999</v>
      </c>
      <c r="AO22" s="104">
        <v>1467.433115</v>
      </c>
      <c r="AP22" s="104">
        <v>1612.0288519999999</v>
      </c>
      <c r="AQ22" s="104">
        <v>125.55994</v>
      </c>
      <c r="AR22" s="104">
        <v>34.606750999999996</v>
      </c>
      <c r="AS22" s="104">
        <v>409.15915000000001</v>
      </c>
      <c r="AT22" s="104">
        <v>97.215536000000029</v>
      </c>
      <c r="AU22" s="105">
        <v>1445.986015</v>
      </c>
      <c r="AV22" s="90"/>
    </row>
    <row r="23" spans="1:59" ht="15" customHeight="1">
      <c r="A23" s="92" t="s">
        <v>34</v>
      </c>
      <c r="B23" s="83">
        <f>(Z24/Z23)^(1/20)-1</f>
        <v>8.2043441073320622E-3</v>
      </c>
      <c r="C23" s="84">
        <f t="shared" si="26"/>
        <v>3.4239045497581611E-3</v>
      </c>
      <c r="D23" s="70">
        <f t="shared" si="26"/>
        <v>6.9546014916892496E-3</v>
      </c>
      <c r="E23" s="70">
        <f t="shared" si="26"/>
        <v>1.724058974666165E-2</v>
      </c>
      <c r="F23" s="71">
        <f t="shared" si="26"/>
        <v>4.9327430398649064E-3</v>
      </c>
      <c r="G23" s="86"/>
      <c r="H23" s="92" t="s">
        <v>34</v>
      </c>
      <c r="I23" s="83">
        <f t="shared" si="27"/>
        <v>8.2043441073320622E-3</v>
      </c>
      <c r="J23" s="85">
        <f t="shared" si="27"/>
        <v>4.4413798291089712E-3</v>
      </c>
      <c r="K23" s="86">
        <f t="shared" si="27"/>
        <v>1.4892220026854197E-3</v>
      </c>
      <c r="L23" s="87">
        <f t="shared" si="27"/>
        <v>2.130888232235284E-3</v>
      </c>
      <c r="M23" s="85">
        <f t="shared" si="27"/>
        <v>8.8612348780743311E-3</v>
      </c>
      <c r="N23" s="87">
        <f t="shared" si="27"/>
        <v>5.822420572534126E-3</v>
      </c>
      <c r="O23" s="85">
        <f t="shared" si="27"/>
        <v>6.0921011366414923E-3</v>
      </c>
      <c r="P23" s="87">
        <f t="shared" si="27"/>
        <v>1.8439265003461047E-2</v>
      </c>
      <c r="Q23" s="85">
        <f t="shared" si="27"/>
        <v>-5.1337948403396005E-4</v>
      </c>
      <c r="R23" s="86">
        <f t="shared" si="27"/>
        <v>6.5153544088458748E-3</v>
      </c>
      <c r="S23" s="86">
        <f t="shared" si="27"/>
        <v>6.2455583951281923E-4</v>
      </c>
      <c r="T23" s="86">
        <f t="shared" si="27"/>
        <v>8.141123167854758E-3</v>
      </c>
      <c r="U23" s="86">
        <f t="shared" si="27"/>
        <v>9.5670265059377702E-3</v>
      </c>
      <c r="V23" s="86">
        <f t="shared" si="27"/>
        <v>6.4681909882022826E-3</v>
      </c>
      <c r="W23" s="87">
        <f t="shared" si="27"/>
        <v>6.1665976313576287E-3</v>
      </c>
      <c r="Y23" s="106" t="s">
        <v>35</v>
      </c>
      <c r="Z23" s="75">
        <f t="shared" si="19"/>
        <v>10614.317801999998</v>
      </c>
      <c r="AA23" s="76">
        <f t="shared" si="20"/>
        <v>814.0171949999999</v>
      </c>
      <c r="AB23" s="76">
        <f t="shared" si="21"/>
        <v>1370.1509760000001</v>
      </c>
      <c r="AC23" s="76">
        <f t="shared" si="22"/>
        <v>2469.7547689999997</v>
      </c>
      <c r="AD23" s="77">
        <f t="shared" si="23"/>
        <v>5960.3948620000001</v>
      </c>
      <c r="AF23" s="106" t="s">
        <v>35</v>
      </c>
      <c r="AG23" s="75">
        <f t="shared" si="24"/>
        <v>10614.317801999998</v>
      </c>
      <c r="AH23" s="89">
        <v>485.94522699999993</v>
      </c>
      <c r="AI23" s="90">
        <v>128.835635</v>
      </c>
      <c r="AJ23" s="91">
        <v>199.23633299999997</v>
      </c>
      <c r="AK23" s="90">
        <v>501.32442099999997</v>
      </c>
      <c r="AL23" s="90">
        <v>868.8265550000001</v>
      </c>
      <c r="AM23" s="89">
        <v>265.57727600000004</v>
      </c>
      <c r="AN23" s="91">
        <v>2204.1774929999997</v>
      </c>
      <c r="AO23" s="90">
        <v>1479.3096399999999</v>
      </c>
      <c r="AP23" s="90">
        <v>1952.664256</v>
      </c>
      <c r="AQ23" s="90">
        <v>121.475545</v>
      </c>
      <c r="AR23" s="90">
        <v>41.515703000000002</v>
      </c>
      <c r="AS23" s="90">
        <v>527.09898900000007</v>
      </c>
      <c r="AT23" s="90">
        <v>114.73018499999999</v>
      </c>
      <c r="AU23" s="91">
        <v>1723.6005439999999</v>
      </c>
      <c r="AV23" s="90"/>
    </row>
    <row r="24" spans="1:59" ht="15" customHeight="1" thickBot="1">
      <c r="A24" s="101" t="s">
        <v>36</v>
      </c>
      <c r="B24" s="108">
        <f>(Z25/Z24)^(1/20)-1</f>
        <v>1.1803977096412233E-2</v>
      </c>
      <c r="C24" s="109">
        <f t="shared" si="26"/>
        <v>9.6583542216153173E-3</v>
      </c>
      <c r="D24" s="110">
        <f t="shared" si="26"/>
        <v>1.0260297537296292E-2</v>
      </c>
      <c r="E24" s="110">
        <f t="shared" si="26"/>
        <v>2.032199206407892E-2</v>
      </c>
      <c r="F24" s="111">
        <f t="shared" si="26"/>
        <v>7.3868779911074878E-3</v>
      </c>
      <c r="G24" s="86"/>
      <c r="H24" s="101" t="s">
        <v>36</v>
      </c>
      <c r="I24" s="108">
        <f t="shared" si="27"/>
        <v>1.1803977096412233E-2</v>
      </c>
      <c r="J24" s="112">
        <f t="shared" si="27"/>
        <v>1.0349138098607824E-2</v>
      </c>
      <c r="K24" s="113">
        <f t="shared" si="27"/>
        <v>7.5336388569515744E-3</v>
      </c>
      <c r="L24" s="114">
        <f t="shared" si="27"/>
        <v>9.2103659467690502E-3</v>
      </c>
      <c r="M24" s="112">
        <f t="shared" si="27"/>
        <v>1.3159682110253534E-2</v>
      </c>
      <c r="N24" s="114">
        <f t="shared" si="27"/>
        <v>8.40185398894433E-3</v>
      </c>
      <c r="O24" s="112">
        <f t="shared" si="27"/>
        <v>7.6293251545092033E-3</v>
      </c>
      <c r="P24" s="114">
        <f t="shared" si="27"/>
        <v>2.1378219240084873E-2</v>
      </c>
      <c r="Q24" s="112">
        <f t="shared" si="27"/>
        <v>4.033205934462325E-3</v>
      </c>
      <c r="R24" s="113">
        <f t="shared" si="27"/>
        <v>7.2626191761138159E-3</v>
      </c>
      <c r="S24" s="113">
        <f t="shared" si="27"/>
        <v>7.1180125776628689E-3</v>
      </c>
      <c r="T24" s="113">
        <f t="shared" si="27"/>
        <v>1.2398821506497182E-2</v>
      </c>
      <c r="U24" s="113">
        <f t="shared" si="27"/>
        <v>1.2347952303483511E-2</v>
      </c>
      <c r="V24" s="113">
        <f t="shared" si="27"/>
        <v>9.8133960181765456E-3</v>
      </c>
      <c r="W24" s="114">
        <f t="shared" si="27"/>
        <v>7.9840150529026932E-3</v>
      </c>
      <c r="Y24" s="106" t="s">
        <v>37</v>
      </c>
      <c r="Z24" s="75">
        <f t="shared" si="19"/>
        <v>12498.657698000001</v>
      </c>
      <c r="AA24" s="76">
        <f t="shared" si="20"/>
        <v>871.61047099999996</v>
      </c>
      <c r="AB24" s="76">
        <f t="shared" si="21"/>
        <v>1573.8605200000002</v>
      </c>
      <c r="AC24" s="76">
        <f t="shared" si="22"/>
        <v>3476.3816790000001</v>
      </c>
      <c r="AD24" s="77">
        <f t="shared" si="23"/>
        <v>6576.8050280000007</v>
      </c>
      <c r="AF24" s="106" t="s">
        <v>37</v>
      </c>
      <c r="AG24" s="75">
        <f t="shared" si="24"/>
        <v>12498.657698000001</v>
      </c>
      <c r="AH24" s="89">
        <v>530.98131699999999</v>
      </c>
      <c r="AI24" s="90">
        <v>132.72770900000006</v>
      </c>
      <c r="AJ24" s="91">
        <v>207.90144499999997</v>
      </c>
      <c r="AK24" s="90">
        <v>598.06385499999999</v>
      </c>
      <c r="AL24" s="90">
        <v>975.79666500000008</v>
      </c>
      <c r="AM24" s="89">
        <v>299.87875499999996</v>
      </c>
      <c r="AN24" s="91">
        <v>3176.5029240000003</v>
      </c>
      <c r="AO24" s="90">
        <v>1464.1945460000002</v>
      </c>
      <c r="AP24" s="90">
        <v>2223.4924819999997</v>
      </c>
      <c r="AQ24" s="90">
        <v>123.001947</v>
      </c>
      <c r="AR24" s="90">
        <v>48.824635000000001</v>
      </c>
      <c r="AS24" s="90">
        <v>637.66904599999987</v>
      </c>
      <c r="AT24" s="90">
        <v>130.520512</v>
      </c>
      <c r="AU24" s="91">
        <v>1949.1018600000007</v>
      </c>
      <c r="AV24" s="90"/>
    </row>
    <row r="25" spans="1:59" ht="14" thickTop="1" thickBot="1">
      <c r="A25" s="93" t="s">
        <v>38</v>
      </c>
      <c r="B25" s="94">
        <f>(Z26/Z$17)^(1/18)-1</f>
        <v>6.0956466909691809E-3</v>
      </c>
      <c r="C25" s="95">
        <f>(AA26/AA$17)^(1/18)-1</f>
        <v>-2.7572644379458833E-3</v>
      </c>
      <c r="D25" s="96">
        <f>(AB26/AB$17)^(1/18)-1</f>
        <v>4.9228683596289624E-3</v>
      </c>
      <c r="E25" s="96">
        <f>(AC26/AC$17)^(1/18)-1</f>
        <v>1.8287788963361473E-2</v>
      </c>
      <c r="F25" s="97">
        <f>(AD26/AD$17)^(1/18)-1</f>
        <v>4.3708772947914643E-3</v>
      </c>
      <c r="G25" s="86"/>
      <c r="H25" s="93" t="s">
        <v>38</v>
      </c>
      <c r="I25" s="94">
        <f t="shared" ref="I25:W25" si="28">(AG26/AG$17)^(1/18)-1</f>
        <v>6.0956466909691809E-3</v>
      </c>
      <c r="J25" s="98">
        <f t="shared" si="28"/>
        <v>-5.0490821587689805E-4</v>
      </c>
      <c r="K25" s="99">
        <f t="shared" si="28"/>
        <v>-4.7185672535968726E-3</v>
      </c>
      <c r="L25" s="100">
        <f t="shared" si="28"/>
        <v>-6.3891711979117138E-3</v>
      </c>
      <c r="M25" s="98">
        <f t="shared" si="28"/>
        <v>4.7692576124684916E-3</v>
      </c>
      <c r="N25" s="100">
        <f t="shared" si="28"/>
        <v>5.0119713836211943E-3</v>
      </c>
      <c r="O25" s="98">
        <f t="shared" si="28"/>
        <v>7.6363169325708302E-3</v>
      </c>
      <c r="P25" s="100">
        <f t="shared" si="28"/>
        <v>2.0112304560610861E-2</v>
      </c>
      <c r="Q25" s="98">
        <f t="shared" si="28"/>
        <v>-1.4448514030300785E-3</v>
      </c>
      <c r="R25" s="99">
        <f t="shared" si="28"/>
        <v>7.3357372328337611E-3</v>
      </c>
      <c r="S25" s="99">
        <f t="shared" si="28"/>
        <v>-5.3098415469382543E-3</v>
      </c>
      <c r="T25" s="99">
        <f t="shared" si="28"/>
        <v>7.5650233531108224E-3</v>
      </c>
      <c r="U25" s="99">
        <f t="shared" si="28"/>
        <v>1.0935202553273182E-2</v>
      </c>
      <c r="V25" s="99">
        <f t="shared" si="28"/>
        <v>4.9451313344630599E-3</v>
      </c>
      <c r="W25" s="100">
        <f t="shared" si="28"/>
        <v>6.5853448979784623E-3</v>
      </c>
      <c r="Y25" s="115" t="s">
        <v>39</v>
      </c>
      <c r="Z25" s="116">
        <f t="shared" si="19"/>
        <v>15804.873250000001</v>
      </c>
      <c r="AA25" s="117">
        <f t="shared" si="20"/>
        <v>1056.3584269999999</v>
      </c>
      <c r="AB25" s="117">
        <f t="shared" si="21"/>
        <v>1930.331772</v>
      </c>
      <c r="AC25" s="117">
        <f t="shared" si="22"/>
        <v>5198.4324329999999</v>
      </c>
      <c r="AD25" s="118">
        <f t="shared" si="23"/>
        <v>7619.7506180000009</v>
      </c>
      <c r="AF25" s="115" t="s">
        <v>39</v>
      </c>
      <c r="AG25" s="116">
        <f t="shared" si="24"/>
        <v>15804.873250000001</v>
      </c>
      <c r="AH25" s="119">
        <v>652.39217999999971</v>
      </c>
      <c r="AI25" s="120">
        <v>154.22426100000013</v>
      </c>
      <c r="AJ25" s="121">
        <v>249.741986</v>
      </c>
      <c r="AK25" s="120">
        <v>776.79341799999997</v>
      </c>
      <c r="AL25" s="120">
        <v>1153.538354</v>
      </c>
      <c r="AM25" s="119">
        <v>349.10949900000003</v>
      </c>
      <c r="AN25" s="121">
        <v>4849.3229339999998</v>
      </c>
      <c r="AO25" s="120">
        <v>1586.9392809999999</v>
      </c>
      <c r="AP25" s="120">
        <v>2569.744858</v>
      </c>
      <c r="AQ25" s="120">
        <v>141.74875599999999</v>
      </c>
      <c r="AR25" s="120">
        <v>62.470016999999999</v>
      </c>
      <c r="AS25" s="120">
        <v>815.06362300000001</v>
      </c>
      <c r="AT25" s="120">
        <v>158.67237499999999</v>
      </c>
      <c r="AU25" s="121">
        <v>2285.1117080000013</v>
      </c>
      <c r="AV25" s="90"/>
    </row>
    <row r="26" spans="1:59" ht="13" thickTop="1">
      <c r="A26" s="92" t="s">
        <v>40</v>
      </c>
      <c r="B26" s="83">
        <f t="shared" ref="B26:F28" si="29">(Z27/Z26)^(1/20)-1</f>
        <v>1.5336215589996094E-3</v>
      </c>
      <c r="C26" s="84">
        <f t="shared" si="29"/>
        <v>-5.3900851468852151E-3</v>
      </c>
      <c r="D26" s="70">
        <f t="shared" si="29"/>
        <v>-4.1644206256741256E-6</v>
      </c>
      <c r="E26" s="70">
        <f t="shared" si="29"/>
        <v>1.3314130908684385E-2</v>
      </c>
      <c r="F26" s="71">
        <f t="shared" si="29"/>
        <v>-1.4416145463296282E-3</v>
      </c>
      <c r="G26" s="86"/>
      <c r="H26" s="92" t="s">
        <v>40</v>
      </c>
      <c r="I26" s="83">
        <f t="shared" ref="I26:W28" si="30">(AG27/AG26)^(1/20)-1</f>
        <v>1.5336215589996094E-3</v>
      </c>
      <c r="J26" s="85">
        <f t="shared" si="30"/>
        <v>-3.1994833295591052E-3</v>
      </c>
      <c r="K26" s="86">
        <f t="shared" si="30"/>
        <v>-7.9428896211380939E-3</v>
      </c>
      <c r="L26" s="87">
        <f t="shared" si="30"/>
        <v>-9.0297381770071405E-3</v>
      </c>
      <c r="M26" s="85">
        <f t="shared" si="30"/>
        <v>1.8033817834770538E-3</v>
      </c>
      <c r="N26" s="87">
        <f t="shared" si="30"/>
        <v>-1.0793116748069043E-3</v>
      </c>
      <c r="O26" s="85">
        <f t="shared" si="30"/>
        <v>1.0779671810330349E-3</v>
      </c>
      <c r="P26" s="87">
        <f t="shared" si="30"/>
        <v>1.4951874222827399E-2</v>
      </c>
      <c r="Q26" s="85">
        <f t="shared" si="30"/>
        <v>-7.6871750713016773E-3</v>
      </c>
      <c r="R26" s="86">
        <f t="shared" si="30"/>
        <v>7.6595085429742582E-4</v>
      </c>
      <c r="S26" s="86">
        <f t="shared" si="30"/>
        <v>-8.6449739117036017E-3</v>
      </c>
      <c r="T26" s="86">
        <f t="shared" si="30"/>
        <v>2.408894305766518E-3</v>
      </c>
      <c r="U26" s="86">
        <f t="shared" si="30"/>
        <v>5.0914143884353003E-3</v>
      </c>
      <c r="V26" s="86">
        <f t="shared" si="30"/>
        <v>-4.2985106193138556E-4</v>
      </c>
      <c r="W26" s="87">
        <f t="shared" si="30"/>
        <v>5.0345061756584819E-4</v>
      </c>
      <c r="Y26" s="102" t="s">
        <v>41</v>
      </c>
      <c r="Z26" s="78">
        <f t="shared" si="19"/>
        <v>7867.3322840000001</v>
      </c>
      <c r="AA26" s="80">
        <f t="shared" si="20"/>
        <v>704.28841</v>
      </c>
      <c r="AB26" s="80">
        <f t="shared" si="21"/>
        <v>1041.914841</v>
      </c>
      <c r="AC26" s="80">
        <f t="shared" si="22"/>
        <v>1482.8337200000001</v>
      </c>
      <c r="AD26" s="81">
        <f t="shared" si="23"/>
        <v>4638.2953130000005</v>
      </c>
      <c r="AF26" s="102" t="s">
        <v>41</v>
      </c>
      <c r="AG26" s="78">
        <f t="shared" si="24"/>
        <v>7867.3322840000001</v>
      </c>
      <c r="AH26" s="103">
        <v>409.83254000000011</v>
      </c>
      <c r="AI26" s="104">
        <v>115.63430899999994</v>
      </c>
      <c r="AJ26" s="105">
        <v>178.821561</v>
      </c>
      <c r="AK26" s="104">
        <v>381.94360600000005</v>
      </c>
      <c r="AL26" s="104">
        <v>659.97123499999998</v>
      </c>
      <c r="AM26" s="103">
        <v>195.84625100000005</v>
      </c>
      <c r="AN26" s="105">
        <v>1286.9874690000001</v>
      </c>
      <c r="AO26" s="104">
        <v>1318.8261829999999</v>
      </c>
      <c r="AP26" s="104">
        <v>1435.2849759999999</v>
      </c>
      <c r="AQ26" s="104">
        <v>114.88065399999999</v>
      </c>
      <c r="AR26" s="104">
        <v>31.357979</v>
      </c>
      <c r="AS26" s="104">
        <v>365.18744099999998</v>
      </c>
      <c r="AT26" s="104">
        <v>86.324407000000008</v>
      </c>
      <c r="AU26" s="105">
        <v>1286.4336730000005</v>
      </c>
      <c r="AV26" s="90"/>
    </row>
    <row r="27" spans="1:59">
      <c r="A27" s="92" t="s">
        <v>42</v>
      </c>
      <c r="B27" s="83">
        <f t="shared" si="29"/>
        <v>-3.0969925241107754E-3</v>
      </c>
      <c r="C27" s="84">
        <f t="shared" si="29"/>
        <v>-8.5296719034726465E-3</v>
      </c>
      <c r="D27" s="70">
        <f t="shared" si="29"/>
        <v>-4.5590605633192283E-3</v>
      </c>
      <c r="E27" s="70">
        <f t="shared" si="29"/>
        <v>7.8097233717415726E-3</v>
      </c>
      <c r="F27" s="71">
        <f t="shared" si="29"/>
        <v>-7.4073523540917341E-3</v>
      </c>
      <c r="G27" s="86"/>
      <c r="H27" s="92" t="s">
        <v>42</v>
      </c>
      <c r="I27" s="83">
        <f t="shared" si="30"/>
        <v>-3.0969925241107754E-3</v>
      </c>
      <c r="J27" s="85">
        <f t="shared" si="30"/>
        <v>-6.5712523795898869E-3</v>
      </c>
      <c r="K27" s="86">
        <f t="shared" si="30"/>
        <v>-1.1579492381036616E-2</v>
      </c>
      <c r="L27" s="87">
        <f t="shared" si="30"/>
        <v>-1.1816073511742409E-2</v>
      </c>
      <c r="M27" s="85">
        <f t="shared" si="30"/>
        <v>-1.0426781804298013E-3</v>
      </c>
      <c r="N27" s="87">
        <f t="shared" si="30"/>
        <v>-6.8375928891353244E-3</v>
      </c>
      <c r="O27" s="85">
        <f t="shared" si="30"/>
        <v>-5.811708332422838E-3</v>
      </c>
      <c r="P27" s="87">
        <f t="shared" si="30"/>
        <v>9.179307018889471E-3</v>
      </c>
      <c r="Q27" s="85">
        <f t="shared" si="30"/>
        <v>-1.3989143043456109E-2</v>
      </c>
      <c r="R27" s="86">
        <f t="shared" si="30"/>
        <v>-5.895378758277392E-3</v>
      </c>
      <c r="S27" s="86">
        <f t="shared" si="30"/>
        <v>-1.1095303806510026E-2</v>
      </c>
      <c r="T27" s="86">
        <f t="shared" si="30"/>
        <v>-1.7541896104856791E-3</v>
      </c>
      <c r="U27" s="86">
        <f t="shared" si="30"/>
        <v>-1.1401280418686932E-3</v>
      </c>
      <c r="V27" s="86">
        <f t="shared" si="30"/>
        <v>-6.0252455063370958E-3</v>
      </c>
      <c r="W27" s="87">
        <f t="shared" si="30"/>
        <v>-5.8240891866092603E-3</v>
      </c>
      <c r="Y27" s="106" t="s">
        <v>43</v>
      </c>
      <c r="Z27" s="75">
        <f t="shared" si="19"/>
        <v>8112.1908009999988</v>
      </c>
      <c r="AA27" s="76">
        <f t="shared" si="20"/>
        <v>632.12974399999996</v>
      </c>
      <c r="AB27" s="76">
        <f t="shared" si="21"/>
        <v>1041.8280650000002</v>
      </c>
      <c r="AC27" s="76">
        <f t="shared" si="22"/>
        <v>1931.8545899999999</v>
      </c>
      <c r="AD27" s="77">
        <f t="shared" si="23"/>
        <v>4506.3784019999994</v>
      </c>
      <c r="AF27" s="106" t="s">
        <v>43</v>
      </c>
      <c r="AG27" s="75">
        <f t="shared" si="24"/>
        <v>8112.1908009999988</v>
      </c>
      <c r="AH27" s="89">
        <v>384.38950899999998</v>
      </c>
      <c r="AI27" s="90">
        <v>98.587122999999991</v>
      </c>
      <c r="AJ27" s="91">
        <v>149.15311199999999</v>
      </c>
      <c r="AK27" s="90">
        <v>395.95799099999999</v>
      </c>
      <c r="AL27" s="90">
        <v>645.87007400000005</v>
      </c>
      <c r="AM27" s="89">
        <v>200.11208799999997</v>
      </c>
      <c r="AN27" s="91">
        <v>1731.7425020000001</v>
      </c>
      <c r="AO27" s="90">
        <v>1130.2113060000001</v>
      </c>
      <c r="AP27" s="90">
        <v>1457.432859</v>
      </c>
      <c r="AQ27" s="90">
        <v>96.567537000000002</v>
      </c>
      <c r="AR27" s="90">
        <v>32.903818000000001</v>
      </c>
      <c r="AS27" s="90">
        <v>404.228656</v>
      </c>
      <c r="AT27" s="90">
        <v>85.585297000000011</v>
      </c>
      <c r="AU27" s="91">
        <v>1299.4489289999988</v>
      </c>
      <c r="AV27" s="90"/>
    </row>
    <row r="28" spans="1:59" ht="13" thickBot="1">
      <c r="A28" s="101" t="s">
        <v>44</v>
      </c>
      <c r="B28" s="108">
        <f t="shared" si="29"/>
        <v>-1.0466741804917357E-2</v>
      </c>
      <c r="C28" s="109">
        <f t="shared" si="29"/>
        <v>-1.3583138898504266E-2</v>
      </c>
      <c r="D28" s="110">
        <f t="shared" si="29"/>
        <v>-1.3279678483382518E-2</v>
      </c>
      <c r="E28" s="110">
        <f t="shared" si="29"/>
        <v>2.6211526107140504E-3</v>
      </c>
      <c r="F28" s="111">
        <f t="shared" si="29"/>
        <v>-1.8633383204813669E-2</v>
      </c>
      <c r="G28" s="86"/>
      <c r="H28" s="101" t="s">
        <v>44</v>
      </c>
      <c r="I28" s="108">
        <f t="shared" si="30"/>
        <v>-1.0466741804917357E-2</v>
      </c>
      <c r="J28" s="112">
        <f t="shared" si="30"/>
        <v>-1.1220282942844495E-2</v>
      </c>
      <c r="K28" s="113">
        <f t="shared" si="30"/>
        <v>-1.8567770424563812E-2</v>
      </c>
      <c r="L28" s="114">
        <f t="shared" si="30"/>
        <v>-1.7496607112744256E-2</v>
      </c>
      <c r="M28" s="112">
        <f t="shared" si="30"/>
        <v>-6.207163407807359E-3</v>
      </c>
      <c r="N28" s="114">
        <f t="shared" si="30"/>
        <v>-1.877860527831432E-2</v>
      </c>
      <c r="O28" s="112">
        <f t="shared" si="30"/>
        <v>-1.7896189604084345E-2</v>
      </c>
      <c r="P28" s="114">
        <f t="shared" si="30"/>
        <v>4.0559147440351051E-3</v>
      </c>
      <c r="Q28" s="112">
        <f t="shared" si="30"/>
        <v>-2.5770982832274525E-2</v>
      </c>
      <c r="R28" s="113">
        <f t="shared" si="30"/>
        <v>-1.9108783480049962E-2</v>
      </c>
      <c r="S28" s="113">
        <f t="shared" si="30"/>
        <v>-1.6654247063077943E-2</v>
      </c>
      <c r="T28" s="113">
        <f t="shared" si="30"/>
        <v>-7.4062629581727046E-3</v>
      </c>
      <c r="U28" s="113">
        <f t="shared" si="30"/>
        <v>-9.4133464610063333E-3</v>
      </c>
      <c r="V28" s="113">
        <f t="shared" si="30"/>
        <v>-1.5492871440768274E-2</v>
      </c>
      <c r="W28" s="114">
        <f t="shared" si="30"/>
        <v>-1.7344074784045316E-2</v>
      </c>
      <c r="Y28" s="106" t="s">
        <v>45</v>
      </c>
      <c r="Z28" s="75">
        <f t="shared" si="19"/>
        <v>7624.2351160000007</v>
      </c>
      <c r="AA28" s="76">
        <f t="shared" si="20"/>
        <v>532.59938</v>
      </c>
      <c r="AB28" s="76">
        <f t="shared" si="21"/>
        <v>950.8368660000001</v>
      </c>
      <c r="AC28" s="76">
        <f t="shared" si="22"/>
        <v>2257.0714980000002</v>
      </c>
      <c r="AD28" s="77">
        <f t="shared" si="23"/>
        <v>3883.7273720000003</v>
      </c>
      <c r="AF28" s="106" t="s">
        <v>45</v>
      </c>
      <c r="AG28" s="75">
        <f t="shared" si="24"/>
        <v>7624.2351160000007</v>
      </c>
      <c r="AH28" s="89">
        <v>336.903865</v>
      </c>
      <c r="AI28" s="90">
        <v>78.100738999999976</v>
      </c>
      <c r="AJ28" s="91">
        <v>117.594776</v>
      </c>
      <c r="AK28" s="90">
        <v>387.78213699999998</v>
      </c>
      <c r="AL28" s="90">
        <v>563.05472900000007</v>
      </c>
      <c r="AM28" s="89">
        <v>178.09273699999994</v>
      </c>
      <c r="AN28" s="91">
        <v>2078.9787610000003</v>
      </c>
      <c r="AO28" s="90">
        <v>852.69474600000001</v>
      </c>
      <c r="AP28" s="90">
        <v>1294.882646</v>
      </c>
      <c r="AQ28" s="90">
        <v>77.253816</v>
      </c>
      <c r="AR28" s="90">
        <v>31.768464000000002</v>
      </c>
      <c r="AS28" s="90">
        <v>395.110364</v>
      </c>
      <c r="AT28" s="90">
        <v>75.841383000000008</v>
      </c>
      <c r="AU28" s="91">
        <v>1156.1759529999999</v>
      </c>
      <c r="AV28" s="90"/>
    </row>
    <row r="29" spans="1:59" ht="14" thickTop="1" thickBot="1">
      <c r="Y29" s="115" t="s">
        <v>46</v>
      </c>
      <c r="Z29" s="116">
        <f t="shared" si="19"/>
        <v>6177.3781689999996</v>
      </c>
      <c r="AA29" s="117">
        <f t="shared" si="20"/>
        <v>405.14492200000007</v>
      </c>
      <c r="AB29" s="117">
        <f t="shared" si="21"/>
        <v>727.75879699999996</v>
      </c>
      <c r="AC29" s="117">
        <f t="shared" si="22"/>
        <v>2378.3872769999998</v>
      </c>
      <c r="AD29" s="118">
        <f t="shared" si="23"/>
        <v>2666.0871729999999</v>
      </c>
      <c r="AF29" s="115" t="s">
        <v>46</v>
      </c>
      <c r="AG29" s="116">
        <f t="shared" si="24"/>
        <v>6177.3781689999996</v>
      </c>
      <c r="AH29" s="119">
        <v>268.84191200000004</v>
      </c>
      <c r="AI29" s="120">
        <v>53.686051000000006</v>
      </c>
      <c r="AJ29" s="121">
        <v>82.616958999999994</v>
      </c>
      <c r="AK29" s="120">
        <v>342.37736000000001</v>
      </c>
      <c r="AL29" s="120">
        <v>385.38143699999995</v>
      </c>
      <c r="AM29" s="119">
        <v>124.10638599999999</v>
      </c>
      <c r="AN29" s="121">
        <v>2254.2808909999999</v>
      </c>
      <c r="AO29" s="120">
        <v>505.841903</v>
      </c>
      <c r="AP29" s="120">
        <v>880.33369100000004</v>
      </c>
      <c r="AQ29" s="120">
        <v>55.213448</v>
      </c>
      <c r="AR29" s="120">
        <v>27.379583</v>
      </c>
      <c r="AS29" s="120">
        <v>327.01514600000002</v>
      </c>
      <c r="AT29" s="120">
        <v>55.498794000000004</v>
      </c>
      <c r="AU29" s="121">
        <v>814.80460799999992</v>
      </c>
      <c r="AV29" s="90"/>
    </row>
    <row r="30" spans="1:59" ht="13" thickTop="1">
      <c r="A30" s="288" t="s">
        <v>117</v>
      </c>
      <c r="B30" s="289"/>
      <c r="C30" s="289"/>
      <c r="D30" s="289"/>
      <c r="E30" s="289"/>
      <c r="F30" s="290"/>
      <c r="G30" s="166"/>
    </row>
    <row r="31" spans="1:59">
      <c r="A31" s="291"/>
      <c r="B31" s="292"/>
      <c r="C31" s="292"/>
      <c r="D31" s="292"/>
      <c r="E31" s="292"/>
      <c r="F31" s="293"/>
      <c r="G31" s="150"/>
    </row>
    <row r="32" spans="1:59">
      <c r="A32" s="291"/>
      <c r="B32" s="292"/>
      <c r="C32" s="292"/>
      <c r="D32" s="292"/>
      <c r="E32" s="292"/>
      <c r="F32" s="293"/>
      <c r="G32" s="150"/>
    </row>
    <row r="33" spans="1:7">
      <c r="A33" s="291"/>
      <c r="B33" s="292"/>
      <c r="C33" s="292"/>
      <c r="D33" s="292"/>
      <c r="E33" s="292"/>
      <c r="F33" s="293"/>
      <c r="G33" s="150"/>
    </row>
    <row r="34" spans="1:7">
      <c r="A34" s="291"/>
      <c r="B34" s="292"/>
      <c r="C34" s="292"/>
      <c r="D34" s="292"/>
      <c r="E34" s="292"/>
      <c r="F34" s="293"/>
      <c r="G34" s="150"/>
    </row>
    <row r="35" spans="1:7">
      <c r="A35" s="291"/>
      <c r="B35" s="292"/>
      <c r="C35" s="292"/>
      <c r="D35" s="292"/>
      <c r="E35" s="292"/>
      <c r="F35" s="293"/>
      <c r="G35" s="150"/>
    </row>
    <row r="36" spans="1:7">
      <c r="A36" s="291"/>
      <c r="B36" s="292"/>
      <c r="C36" s="292"/>
      <c r="D36" s="292"/>
      <c r="E36" s="292"/>
      <c r="F36" s="293"/>
      <c r="G36" s="150"/>
    </row>
    <row r="37" spans="1:7">
      <c r="A37" s="291"/>
      <c r="B37" s="292"/>
      <c r="C37" s="292"/>
      <c r="D37" s="292"/>
      <c r="E37" s="292"/>
      <c r="F37" s="293"/>
      <c r="G37" s="150"/>
    </row>
    <row r="38" spans="1:7">
      <c r="A38" s="291"/>
      <c r="B38" s="292"/>
      <c r="C38" s="292"/>
      <c r="D38" s="292"/>
      <c r="E38" s="292"/>
      <c r="F38" s="293"/>
      <c r="G38" s="150"/>
    </row>
    <row r="39" spans="1:7">
      <c r="A39" s="291"/>
      <c r="B39" s="292"/>
      <c r="C39" s="292"/>
      <c r="D39" s="292"/>
      <c r="E39" s="292"/>
      <c r="F39" s="293"/>
      <c r="G39" s="150"/>
    </row>
    <row r="40" spans="1:7">
      <c r="A40" s="291"/>
      <c r="B40" s="292"/>
      <c r="C40" s="292"/>
      <c r="D40" s="292"/>
      <c r="E40" s="292"/>
      <c r="F40" s="293"/>
      <c r="G40" s="150"/>
    </row>
    <row r="41" spans="1:7">
      <c r="A41" s="291"/>
      <c r="B41" s="292"/>
      <c r="C41" s="292"/>
      <c r="D41" s="292"/>
      <c r="E41" s="292"/>
      <c r="F41" s="293"/>
      <c r="G41" s="150"/>
    </row>
    <row r="42" spans="1:7">
      <c r="A42" s="291"/>
      <c r="B42" s="292"/>
      <c r="C42" s="292"/>
      <c r="D42" s="292"/>
      <c r="E42" s="292"/>
      <c r="F42" s="293"/>
      <c r="G42" s="150"/>
    </row>
    <row r="43" spans="1:7" ht="13" thickBot="1">
      <c r="A43" s="294"/>
      <c r="B43" s="295"/>
      <c r="C43" s="295"/>
      <c r="D43" s="295"/>
      <c r="E43" s="295"/>
      <c r="F43" s="296"/>
      <c r="G43" s="150"/>
    </row>
    <row r="44" spans="1:7" ht="13" thickTop="1"/>
  </sheetData>
  <mergeCells count="5">
    <mergeCell ref="A4:F4"/>
    <mergeCell ref="A30:F43"/>
    <mergeCell ref="H4:W4"/>
    <mergeCell ref="Y4:AD4"/>
    <mergeCell ref="AF4:AU4"/>
  </mergeCells>
  <phoneticPr fontId="24" type="noConversion"/>
  <printOptions horizontalCentered="1" verticalCentered="1"/>
  <pageMargins left="0.79000000000000015" right="0.79000000000000015" top="0.98" bottom="0.98" header="0.51" footer="0.51"/>
  <extLst>
    <ext xmlns:mx="http://schemas.microsoft.com/office/mac/excel/2008/main" uri="{64002731-A6B0-56B0-2670-7721B7C09600}">
      <mx:PLV Mode="0" OnePage="0" WScale="27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W47"/>
  <sheetViews>
    <sheetView workbookViewId="0">
      <pane xSplit="2" ySplit="6" topLeftCell="C7" activePane="bottomRight" state="frozen"/>
      <selection activeCell="Q55" sqref="Q55"/>
      <selection pane="topRight" activeCell="Q55" sqref="Q55"/>
      <selection pane="bottomLeft" activeCell="Q55" sqref="Q55"/>
      <selection pane="bottomRight" activeCell="D3" sqref="D3"/>
    </sheetView>
  </sheetViews>
  <sheetFormatPr baseColWidth="10" defaultColWidth="11.5" defaultRowHeight="12" x14ac:dyDescent="0"/>
  <cols>
    <col min="1" max="16384" width="11.5" style="1"/>
  </cols>
  <sheetData>
    <row r="3" spans="1:23" ht="13" thickBot="1"/>
    <row r="4" spans="1:23" ht="25" customHeight="1" thickTop="1" thickBot="1">
      <c r="A4" s="302" t="s">
        <v>121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6"/>
    </row>
    <row r="5" spans="1:23" ht="25" customHeight="1" thickTop="1" thickBot="1"/>
    <row r="6" spans="1:23" ht="40" customHeight="1" thickTop="1" thickBot="1">
      <c r="A6" s="147"/>
      <c r="B6" s="146" t="s">
        <v>118</v>
      </c>
      <c r="C6" s="230" t="s">
        <v>6</v>
      </c>
      <c r="D6" s="230" t="s">
        <v>101</v>
      </c>
      <c r="E6" s="230" t="s">
        <v>102</v>
      </c>
      <c r="F6" s="231" t="s">
        <v>103</v>
      </c>
    </row>
    <row r="7" spans="1:23" ht="13" customHeight="1" thickTop="1">
      <c r="A7" s="151" t="s">
        <v>0</v>
      </c>
      <c r="B7" s="168">
        <f>(CTS1.3!J$11/CTS1.3!J$8)^(1/1700)-1</f>
        <v>1.5672876339212216E-4</v>
      </c>
      <c r="C7" s="152">
        <f>(CTS1.3!K$11/CTS1.3!K$8)^(1/1700)-1</f>
        <v>2.7978353621760377E-4</v>
      </c>
      <c r="D7" s="152">
        <f>(CTS1.3!L$11/CTS1.3!L$8)^(1/1700)-1</f>
        <v>1.5987114587301399E-4</v>
      </c>
      <c r="E7" s="152">
        <f>(CTS1.3!M$11/CTS1.3!M$8)^(1/1700)-1</f>
        <v>-6.0863357219331782E-5</v>
      </c>
      <c r="F7" s="152">
        <f>(CTS1.3!N$11/CTS1.3!N$8)^(1/1700)-1</f>
        <v>1.194017586916285E-4</v>
      </c>
      <c r="Q7" s="153"/>
      <c r="R7" s="153"/>
      <c r="S7" s="153"/>
      <c r="T7" s="153"/>
      <c r="U7" s="153"/>
      <c r="V7" s="153"/>
      <c r="W7" s="153"/>
    </row>
    <row r="8" spans="1:23" ht="13" customHeight="1" thickBot="1">
      <c r="A8" s="154" t="s">
        <v>1</v>
      </c>
      <c r="B8" s="169">
        <f>(CTS1.3!J$18/CTS1.3!J$11)^(1/312)-1</f>
        <v>8.075265122180042E-3</v>
      </c>
      <c r="C8" s="155">
        <f>(CTS1.3!K$18/CTS1.3!K$11)^(1/312)-1</f>
        <v>9.6319325901645936E-3</v>
      </c>
      <c r="D8" s="155">
        <f>(CTS1.3!L$18/CTS1.3!L$11)^(1/312)-1</f>
        <v>1.1142893930800701E-2</v>
      </c>
      <c r="E8" s="155">
        <f>(CTS1.3!M$18/CTS1.3!M$11)^(1/312)-1</f>
        <v>4.904083804362358E-3</v>
      </c>
      <c r="F8" s="155">
        <f>(CTS1.3!N$18/CTS1.3!N$11)^(1/312)-1</f>
        <v>7.2042447504150342E-3</v>
      </c>
      <c r="Q8" s="153"/>
      <c r="R8" s="153"/>
      <c r="S8" s="153"/>
      <c r="T8" s="153"/>
      <c r="U8" s="153"/>
      <c r="V8" s="153"/>
      <c r="W8" s="153"/>
    </row>
    <row r="9" spans="1:23" ht="13" customHeight="1" thickTop="1">
      <c r="A9" s="156" t="s">
        <v>55</v>
      </c>
      <c r="B9" s="170">
        <f>(CTS1.3!J$12/CTS1.3!J$11)^(1/120)-1</f>
        <v>7.0288843227550579E-4</v>
      </c>
      <c r="C9" s="157">
        <f>(CTS1.3!K$12/CTS1.3!K$11)^(1/120)-1</f>
        <v>1.2089230268661488E-3</v>
      </c>
      <c r="D9" s="157">
        <f>(CTS1.3!L$12/CTS1.3!L$11)^(1/120)-1</f>
        <v>4.2813827697882889E-3</v>
      </c>
      <c r="E9" s="157">
        <f>(CTS1.3!M$12/CTS1.3!M$11)^(1/120)-1</f>
        <v>-1.6767950227314365E-5</v>
      </c>
      <c r="F9" s="157">
        <f>(CTS1.3!N$12/CTS1.3!N$11)^(1/120)-1</f>
        <v>2.0163554386964933E-4</v>
      </c>
      <c r="Q9" s="153"/>
      <c r="R9" s="153"/>
      <c r="S9" s="153"/>
      <c r="T9" s="153"/>
      <c r="U9" s="153"/>
      <c r="V9" s="153"/>
      <c r="W9" s="153"/>
    </row>
    <row r="10" spans="1:23" ht="13" customHeight="1">
      <c r="A10" s="156" t="s">
        <v>20</v>
      </c>
      <c r="B10" s="170">
        <f>(CTS1.3!J$14/CTS1.3!J$12)^(1/93)-1</f>
        <v>8.984703109527814E-3</v>
      </c>
      <c r="C10" s="157">
        <f>(CTS1.3!K$14/CTS1.3!K$12)^(1/93)-1</f>
        <v>1.0354484921315743E-2</v>
      </c>
      <c r="D10" s="157">
        <f>(CTS1.3!L$14/CTS1.3!L$12)^(1/93)-1</f>
        <v>1.5485163645828193E-2</v>
      </c>
      <c r="E10" s="157">
        <f>(CTS1.3!M$14/CTS1.3!M$12)^(1/93)-1</f>
        <v>4.4622935594293978E-3</v>
      </c>
      <c r="F10" s="157">
        <f>(CTS1.3!N$14/CTS1.3!N$12)^(1/93)-1</f>
        <v>2.3990440442906991E-3</v>
      </c>
      <c r="Q10" s="153"/>
      <c r="R10" s="153"/>
      <c r="S10" s="153"/>
      <c r="T10" s="153"/>
      <c r="U10" s="153"/>
      <c r="V10" s="153"/>
      <c r="W10" s="153"/>
    </row>
    <row r="11" spans="1:23" ht="13" customHeight="1" thickBot="1">
      <c r="A11" s="156" t="s">
        <v>56</v>
      </c>
      <c r="B11" s="170">
        <f>(CTS1.3!J$18/CTS1.3!J$14)^(1/99)-1</f>
        <v>1.6223132389781236E-2</v>
      </c>
      <c r="C11" s="157">
        <f>(CTS1.3!K$18/CTS1.3!K$14)^(1/99)-1</f>
        <v>1.9251486516141725E-2</v>
      </c>
      <c r="D11" s="157">
        <f>(CTS1.3!L$18/CTS1.3!L$14)^(1/99)-1</f>
        <v>1.542690610284958E-2</v>
      </c>
      <c r="E11" s="157">
        <f>(CTS1.3!M$18/CTS1.3!M$14)^(1/99)-1</f>
        <v>1.1318898585931825E-2</v>
      </c>
      <c r="F11" s="157">
        <f>(CTS1.3!N$18/CTS1.3!N$14)^(1/99)-1</f>
        <v>2.0331488287695487E-2</v>
      </c>
      <c r="Q11" s="153"/>
      <c r="R11" s="153"/>
      <c r="S11" s="153"/>
      <c r="T11" s="153"/>
      <c r="U11" s="153"/>
      <c r="V11" s="153"/>
      <c r="W11" s="153"/>
    </row>
    <row r="12" spans="1:23" ht="13" customHeight="1" thickTop="1" thickBot="1">
      <c r="A12" s="158" t="s">
        <v>13</v>
      </c>
      <c r="B12" s="171">
        <f>(CTS1.3!J$15/CTS1.3!J$14)^(1/37)-1</f>
        <v>8.6562488427233131E-3</v>
      </c>
      <c r="C12" s="159">
        <f>(CTS1.3!K$15/CTS1.3!K$14)^(1/37)-1</f>
        <v>9.3257069125347591E-3</v>
      </c>
      <c r="D12" s="159">
        <f>(CTS1.3!L$15/CTS1.3!L$14)^(1/37)-1</f>
        <v>1.3548557650602699E-2</v>
      </c>
      <c r="E12" s="159">
        <f>(CTS1.3!M$15/CTS1.3!M$14)^(1/37)-1</f>
        <v>9.0632132846184543E-3</v>
      </c>
      <c r="F12" s="159">
        <f>(CTS1.3!N$15/CTS1.3!N$14)^(1/37)-1</f>
        <v>2.1162818268376515E-3</v>
      </c>
      <c r="Q12" s="153"/>
      <c r="R12" s="153"/>
      <c r="S12" s="153"/>
      <c r="T12" s="153"/>
      <c r="U12" s="153"/>
      <c r="V12" s="153"/>
      <c r="W12" s="153"/>
    </row>
    <row r="13" spans="1:23" ht="13" customHeight="1" thickTop="1">
      <c r="A13" s="156" t="s">
        <v>14</v>
      </c>
      <c r="B13" s="170">
        <f>(CTS1.3!J$16/CTS1.3!J$15)^(1/20)-1</f>
        <v>2.8137312350013488E-2</v>
      </c>
      <c r="C13" s="157">
        <f>(CTS1.3!K$16/CTS1.3!K$15)^(1/20)-1</f>
        <v>3.8430007203516858E-2</v>
      </c>
      <c r="D13" s="157">
        <f>(CTS1.3!L$16/CTS1.3!L$15)^(1/20)-1</f>
        <v>1.9481742541441527E-2</v>
      </c>
      <c r="E13" s="157">
        <f>(CTS1.3!M$16/CTS1.3!M$15)^(1/20)-1</f>
        <v>2.0524299011893898E-2</v>
      </c>
      <c r="F13" s="157">
        <f>(CTS1.3!N$16/CTS1.3!N$15)^(1/20)-1</f>
        <v>3.514301938706077E-2</v>
      </c>
      <c r="Q13" s="153"/>
      <c r="R13" s="153"/>
      <c r="S13" s="153"/>
      <c r="T13" s="153"/>
      <c r="U13" s="153"/>
      <c r="V13" s="153"/>
      <c r="W13" s="153"/>
    </row>
    <row r="14" spans="1:23" ht="13" customHeight="1">
      <c r="A14" s="156" t="s">
        <v>15</v>
      </c>
      <c r="B14" s="170">
        <f>(CTS1.3!J$17/CTS1.3!J$16)^(1/20)-1</f>
        <v>1.3416128363568314E-2</v>
      </c>
      <c r="C14" s="157">
        <f>(CTS1.3!K$17/CTS1.3!K$16)^(1/20)-1</f>
        <v>1.9174932369492081E-2</v>
      </c>
      <c r="D14" s="157">
        <f>(CTS1.3!L$17/CTS1.3!L$16)^(1/20)-1</f>
        <v>1.5614201353935986E-2</v>
      </c>
      <c r="E14" s="157">
        <f>(CTS1.3!M$17/CTS1.3!M$16)^(1/20)-1</f>
        <v>3.1466771486925449E-3</v>
      </c>
      <c r="F14" s="157">
        <f>(CTS1.3!N$17/CTS1.3!N$16)^(1/20)-1</f>
        <v>2.0808370413512023E-2</v>
      </c>
      <c r="Q14" s="153"/>
      <c r="R14" s="153"/>
      <c r="S14" s="153"/>
      <c r="T14" s="153"/>
      <c r="U14" s="153"/>
      <c r="V14" s="153"/>
      <c r="W14" s="153"/>
    </row>
    <row r="15" spans="1:23" ht="13" customHeight="1" thickBot="1">
      <c r="A15" s="156" t="s">
        <v>16</v>
      </c>
      <c r="B15" s="170">
        <f>(CTS1.3!J$18/CTS1.3!J$17)^(1/22)-1</f>
        <v>2.0794401534121265E-2</v>
      </c>
      <c r="C15" s="157">
        <f>(CTS1.3!K$18/CTS1.3!K$17)^(1/22)-1</f>
        <v>1.8823327692256253E-2</v>
      </c>
      <c r="D15" s="157">
        <f>(CTS1.3!L$18/CTS1.3!L$17)^(1/22)-1</f>
        <v>1.4739977330617604E-2</v>
      </c>
      <c r="E15" s="157">
        <f>(CTS1.3!M$18/CTS1.3!M$17)^(1/22)-1</f>
        <v>1.424981052850538E-2</v>
      </c>
      <c r="F15" s="157">
        <f>(CTS1.3!N$18/CTS1.3!N$17)^(1/22)-1</f>
        <v>3.7585501488323514E-2</v>
      </c>
      <c r="Q15" s="153"/>
      <c r="R15" s="153"/>
      <c r="S15" s="153"/>
      <c r="T15" s="153"/>
      <c r="U15" s="153"/>
      <c r="V15" s="153"/>
      <c r="W15" s="153"/>
    </row>
    <row r="16" spans="1:23" ht="13" customHeight="1" thickTop="1">
      <c r="A16" s="156" t="s">
        <v>17</v>
      </c>
      <c r="B16" s="168">
        <f>(CTS1.3!J$20/CTS1.3!J$15)^(1/30)-1</f>
        <v>2.4822843033457831E-2</v>
      </c>
      <c r="C16" s="152">
        <f>(CTS1.3!K$20/CTS1.3!K$15)^(1/30)-1</f>
        <v>3.3500209349867971E-2</v>
      </c>
      <c r="D16" s="152">
        <f>(CTS1.3!L$20/CTS1.3!L$15)^(1/30)-1</f>
        <v>1.9876997544567621E-2</v>
      </c>
      <c r="E16" s="152">
        <f>(CTS1.3!M$20/CTS1.3!M$15)^(1/30)-1</f>
        <v>1.7841062281019893E-2</v>
      </c>
      <c r="F16" s="152">
        <f>(CTS1.3!N$20/CTS1.3!N$15)^(1/30)-1</f>
        <v>3.1591454295943899E-2</v>
      </c>
      <c r="Q16" s="153"/>
      <c r="R16" s="153"/>
      <c r="S16" s="153"/>
      <c r="T16" s="153"/>
      <c r="U16" s="153"/>
      <c r="V16" s="153"/>
      <c r="W16" s="153"/>
    </row>
    <row r="17" spans="1:23" ht="13" customHeight="1" thickBot="1">
      <c r="A17" s="156" t="s">
        <v>18</v>
      </c>
      <c r="B17" s="169">
        <f>(CTS1.3!J$18/CTS1.3!J$20)^(1/32)-1</f>
        <v>1.6977050323944809E-2</v>
      </c>
      <c r="C17" s="155">
        <f>(CTS1.3!K$18/CTS1.3!K$20)^(1/32)-1</f>
        <v>1.7520220486090476E-2</v>
      </c>
      <c r="D17" s="155">
        <f>(CTS1.3!L$18/CTS1.3!L$20)^(1/32)-1</f>
        <v>1.3439858880619049E-2</v>
      </c>
      <c r="E17" s="155">
        <f>(CTS1.3!M$18/CTS1.3!M$20)^(1/32)-1</f>
        <v>7.8410454592068302E-3</v>
      </c>
      <c r="F17" s="155">
        <f>(CTS1.3!N$18/CTS1.3!N$20)^(1/32)-1</f>
        <v>3.1141551724715777E-2</v>
      </c>
      <c r="Q17" s="153"/>
      <c r="R17" s="153"/>
      <c r="S17" s="153"/>
      <c r="T17" s="153"/>
      <c r="U17" s="153"/>
      <c r="V17" s="153"/>
      <c r="W17" s="153"/>
    </row>
    <row r="18" spans="1:23" ht="13" customHeight="1" thickTop="1" thickBot="1">
      <c r="A18" s="160"/>
      <c r="B18" s="3"/>
      <c r="C18" s="153"/>
      <c r="D18" s="153"/>
      <c r="E18" s="153"/>
      <c r="F18" s="153"/>
      <c r="Q18" s="153"/>
      <c r="R18" s="153"/>
      <c r="S18" s="153"/>
      <c r="T18" s="153"/>
      <c r="U18" s="153"/>
      <c r="V18" s="153"/>
      <c r="W18" s="153"/>
    </row>
    <row r="19" spans="1:23" ht="13" customHeight="1" thickTop="1">
      <c r="A19" s="207" t="s">
        <v>21</v>
      </c>
      <c r="B19" s="168">
        <f>(CTS1.3!J$13/CTS1.3!J$12)^(1/50)-1</f>
        <v>5.4650866317518254E-3</v>
      </c>
      <c r="C19" s="152">
        <f>(CTS1.3!K$13/CTS1.3!K$12)^(1/50)-1</f>
        <v>8.677006305361612E-3</v>
      </c>
      <c r="D19" s="152">
        <f>(CTS1.3!L$13/CTS1.3!L$12)^(1/50)-1</f>
        <v>1.1903775796642035E-2</v>
      </c>
      <c r="E19" s="152">
        <f>(CTS1.3!M$13/CTS1.3!M$12)^(1/50)-1</f>
        <v>3.4663054447590103E-3</v>
      </c>
      <c r="F19" s="152">
        <f>(CTS1.3!N$13/CTS1.3!N$12)^(1/50)-1</f>
        <v>-6.4708888080977633E-4</v>
      </c>
      <c r="Q19" s="153"/>
      <c r="R19" s="153"/>
      <c r="S19" s="153"/>
      <c r="T19" s="153"/>
      <c r="U19" s="153"/>
      <c r="V19" s="153"/>
      <c r="W19" s="153"/>
    </row>
    <row r="20" spans="1:23" ht="13" customHeight="1" thickBot="1">
      <c r="A20" s="154" t="s">
        <v>22</v>
      </c>
      <c r="B20" s="169">
        <f>(CTS1.3!J$14/CTS1.3!J$13)^(1/43)-1</f>
        <v>1.3092775429984105E-2</v>
      </c>
      <c r="C20" s="155">
        <f>(CTS1.3!K$14/CTS1.3!K$13)^(1/43)-1</f>
        <v>1.230854967365147E-2</v>
      </c>
      <c r="D20" s="155">
        <f>(CTS1.3!L$14/CTS1.3!L$13)^(1/43)-1</f>
        <v>1.9665509757276212E-2</v>
      </c>
      <c r="E20" s="155">
        <f>(CTS1.3!M$14/CTS1.3!M$13)^(1/43)-1</f>
        <v>5.6216623995875015E-3</v>
      </c>
      <c r="F20" s="155">
        <f>(CTS1.3!N$14/CTS1.3!N$13)^(1/43)-1</f>
        <v>5.9527362177755894E-3</v>
      </c>
      <c r="Q20" s="153"/>
      <c r="R20" s="153"/>
      <c r="S20" s="153"/>
      <c r="T20" s="153"/>
      <c r="U20" s="153"/>
      <c r="V20" s="153"/>
      <c r="W20" s="153"/>
    </row>
    <row r="21" spans="1:23" ht="13" customHeight="1" thickTop="1" thickBot="1">
      <c r="A21" s="153"/>
      <c r="B21" s="153"/>
      <c r="C21" s="153"/>
      <c r="D21" s="153"/>
      <c r="E21" s="153"/>
      <c r="F21" s="153"/>
      <c r="Q21" s="153"/>
      <c r="R21" s="153"/>
      <c r="S21" s="153"/>
      <c r="T21" s="153"/>
      <c r="U21" s="153"/>
      <c r="V21" s="153"/>
      <c r="W21" s="153"/>
    </row>
    <row r="22" spans="1:23" ht="13" thickTop="1">
      <c r="A22" s="197" t="s">
        <v>57</v>
      </c>
      <c r="B22" s="208">
        <f>(CTS1.3!J22/CTS1.3!J18)^(1/18)-1</f>
        <v>2.5874423301221805E-2</v>
      </c>
      <c r="C22" s="209">
        <f>(CTS1.3!K22/CTS1.3!K18)^(1/18)-1</f>
        <v>1.8156928812324447E-2</v>
      </c>
      <c r="D22" s="209">
        <f>(CTS1.3!L22/CTS1.3!L18)^(1/18)-1</f>
        <v>1.7888264657780262E-2</v>
      </c>
      <c r="E22" s="209">
        <f>(CTS1.3!M22/CTS1.3!M18)^(1/18)-1</f>
        <v>4.7813341805725829E-2</v>
      </c>
      <c r="F22" s="220">
        <f>(CTS1.3!N22/CTS1.3!N18)^(1/18)-1</f>
        <v>3.6977410811499967E-2</v>
      </c>
      <c r="Q22" s="153"/>
      <c r="R22" s="153"/>
      <c r="S22" s="153"/>
      <c r="T22" s="153"/>
      <c r="U22" s="153"/>
      <c r="V22" s="153"/>
      <c r="W22" s="153"/>
    </row>
    <row r="23" spans="1:23">
      <c r="A23" s="212" t="s">
        <v>58</v>
      </c>
      <c r="B23" s="165">
        <f>(CTS1.3!J23/CTS1.3!J22)^(1/20)-1</f>
        <v>2.475743087254223E-2</v>
      </c>
      <c r="C23" s="173">
        <f>(CTS1.3!K23/CTS1.3!K22)^(1/20)-1</f>
        <v>1.6841489621916672E-2</v>
      </c>
      <c r="D23" s="173">
        <f>(CTS1.3!L23/CTS1.3!L22)^(1/20)-1</f>
        <v>1.7712594379400315E-2</v>
      </c>
      <c r="E23" s="173">
        <f>(CTS1.3!M23/CTS1.3!M22)^(1/20)-1</f>
        <v>3.7861113619532816E-2</v>
      </c>
      <c r="F23" s="221">
        <f>(CTS1.3!N23/CTS1.3!N22)^(1/20)-1</f>
        <v>3.1728458736724807E-2</v>
      </c>
      <c r="Q23" s="153"/>
      <c r="R23" s="153"/>
      <c r="S23" s="153"/>
      <c r="T23" s="153"/>
      <c r="U23" s="153"/>
      <c r="V23" s="153"/>
      <c r="W23" s="153"/>
    </row>
    <row r="24" spans="1:23">
      <c r="A24" s="212" t="s">
        <v>59</v>
      </c>
      <c r="B24" s="165">
        <f>(CTS1.3!J24/CTS1.3!J23)^(1/20)-1</f>
        <v>1.4657561138958553E-2</v>
      </c>
      <c r="C24" s="173">
        <f>(CTS1.3!K24/CTS1.3!K23)^(1/20)-1</f>
        <v>1.2090268575395413E-2</v>
      </c>
      <c r="D24" s="173">
        <f>(CTS1.3!L24/CTS1.3!L23)^(1/20)-1</f>
        <v>1.6315695082452564E-2</v>
      </c>
      <c r="E24" s="173">
        <f>(CTS1.3!M24/CTS1.3!M23)^(1/20)-1</f>
        <v>1.8196498599998945E-2</v>
      </c>
      <c r="F24" s="221">
        <f>(CTS1.3!N24/CTS1.3!N23)^(1/20)-1</f>
        <v>1.6833024202197677E-2</v>
      </c>
      <c r="Q24" s="153"/>
      <c r="R24" s="153"/>
      <c r="S24" s="153"/>
      <c r="T24" s="153"/>
      <c r="U24" s="153"/>
      <c r="V24" s="153"/>
      <c r="W24" s="153"/>
    </row>
    <row r="25" spans="1:23" ht="13" thickBot="1">
      <c r="A25" s="214" t="s">
        <v>60</v>
      </c>
      <c r="B25" s="215">
        <f>(CTS1.3!J25/CTS1.3!J24)^(1/30)-1</f>
        <v>1.2409105288209155E-2</v>
      </c>
      <c r="C25" s="216">
        <f>(CTS1.3!K25/CTS1.3!K24)^(1/30)-1</f>
        <v>1.205564258758951E-2</v>
      </c>
      <c r="D25" s="216">
        <f>(CTS1.3!L25/CTS1.3!L24)^(1/30)-1</f>
        <v>1.4122506306184279E-2</v>
      </c>
      <c r="E25" s="216">
        <f>(CTS1.3!M25/CTS1.3!M24)^(1/30)-1</f>
        <v>1.3796309739030788E-2</v>
      </c>
      <c r="F25" s="222">
        <f>(CTS1.3!N25/CTS1.3!N24)^(1/30)-1</f>
        <v>1.3851100578947451E-2</v>
      </c>
      <c r="Q25" s="153"/>
      <c r="R25" s="153"/>
      <c r="S25" s="153"/>
      <c r="T25" s="153"/>
      <c r="U25" s="153"/>
      <c r="V25" s="153"/>
      <c r="W25" s="153"/>
    </row>
    <row r="26" spans="1:23" ht="14" thickTop="1" thickBo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</row>
    <row r="27" spans="1:23" ht="50" thickTop="1" thickBot="1">
      <c r="B27" s="219" t="s">
        <v>118</v>
      </c>
      <c r="C27" s="232" t="s">
        <v>67</v>
      </c>
      <c r="D27" s="230" t="s">
        <v>104</v>
      </c>
      <c r="E27" s="231" t="s">
        <v>105</v>
      </c>
      <c r="F27" s="233" t="s">
        <v>68</v>
      </c>
      <c r="G27" s="231" t="s">
        <v>106</v>
      </c>
      <c r="H27" s="232" t="s">
        <v>107</v>
      </c>
      <c r="I27" s="231" t="s">
        <v>108</v>
      </c>
      <c r="J27" s="233" t="s">
        <v>109</v>
      </c>
      <c r="K27" s="234" t="s">
        <v>110</v>
      </c>
      <c r="L27" s="234" t="s">
        <v>111</v>
      </c>
      <c r="M27" s="234" t="s">
        <v>112</v>
      </c>
      <c r="N27" s="234" t="s">
        <v>113</v>
      </c>
      <c r="O27" s="234" t="s">
        <v>114</v>
      </c>
      <c r="P27" s="231" t="s">
        <v>115</v>
      </c>
    </row>
    <row r="28" spans="1:23" ht="13" thickTop="1">
      <c r="A28" s="151" t="s">
        <v>0</v>
      </c>
      <c r="B28" s="168">
        <f>(CTS1.3!P$11/CTS1.3!P$8)^(1/1700)-1</f>
        <v>1.5672876339212216E-4</v>
      </c>
      <c r="C28" s="152">
        <f>(CTS1.3!Q$11/CTS1.3!Q$8)^(1/1700)-1</f>
        <v>3.2051722977644026E-4</v>
      </c>
      <c r="D28" s="152">
        <f>(CTS1.3!R$11/CTS1.3!R$8)^(1/1700)-1</f>
        <v>2.27311306779443E-4</v>
      </c>
      <c r="E28" s="152">
        <f>(CTS1.3!S$11/CTS1.3!S$8)^(1/1700)-1</f>
        <v>2.4828098271423293E-4</v>
      </c>
      <c r="F28" s="152">
        <f>(CTS1.3!T$11/CTS1.3!T$8)^(1/1700)-1</f>
        <v>1.4388025096723212E-4</v>
      </c>
      <c r="G28" s="152">
        <f>(CTS1.3!U$11/CTS1.3!U$8)^(1/1700)-1</f>
        <v>1.6180765715190226E-4</v>
      </c>
      <c r="H28" s="152">
        <f>(CTS1.3!V$11/CTS1.3!V$8)^(1/1700)-1</f>
        <v>-1.1974550002535889E-4</v>
      </c>
      <c r="I28" s="152">
        <f>(CTS1.3!W$11/CTS1.3!W$8)^(1/1700)-1</f>
        <v>2.4273849718925433E-5</v>
      </c>
      <c r="J28" s="152">
        <f>(CTS1.3!X$11/CTS1.3!X$8)^(1/1700)-1</f>
        <v>1.6923906781651787E-4</v>
      </c>
      <c r="K28" s="152">
        <f>(CTS1.3!Y$11/CTS1.3!Y$8)^(1/1700)-1</f>
        <v>1.1804855274810677E-4</v>
      </c>
      <c r="L28" s="152">
        <f>(CTS1.3!Z$11/CTS1.3!Z$8)^(1/1700)-1</f>
        <v>2.0835806453889383E-4</v>
      </c>
      <c r="M28" s="152">
        <f>(CTS1.3!AA$11/CTS1.3!AA$8)^(1/1700)-1</f>
        <v>0</v>
      </c>
      <c r="N28" s="152">
        <f>(CTS1.3!AB$11/CTS1.3!AB$8)^(1/1700)-1</f>
        <v>7.3340161455437425E-5</v>
      </c>
      <c r="O28" s="152">
        <f>(CTS1.3!AC$11/CTS1.3!AC$8)^(1/1700)-1</f>
        <v>2.4828098271423293E-4</v>
      </c>
      <c r="P28" s="152">
        <f>(CTS1.3!AD$11/CTS1.3!AD$8)^(1/1700)-1</f>
        <v>1.5979928552711797E-4</v>
      </c>
    </row>
    <row r="29" spans="1:23" ht="13" thickBot="1">
      <c r="A29" s="154" t="s">
        <v>1</v>
      </c>
      <c r="B29" s="169">
        <f>(CTS1.3!P$18/CTS1.3!P$11)^(1/312)-1</f>
        <v>8.075265122180042E-3</v>
      </c>
      <c r="C29" s="155">
        <f>(CTS1.3!Q$18/CTS1.3!Q$11)^(1/312)-1</f>
        <v>9.9773203703876767E-3</v>
      </c>
      <c r="D29" s="155">
        <f>(CTS1.3!R$18/CTS1.3!R$11)^(1/312)-1</f>
        <v>9.1876474142063014E-3</v>
      </c>
      <c r="E29" s="155">
        <f>(CTS1.3!S$18/CTS1.3!S$11)^(1/312)-1</f>
        <v>9.4903070761132025E-3</v>
      </c>
      <c r="F29" s="155">
        <f>(CTS1.3!T$18/CTS1.3!T$11)^(1/312)-1</f>
        <v>1.3240123324090858E-2</v>
      </c>
      <c r="G29" s="155">
        <f>(CTS1.3!U$18/CTS1.3!U$11)^(1/312)-1</f>
        <v>8.7921710668430464E-3</v>
      </c>
      <c r="H29" s="155">
        <f>(CTS1.3!V$18/CTS1.3!V$11)^(1/312)-1</f>
        <v>7.3376222475343145E-3</v>
      </c>
      <c r="I29" s="155">
        <f>(CTS1.3!W$18/CTS1.3!W$11)^(1/312)-1</f>
        <v>4.1024549975670066E-3</v>
      </c>
      <c r="J29" s="155">
        <f>(CTS1.3!X$18/CTS1.3!X$11)^(1/312)-1</f>
        <v>7.272595413724714E-3</v>
      </c>
      <c r="K29" s="155">
        <f>(CTS1.3!Y$18/CTS1.3!Y$11)^(1/312)-1</f>
        <v>4.8139725088269802E-3</v>
      </c>
      <c r="L29" s="155">
        <f>(CTS1.3!Z$18/CTS1.3!Z$11)^(1/312)-1</f>
        <v>1.1737135631676887E-2</v>
      </c>
      <c r="M29" s="155">
        <f>(CTS1.3!AA$18/CTS1.3!AA$11)^(1/312)-1</f>
        <v>1.340869105691711E-2</v>
      </c>
      <c r="N29" s="155">
        <f>(CTS1.3!AB$18/CTS1.3!AB$11)^(1/312)-1</f>
        <v>8.5461210102621976E-3</v>
      </c>
      <c r="O29" s="155">
        <f>(CTS1.3!AC$18/CTS1.3!AC$11)^(1/312)-1</f>
        <v>6.5308601588234261E-3</v>
      </c>
      <c r="P29" s="155">
        <f>(CTS1.3!AD$18/CTS1.3!AD$11)^(1/312)-1</f>
        <v>7.2787851538627102E-3</v>
      </c>
    </row>
    <row r="30" spans="1:23" ht="13" thickTop="1">
      <c r="A30" s="156" t="s">
        <v>55</v>
      </c>
      <c r="B30" s="170">
        <f>(CTS1.3!P$12/CTS1.3!P$11)^(1/120)-1</f>
        <v>7.0288843227550579E-4</v>
      </c>
      <c r="C30" s="157">
        <f>(CTS1.3!Q$12/CTS1.3!Q$11)^(1/120)-1</f>
        <v>1.5347454122631721E-3</v>
      </c>
      <c r="D30" s="157">
        <f>(CTS1.3!R$12/CTS1.3!R$11)^(1/120)-1</f>
        <v>9.9910704614036838E-4</v>
      </c>
      <c r="E30" s="157">
        <f>(CTS1.3!S$12/CTS1.3!S$11)^(1/120)-1</f>
        <v>1.0029235541941794E-3</v>
      </c>
      <c r="F30" s="157">
        <f>(CTS1.3!T$12/CTS1.3!T$11)^(1/120)-1</f>
        <v>7.3535706526428601E-3</v>
      </c>
      <c r="G30" s="157">
        <f>(CTS1.3!U$12/CTS1.3!U$11)^(1/120)-1</f>
        <v>2.2668347218752771E-3</v>
      </c>
      <c r="H30" s="157">
        <f>(CTS1.3!V$12/CTS1.3!V$11)^(1/120)-1</f>
        <v>1.0362501569516347E-4</v>
      </c>
      <c r="I30" s="157">
        <f>(CTS1.3!W$12/CTS1.3!W$11)^(1/120)-1</f>
        <v>-3.7251884990596729E-5</v>
      </c>
      <c r="J30" s="157">
        <f>(CTS1.3!X$12/CTS1.3!X$11)^(1/120)-1</f>
        <v>0</v>
      </c>
      <c r="K30" s="157">
        <f>(CTS1.3!Y$12/CTS1.3!Y$11)^(1/120)-1</f>
        <v>-2.6011112856438867E-4</v>
      </c>
      <c r="L30" s="157">
        <f>(CTS1.3!Z$12/CTS1.3!Z$11)^(1/120)-1</f>
        <v>1.3354550878690308E-3</v>
      </c>
      <c r="M30" s="157">
        <f>(CTS1.3!AA$12/CTS1.3!AA$11)^(1/120)-1</f>
        <v>1.7059398249246183E-3</v>
      </c>
      <c r="N30" s="157">
        <f>(CTS1.3!AB$12/CTS1.3!AB$11)^(1/120)-1</f>
        <v>2.2700254091501115E-4</v>
      </c>
      <c r="O30" s="157">
        <f>(CTS1.3!AC$12/CTS1.3!AC$11)^(1/120)-1</f>
        <v>1.0029235541941794E-3</v>
      </c>
      <c r="P30" s="157">
        <f>(CTS1.3!AD$12/CTS1.3!AD$11)^(1/120)-1</f>
        <v>1.4304371798234961E-4</v>
      </c>
    </row>
    <row r="31" spans="1:23">
      <c r="A31" s="156" t="s">
        <v>20</v>
      </c>
      <c r="B31" s="170">
        <f>(CTS1.3!P$14/CTS1.3!P$12)^(1/93)-1</f>
        <v>8.984703109527814E-3</v>
      </c>
      <c r="C31" s="157">
        <f>(CTS1.3!Q$14/CTS1.3!Q$12)^(1/93)-1</f>
        <v>1.1493667346188952E-2</v>
      </c>
      <c r="D31" s="157">
        <f>(CTS1.3!R$14/CTS1.3!R$12)^(1/93)-1</f>
        <v>9.8181699125823307E-3</v>
      </c>
      <c r="E31" s="157">
        <f>(CTS1.3!S$14/CTS1.3!S$12)^(1/93)-1</f>
        <v>8.3262794909912952E-3</v>
      </c>
      <c r="F31" s="157">
        <f>(CTS1.3!T$14/CTS1.3!T$12)^(1/93)-1</f>
        <v>1.5694889986404448E-2</v>
      </c>
      <c r="G31" s="157">
        <f>(CTS1.3!U$14/CTS1.3!U$12)^(1/93)-1</f>
        <v>8.3277510290431511E-3</v>
      </c>
      <c r="H31" s="157">
        <f>(CTS1.3!V$14/CTS1.3!V$12)^(1/93)-1</f>
        <v>7.7745784988718647E-3</v>
      </c>
      <c r="I31" s="157">
        <f>(CTS1.3!W$14/CTS1.3!W$12)^(1/93)-1</f>
        <v>3.3838650656738967E-3</v>
      </c>
      <c r="J31" s="157">
        <f>(CTS1.3!X$14/CTS1.3!X$12)^(1/93)-1</f>
        <v>-8.9040086492442327E-4</v>
      </c>
      <c r="K31" s="157">
        <f>(CTS1.3!Y$14/CTS1.3!Y$12)^(1/93)-1</f>
        <v>2.5011828549907911E-3</v>
      </c>
      <c r="L31" s="157">
        <f>(CTS1.3!Z$14/CTS1.3!Z$12)^(1/93)-1</f>
        <v>7.8683227915070653E-3</v>
      </c>
      <c r="M31" s="157">
        <f>(CTS1.3!AA$14/CTS1.3!AA$12)^(1/93)-1</f>
        <v>2.5611842558679543E-2</v>
      </c>
      <c r="N31" s="157">
        <f>(CTS1.3!AB$14/CTS1.3!AB$12)^(1/93)-1</f>
        <v>5.8221319093199053E-3</v>
      </c>
      <c r="O31" s="157">
        <f>(CTS1.3!AC$14/CTS1.3!AC$12)^(1/93)-1</f>
        <v>8.3262794909912952E-3</v>
      </c>
      <c r="P31" s="157">
        <f>(CTS1.3!AD$14/CTS1.3!AD$12)^(1/93)-1</f>
        <v>4.1114380875990619E-3</v>
      </c>
    </row>
    <row r="32" spans="1:23" ht="13" thickBot="1">
      <c r="A32" s="156" t="s">
        <v>56</v>
      </c>
      <c r="B32" s="170">
        <f>(CTS1.3!P$18/CTS1.3!P$14)^(1/99)-1</f>
        <v>1.6223132389781236E-2</v>
      </c>
      <c r="C32" s="157">
        <f>(CTS1.3!Q$18/CTS1.3!Q$14)^(1/99)-1</f>
        <v>1.8869291778990993E-2</v>
      </c>
      <c r="D32" s="157">
        <f>(CTS1.3!R$18/CTS1.3!R$14)^(1/99)-1</f>
        <v>1.860518352275542E-2</v>
      </c>
      <c r="E32" s="157">
        <f>(CTS1.3!S$18/CTS1.3!S$14)^(1/99)-1</f>
        <v>2.0980547774062552E-2</v>
      </c>
      <c r="F32" s="157">
        <f>(CTS1.3!T$18/CTS1.3!T$14)^(1/99)-1</f>
        <v>1.8104581357749172E-2</v>
      </c>
      <c r="G32" s="157">
        <f>(CTS1.3!U$18/CTS1.3!U$14)^(1/99)-1</f>
        <v>1.7198567924085362E-2</v>
      </c>
      <c r="H32" s="157">
        <f>(CTS1.3!V$18/CTS1.3!V$14)^(1/99)-1</f>
        <v>1.5762389444841762E-2</v>
      </c>
      <c r="I32" s="157">
        <f>(CTS1.3!W$18/CTS1.3!W$14)^(1/99)-1</f>
        <v>9.8221635596955625E-3</v>
      </c>
      <c r="J32" s="157">
        <f>(CTS1.3!X$18/CTS1.3!X$14)^(1/99)-1</f>
        <v>2.3956006683761633E-2</v>
      </c>
      <c r="K32" s="157">
        <f>(CTS1.3!Y$18/CTS1.3!Y$14)^(1/99)-1</f>
        <v>1.3189799668104962E-2</v>
      </c>
      <c r="L32" s="157">
        <f>(CTS1.3!Z$18/CTS1.3!Z$14)^(1/99)-1</f>
        <v>2.8184048878811874E-2</v>
      </c>
      <c r="M32" s="157">
        <f>(CTS1.3!AA$18/CTS1.3!AA$14)^(1/99)-1</f>
        <v>1.6285364383557432E-2</v>
      </c>
      <c r="N32" s="157">
        <f>(CTS1.3!AB$18/CTS1.3!AB$14)^(1/99)-1</f>
        <v>2.1314226345167553E-2</v>
      </c>
      <c r="O32" s="157">
        <f>(CTS1.3!AC$18/CTS1.3!AC$14)^(1/99)-1</f>
        <v>1.1577362182280782E-2</v>
      </c>
      <c r="P32" s="157">
        <f>(CTS1.3!AD$18/CTS1.3!AD$14)^(1/99)-1</f>
        <v>1.9006776054812935E-2</v>
      </c>
    </row>
    <row r="33" spans="1:16" ht="14" thickTop="1" thickBot="1">
      <c r="A33" s="158" t="s">
        <v>13</v>
      </c>
      <c r="B33" s="171">
        <f>(CTS1.3!P$15/CTS1.3!P$14)^(1/37)-1</f>
        <v>8.6562488427233131E-3</v>
      </c>
      <c r="C33" s="159">
        <f>(CTS1.3!Q$15/CTS1.3!Q$14)^(1/37)-1</f>
        <v>7.5668887008875085E-3</v>
      </c>
      <c r="D33" s="159">
        <f>(CTS1.3!R$15/CTS1.3!R$14)^(1/37)-1</f>
        <v>5.9546292270900025E-3</v>
      </c>
      <c r="E33" s="159">
        <f>(CTS1.3!S$15/CTS1.3!S$14)^(1/37)-1</f>
        <v>1.7644510650189904E-2</v>
      </c>
      <c r="F33" s="159">
        <f>(CTS1.3!T$15/CTS1.3!T$14)^(1/37)-1</f>
        <v>1.5847094644033888E-2</v>
      </c>
      <c r="G33" s="159">
        <f>(CTS1.3!U$15/CTS1.3!U$14)^(1/37)-1</f>
        <v>1.4110134410564079E-2</v>
      </c>
      <c r="H33" s="159">
        <f>(CTS1.3!V$15/CTS1.3!V$14)^(1/37)-1</f>
        <v>5.6832513354698744E-3</v>
      </c>
      <c r="I33" s="159">
        <f>(CTS1.3!W$15/CTS1.3!W$14)^(1/37)-1</f>
        <v>1.0320350749296381E-2</v>
      </c>
      <c r="J33" s="159">
        <f>(CTS1.3!X$15/CTS1.3!X$14)^(1/37)-1</f>
        <v>-5.6392760252857999E-3</v>
      </c>
      <c r="K33" s="159">
        <f>(CTS1.3!Y$15/CTS1.3!Y$14)^(1/37)-1</f>
        <v>-2.2383209320516739E-3</v>
      </c>
      <c r="L33" s="159">
        <f>(CTS1.3!Z$15/CTS1.3!Z$14)^(1/37)-1</f>
        <v>8.8437830438292675E-3</v>
      </c>
      <c r="M33" s="159">
        <f>(CTS1.3!AA$15/CTS1.3!AA$14)^(1/37)-1</f>
        <v>1.0567912068707663E-2</v>
      </c>
      <c r="N33" s="159">
        <f>(CTS1.3!AB$15/CTS1.3!AB$14)^(1/37)-1</f>
        <v>1.4522558502319649E-2</v>
      </c>
      <c r="O33" s="159">
        <f>(CTS1.3!AC$15/CTS1.3!AC$14)^(1/37)-1</f>
        <v>1.7644510650189904E-2</v>
      </c>
      <c r="P33" s="159">
        <f>(CTS1.3!AD$15/CTS1.3!AD$14)^(1/37)-1</f>
        <v>-2.280927995114812E-3</v>
      </c>
    </row>
    <row r="34" spans="1:16" ht="13" thickTop="1">
      <c r="A34" s="156" t="s">
        <v>14</v>
      </c>
      <c r="B34" s="170">
        <f>(CTS1.3!P$16/CTS1.3!P$15)^(1/20)-1</f>
        <v>2.8137312350013488E-2</v>
      </c>
      <c r="C34" s="157">
        <f>(CTS1.3!Q$16/CTS1.3!Q$15)^(1/20)-1</f>
        <v>4.0816384466625388E-2</v>
      </c>
      <c r="D34" s="157">
        <f>(CTS1.3!R$16/CTS1.3!R$15)^(1/20)-1</f>
        <v>3.6389244113705477E-2</v>
      </c>
      <c r="E34" s="157">
        <f>(CTS1.3!S$16/CTS1.3!S$15)^(1/20)-1</f>
        <v>3.4473572027976296E-2</v>
      </c>
      <c r="F34" s="157">
        <f>(CTS1.3!T$16/CTS1.3!T$15)^(1/20)-1</f>
        <v>2.2924986946848191E-2</v>
      </c>
      <c r="G34" s="157">
        <f>(CTS1.3!U$16/CTS1.3!U$15)^(1/20)-1</f>
        <v>2.3526058318048992E-2</v>
      </c>
      <c r="H34" s="157">
        <f>(CTS1.3!V$16/CTS1.3!V$15)^(1/20)-1</f>
        <v>2.3307881256231511E-2</v>
      </c>
      <c r="I34" s="157">
        <f>(CTS1.3!W$16/CTS1.3!W$15)^(1/20)-1</f>
        <v>1.9611897403576606E-2</v>
      </c>
      <c r="J34" s="157">
        <f>(CTS1.3!X$16/CTS1.3!X$15)^(1/20)-1</f>
        <v>1.0345512807812707E-2</v>
      </c>
      <c r="K34" s="157">
        <f>(CTS1.3!Y$16/CTS1.3!Y$15)^(1/20)-1</f>
        <v>8.3531761323065723E-3</v>
      </c>
      <c r="L34" s="157">
        <f>(CTS1.3!Z$16/CTS1.3!Z$15)^(1/20)-1</f>
        <v>8.4417669378880289E-2</v>
      </c>
      <c r="M34" s="157">
        <f>(CTS1.3!AA$16/CTS1.3!AA$15)^(1/20)-1</f>
        <v>2.2499306293989552E-2</v>
      </c>
      <c r="N34" s="157">
        <f>(CTS1.3!AB$16/CTS1.3!AB$15)^(1/20)-1</f>
        <v>4.1406984762512478E-2</v>
      </c>
      <c r="O34" s="157">
        <f>(CTS1.3!AC$16/CTS1.3!AC$15)^(1/20)-1</f>
        <v>3.4273081443237041E-2</v>
      </c>
      <c r="P34" s="157">
        <f>(CTS1.3!AD$16/CTS1.3!AD$15)^(1/20)-1</f>
        <v>2.5442708900916378E-2</v>
      </c>
    </row>
    <row r="35" spans="1:16">
      <c r="A35" s="156" t="s">
        <v>15</v>
      </c>
      <c r="B35" s="170">
        <f>(CTS1.3!P$17/CTS1.3!P$16)^(1/20)-1</f>
        <v>1.3416128363568314E-2</v>
      </c>
      <c r="C35" s="157">
        <f>(CTS1.3!Q$17/CTS1.3!Q$16)^(1/20)-1</f>
        <v>2.2629277343302556E-2</v>
      </c>
      <c r="D35" s="157">
        <f>(CTS1.3!R$17/CTS1.3!R$16)^(1/20)-1</f>
        <v>1.1530074564549908E-2</v>
      </c>
      <c r="E35" s="157">
        <f>(CTS1.3!S$17/CTS1.3!S$16)^(1/20)-1</f>
        <v>1.3412728249813322E-2</v>
      </c>
      <c r="F35" s="157">
        <f>(CTS1.3!T$17/CTS1.3!T$16)^(1/20)-1</f>
        <v>2.1962748242985608E-2</v>
      </c>
      <c r="G35" s="157">
        <f>(CTS1.3!U$17/CTS1.3!U$16)^(1/20)-1</f>
        <v>1.1924617749329292E-2</v>
      </c>
      <c r="H35" s="157">
        <f>(CTS1.3!V$17/CTS1.3!V$16)^(1/20)-1</f>
        <v>2.0616141228517737E-2</v>
      </c>
      <c r="I35" s="157">
        <f>(CTS1.3!W$17/CTS1.3!W$16)^(1/20)-1</f>
        <v>-4.0488728039461686E-3</v>
      </c>
      <c r="J35" s="157">
        <f>(CTS1.3!X$17/CTS1.3!X$16)^(1/20)-1</f>
        <v>1.822757724573898E-2</v>
      </c>
      <c r="K35" s="157">
        <f>(CTS1.3!Y$17/CTS1.3!Y$16)^(1/20)-1</f>
        <v>1.0344523372852743E-2</v>
      </c>
      <c r="L35" s="157">
        <f>(CTS1.3!Z$17/CTS1.3!Z$16)^(1/20)-1</f>
        <v>3.3535668809540509E-2</v>
      </c>
      <c r="M35" s="157">
        <f>(CTS1.3!AA$17/CTS1.3!AA$16)^(1/20)-1</f>
        <v>1.6870533581948344E-2</v>
      </c>
      <c r="N35" s="157">
        <f>(CTS1.3!AB$17/CTS1.3!AB$16)^(1/20)-1</f>
        <v>9.7910526542470677E-3</v>
      </c>
      <c r="O35" s="157">
        <f>(CTS1.3!AC$17/CTS1.3!AC$16)^(1/20)-1</f>
        <v>2.8875325701394061E-4</v>
      </c>
      <c r="P35" s="157">
        <f>(CTS1.3!AD$17/CTS1.3!AD$16)^(1/20)-1</f>
        <v>3.7892294453178543E-2</v>
      </c>
    </row>
    <row r="36" spans="1:16" ht="13" thickBot="1">
      <c r="A36" s="156" t="s">
        <v>16</v>
      </c>
      <c r="B36" s="170">
        <f>(CTS1.3!P$18/CTS1.3!P$17)^(1/22)-1</f>
        <v>2.0794401534121265E-2</v>
      </c>
      <c r="C36" s="157">
        <f>(CTS1.3!Q$18/CTS1.3!Q$17)^(1/22)-1</f>
        <v>1.4840156632064172E-2</v>
      </c>
      <c r="D36" s="157">
        <f>(CTS1.3!R$18/CTS1.3!R$17)^(1/22)-1</f>
        <v>3.0509911743627827E-2</v>
      </c>
      <c r="E36" s="157">
        <f>(CTS1.3!S$18/CTS1.3!S$17)^(1/22)-1</f>
        <v>2.1319820611426676E-2</v>
      </c>
      <c r="F36" s="157">
        <f>(CTS1.3!T$18/CTS1.3!T$17)^(1/22)-1</f>
        <v>1.4040969578298146E-2</v>
      </c>
      <c r="G36" s="157">
        <f>(CTS1.3!U$18/CTS1.3!U$17)^(1/22)-1</f>
        <v>2.1482172812714584E-2</v>
      </c>
      <c r="H36" s="157">
        <f>(CTS1.3!V$18/CTS1.3!V$17)^(1/22)-1</f>
        <v>2.1578739927224921E-2</v>
      </c>
      <c r="I36" s="157">
        <f>(CTS1.3!W$18/CTS1.3!W$17)^(1/22)-1</f>
        <v>1.2829524579338614E-2</v>
      </c>
      <c r="J36" s="157">
        <f>(CTS1.3!X$18/CTS1.3!X$17)^(1/22)-1</f>
        <v>9.4463299808432266E-2</v>
      </c>
      <c r="K36" s="157">
        <f>(CTS1.3!Y$18/CTS1.3!Y$17)^(1/22)-1</f>
        <v>4.6882479145428757E-2</v>
      </c>
      <c r="L36" s="157">
        <f>(CTS1.3!Z$18/CTS1.3!Z$17)^(1/22)-1</f>
        <v>6.6249434208554003E-3</v>
      </c>
      <c r="M36" s="157">
        <f>(CTS1.3!AA$18/CTS1.3!AA$17)^(1/22)-1</f>
        <v>1.9770535049158378E-2</v>
      </c>
      <c r="N36" s="157">
        <f>(CTS1.3!AB$18/CTS1.3!AB$17)^(1/22)-1</f>
        <v>2.52285768318119E-2</v>
      </c>
      <c r="O36" s="157">
        <f>(CTS1.3!AC$18/CTS1.3!AC$17)^(1/22)-1</f>
        <v>-8.4788679763180275E-3</v>
      </c>
      <c r="P36" s="157">
        <f>(CTS1.3!AD$18/CTS1.3!AD$17)^(1/22)-1</f>
        <v>3.2431799346570811E-2</v>
      </c>
    </row>
    <row r="37" spans="1:16" ht="13" thickTop="1">
      <c r="A37" s="156" t="s">
        <v>17</v>
      </c>
      <c r="B37" s="168">
        <f>(CTS1.3!P$20/CTS1.3!P$15)^(1/30)-1</f>
        <v>2.4822843033457831E-2</v>
      </c>
      <c r="C37" s="152">
        <f>(CTS1.3!Q$20/CTS1.3!Q$15)^(1/30)-1</f>
        <v>3.5879647202418097E-2</v>
      </c>
      <c r="D37" s="152">
        <f>(CTS1.3!R$20/CTS1.3!R$15)^(1/30)-1</f>
        <v>3.4176028149876414E-2</v>
      </c>
      <c r="E37" s="152">
        <f>(CTS1.3!S$20/CTS1.3!S$15)^(1/30)-1</f>
        <v>2.7780858249777385E-2</v>
      </c>
      <c r="F37" s="152">
        <f>(CTS1.3!T$20/CTS1.3!T$15)^(1/30)-1</f>
        <v>2.2643948154572158E-2</v>
      </c>
      <c r="G37" s="152">
        <f>(CTS1.3!U$20/CTS1.3!U$15)^(1/30)-1</f>
        <v>2.6109203046815965E-2</v>
      </c>
      <c r="H37" s="152">
        <f>(CTS1.3!V$20/CTS1.3!V$15)^(1/30)-1</f>
        <v>2.7757603884143611E-2</v>
      </c>
      <c r="I37" s="152">
        <f>(CTS1.3!W$20/CTS1.3!W$15)^(1/30)-1</f>
        <v>1.4161856488438263E-2</v>
      </c>
      <c r="J37" s="152">
        <f>(CTS1.3!X$20/CTS1.3!X$15)^(1/30)-1</f>
        <v>1.1894772513249663E-2</v>
      </c>
      <c r="K37" s="152">
        <f>(CTS1.3!Y$20/CTS1.3!Y$15)^(1/30)-1</f>
        <v>6.9814647735879642E-3</v>
      </c>
      <c r="L37" s="152">
        <f>(CTS1.3!Z$20/CTS1.3!Z$15)^(1/30)-1</f>
        <v>6.696771685512215E-2</v>
      </c>
      <c r="M37" s="152">
        <f>(CTS1.3!AA$20/CTS1.3!AA$15)^(1/30)-1</f>
        <v>2.0645545449109459E-2</v>
      </c>
      <c r="N37" s="152">
        <f>(CTS1.3!AB$20/CTS1.3!AB$15)^(1/30)-1</f>
        <v>3.7743013927581837E-2</v>
      </c>
      <c r="O37" s="152">
        <f>(CTS1.3!AC$20/CTS1.3!AC$15)^(1/30)-1</f>
        <v>2.7581122217955834E-2</v>
      </c>
      <c r="P37" s="152">
        <f>(CTS1.3!AD$20/CTS1.3!AD$15)^(1/30)-1</f>
        <v>3.0055347842465441E-2</v>
      </c>
    </row>
    <row r="38" spans="1:16" ht="13" thickBot="1">
      <c r="A38" s="156" t="s">
        <v>18</v>
      </c>
      <c r="B38" s="169">
        <f>(CTS1.3!P$18/CTS1.3!P$20)^(1/32)-1</f>
        <v>1.6977050323944809E-2</v>
      </c>
      <c r="C38" s="155">
        <f>(CTS1.3!Q$18/CTS1.3!Q$20)^(1/32)-1</f>
        <v>1.6198676863744099E-2</v>
      </c>
      <c r="D38" s="155">
        <f>(CTS1.3!R$18/CTS1.3!R$20)^(1/32)-1</f>
        <v>1.8836785729298589E-2</v>
      </c>
      <c r="E38" s="155">
        <f>(CTS1.3!S$18/CTS1.3!S$20)^(1/32)-1</f>
        <v>1.8493038138076567E-2</v>
      </c>
      <c r="F38" s="155">
        <f>(CTS1.3!T$18/CTS1.3!T$20)^(1/32)-1</f>
        <v>1.6472810345034672E-2</v>
      </c>
      <c r="G38" s="155">
        <f>(CTS1.3!U$18/CTS1.3!U$20)^(1/32)-1</f>
        <v>1.2468688776457348E-2</v>
      </c>
      <c r="H38" s="155">
        <f>(CTS1.3!V$18/CTS1.3!V$20)^(1/32)-1</f>
        <v>1.6295105521886732E-2</v>
      </c>
      <c r="I38" s="155">
        <f>(CTS1.3!W$18/CTS1.3!W$20)^(1/32)-1</f>
        <v>5.1971554213443572E-3</v>
      </c>
      <c r="J38" s="155">
        <f>(CTS1.3!X$18/CTS1.3!X$20)^(1/32)-1</f>
        <v>7.1107762934746077E-2</v>
      </c>
      <c r="K38" s="155">
        <f>(CTS1.3!Y$18/CTS1.3!Y$20)^(1/32)-1</f>
        <v>3.7286068085798929E-2</v>
      </c>
      <c r="L38" s="155">
        <f>(CTS1.3!Z$18/CTS1.3!Z$20)^(1/32)-1</f>
        <v>1.5151814415537812E-2</v>
      </c>
      <c r="M38" s="155">
        <f>(CTS1.3!AA$18/CTS1.3!AA$20)^(1/32)-1</f>
        <v>1.8839111438947675E-2</v>
      </c>
      <c r="N38" s="155">
        <f>(CTS1.3!AB$18/CTS1.3!AB$20)^(1/32)-1</f>
        <v>1.3940642127574954E-2</v>
      </c>
      <c r="O38" s="155">
        <f>(CTS1.3!AC$18/CTS1.3!AC$20)^(1/32)-1</f>
        <v>-1.0067967811086986E-2</v>
      </c>
      <c r="P38" s="155">
        <f>(CTS1.3!AD$18/CTS1.3!AD$20)^(1/32)-1</f>
        <v>3.3683831382240292E-2</v>
      </c>
    </row>
    <row r="39" spans="1:16" ht="14" thickTop="1" thickBot="1">
      <c r="A39" s="160"/>
      <c r="B39" s="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</row>
    <row r="40" spans="1:16" ht="13" thickTop="1">
      <c r="A40" s="207" t="s">
        <v>21</v>
      </c>
      <c r="B40" s="168">
        <f>(CTS1.3!P$13/CTS1.3!P$12)^(1/50)-1</f>
        <v>5.4650866317518254E-3</v>
      </c>
      <c r="C40" s="152">
        <f>(CTS1.3!Q$13/CTS1.3!Q$12)^(1/50)-1</f>
        <v>9.8873170463742444E-3</v>
      </c>
      <c r="D40" s="152">
        <f>(CTS1.3!R$13/CTS1.3!R$12)^(1/50)-1</f>
        <v>6.3310759013062157E-3</v>
      </c>
      <c r="E40" s="152">
        <f>(CTS1.3!S$13/CTS1.3!S$12)^(1/50)-1</f>
        <v>6.3324532050781368E-3</v>
      </c>
      <c r="F40" s="152">
        <f>(CTS1.3!T$13/CTS1.3!T$12)^(1/50)-1</f>
        <v>1.3281495172817959E-2</v>
      </c>
      <c r="G40" s="152">
        <f>(CTS1.3!U$13/CTS1.3!U$12)^(1/50)-1</f>
        <v>-4.4043638331225932E-4</v>
      </c>
      <c r="H40" s="152">
        <f>(CTS1.3!V$13/CTS1.3!V$12)^(1/50)-1</f>
        <v>7.2866378499942819E-3</v>
      </c>
      <c r="I40" s="152">
        <f>(CTS1.3!W$13/CTS1.3!W$12)^(1/50)-1</f>
        <v>2.4852402900237269E-3</v>
      </c>
      <c r="J40" s="152">
        <f>(CTS1.3!X$13/CTS1.3!X$12)^(1/50)-1</f>
        <v>-2.4779777052978957E-3</v>
      </c>
      <c r="K40" s="152">
        <f>(CTS1.3!Y$13/CTS1.3!Y$12)^(1/50)-1</f>
        <v>1.3032710970417583E-6</v>
      </c>
      <c r="L40" s="152">
        <f>(CTS1.3!Z$13/CTS1.3!Z$12)^(1/50)-1</f>
        <v>1.9481591328411874E-3</v>
      </c>
      <c r="M40" s="152">
        <f>(CTS1.3!AA$13/CTS1.3!AA$12)^(1/50)-1</f>
        <v>3.8524233683504994E-2</v>
      </c>
      <c r="N40" s="152">
        <f>(CTS1.3!AB$13/CTS1.3!AB$12)^(1/50)-1</f>
        <v>4.0131311521722779E-3</v>
      </c>
      <c r="O40" s="152">
        <f>(CTS1.3!AC$13/CTS1.3!AC$12)^(1/50)-1</f>
        <v>6.3324532050781368E-3</v>
      </c>
      <c r="P40" s="152">
        <f>(CTS1.3!AD$13/CTS1.3!AD$12)^(1/50)-1</f>
        <v>7.9502219979765698E-5</v>
      </c>
    </row>
    <row r="41" spans="1:16" ht="13" thickBot="1">
      <c r="A41" s="154" t="s">
        <v>22</v>
      </c>
      <c r="B41" s="169">
        <f>(CTS1.3!P$14/CTS1.3!P$13)^(1/43)-1</f>
        <v>1.3092775429984105E-2</v>
      </c>
      <c r="C41" s="155">
        <f>(CTS1.3!Q$14/CTS1.3!Q$13)^(1/43)-1</f>
        <v>1.3364729682880272E-2</v>
      </c>
      <c r="D41" s="155">
        <f>(CTS1.3!R$14/CTS1.3!R$13)^(1/43)-1</f>
        <v>1.3888127258010474E-2</v>
      </c>
      <c r="E41" s="155">
        <f>(CTS1.3!S$14/CTS1.3!S$13)^(1/43)-1</f>
        <v>1.0649649969261876E-2</v>
      </c>
      <c r="F41" s="155">
        <f>(CTS1.3!T$14/CTS1.3!T$13)^(1/43)-1</f>
        <v>1.8508391868292451E-2</v>
      </c>
      <c r="G41" s="155">
        <f>(CTS1.3!U$14/CTS1.3!U$13)^(1/43)-1</f>
        <v>1.8620079448225191E-2</v>
      </c>
      <c r="H41" s="155">
        <f>(CTS1.3!V$14/CTS1.3!V$13)^(1/43)-1</f>
        <v>8.3422485666482249E-3</v>
      </c>
      <c r="I41" s="155">
        <f>(CTS1.3!W$14/CTS1.3!W$13)^(1/43)-1</f>
        <v>4.4297905407111315E-3</v>
      </c>
      <c r="J41" s="155">
        <f>(CTS1.3!X$14/CTS1.3!X$13)^(1/43)-1</f>
        <v>9.5879610713289765E-4</v>
      </c>
      <c r="K41" s="155">
        <f>(CTS1.3!Y$14/CTS1.3!Y$13)^(1/43)-1</f>
        <v>5.415878856399603E-3</v>
      </c>
      <c r="L41" s="155">
        <f>(CTS1.3!Z$14/CTS1.3!Z$13)^(1/43)-1</f>
        <v>1.4796233474873466E-2</v>
      </c>
      <c r="M41" s="155">
        <f>(CTS1.3!AA$14/CTS1.3!AA$13)^(1/43)-1</f>
        <v>1.079917281732512E-2</v>
      </c>
      <c r="N41" s="155">
        <f>(CTS1.3!AB$14/CTS1.3!AB$13)^(1/43)-1</f>
        <v>7.929720054932643E-3</v>
      </c>
      <c r="O41" s="155">
        <f>(CTS1.3!AC$14/CTS1.3!AC$13)^(1/43)-1</f>
        <v>1.0649649969261876E-2</v>
      </c>
      <c r="P41" s="155">
        <f>(CTS1.3!AD$14/CTS1.3!AD$13)^(1/43)-1</f>
        <v>8.8201799752205545E-3</v>
      </c>
    </row>
    <row r="42" spans="1:16" ht="14" thickTop="1" thickBo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</row>
    <row r="43" spans="1:16" ht="13" thickTop="1">
      <c r="A43" s="197" t="s">
        <v>57</v>
      </c>
      <c r="B43" s="201"/>
      <c r="C43" s="210">
        <v>1.2E-2</v>
      </c>
      <c r="D43" s="210">
        <v>0.03</v>
      </c>
      <c r="E43" s="210">
        <v>0.03</v>
      </c>
      <c r="F43" s="210">
        <v>1.2E-2</v>
      </c>
      <c r="G43" s="210">
        <v>0.03</v>
      </c>
      <c r="H43" s="210">
        <v>0.05</v>
      </c>
      <c r="I43" s="210">
        <v>0.05</v>
      </c>
      <c r="J43" s="210">
        <v>0.05</v>
      </c>
      <c r="K43" s="210">
        <v>0.05</v>
      </c>
      <c r="L43" s="210">
        <v>1.2E-2</v>
      </c>
      <c r="M43" s="210">
        <v>1.2E-2</v>
      </c>
      <c r="N43" s="210">
        <v>0.03</v>
      </c>
      <c r="O43" s="210">
        <v>0.03</v>
      </c>
      <c r="P43" s="211">
        <v>0.03</v>
      </c>
    </row>
    <row r="44" spans="1:16">
      <c r="A44" s="212" t="s">
        <v>58</v>
      </c>
      <c r="B44" s="167"/>
      <c r="C44" s="162">
        <v>1.2E-2</v>
      </c>
      <c r="D44" s="162">
        <v>2.5000000000000001E-2</v>
      </c>
      <c r="E44" s="162">
        <v>2.5000000000000001E-2</v>
      </c>
      <c r="F44" s="162">
        <v>1.2E-2</v>
      </c>
      <c r="G44" s="162">
        <v>2.5000000000000001E-2</v>
      </c>
      <c r="H44" s="162">
        <v>0.04</v>
      </c>
      <c r="I44" s="162">
        <v>0.04</v>
      </c>
      <c r="J44" s="162">
        <v>0.04</v>
      </c>
      <c r="K44" s="162">
        <v>0.04</v>
      </c>
      <c r="L44" s="162">
        <v>1.2E-2</v>
      </c>
      <c r="M44" s="162">
        <v>1.2E-2</v>
      </c>
      <c r="N44" s="162">
        <v>2.5000000000000001E-2</v>
      </c>
      <c r="O44" s="162">
        <v>2.5000000000000001E-2</v>
      </c>
      <c r="P44" s="213">
        <v>2.5000000000000001E-2</v>
      </c>
    </row>
    <row r="45" spans="1:16">
      <c r="A45" s="212" t="s">
        <v>59</v>
      </c>
      <c r="B45" s="167"/>
      <c r="C45" s="162">
        <v>1.2E-2</v>
      </c>
      <c r="D45" s="162">
        <v>1.2E-2</v>
      </c>
      <c r="E45" s="162">
        <v>1.2E-2</v>
      </c>
      <c r="F45" s="162">
        <v>1.2E-2</v>
      </c>
      <c r="G45" s="162">
        <v>0.02</v>
      </c>
      <c r="H45" s="162">
        <v>0.02</v>
      </c>
      <c r="I45" s="162">
        <v>0.02</v>
      </c>
      <c r="J45" s="162">
        <v>1.4999999999999999E-2</v>
      </c>
      <c r="K45" s="162">
        <v>0.02</v>
      </c>
      <c r="L45" s="162">
        <v>1.2E-2</v>
      </c>
      <c r="M45" s="162">
        <v>1.2E-2</v>
      </c>
      <c r="N45" s="162">
        <v>0.02</v>
      </c>
      <c r="O45" s="162">
        <v>0.02</v>
      </c>
      <c r="P45" s="213">
        <v>0.02</v>
      </c>
    </row>
    <row r="46" spans="1:16" ht="13" thickBot="1">
      <c r="A46" s="214" t="s">
        <v>60</v>
      </c>
      <c r="B46" s="199"/>
      <c r="C46" s="217">
        <v>1.2E-2</v>
      </c>
      <c r="D46" s="217">
        <v>1.2E-2</v>
      </c>
      <c r="E46" s="217">
        <v>1.2E-2</v>
      </c>
      <c r="F46" s="217">
        <v>1.2E-2</v>
      </c>
      <c r="G46" s="217">
        <v>1.4999999999999999E-2</v>
      </c>
      <c r="H46" s="217">
        <v>1.4999999999999999E-2</v>
      </c>
      <c r="I46" s="217">
        <v>1.4999999999999999E-2</v>
      </c>
      <c r="J46" s="217">
        <v>1.2E-2</v>
      </c>
      <c r="K46" s="217">
        <v>1.4999999999999999E-2</v>
      </c>
      <c r="L46" s="217">
        <v>1.2E-2</v>
      </c>
      <c r="M46" s="217">
        <v>1.2E-2</v>
      </c>
      <c r="N46" s="217">
        <v>1.4999999999999999E-2</v>
      </c>
      <c r="O46" s="217">
        <v>1.4999999999999999E-2</v>
      </c>
      <c r="P46" s="218">
        <v>1.4999999999999999E-2</v>
      </c>
    </row>
    <row r="47" spans="1:16" ht="13" thickTop="1"/>
  </sheetData>
  <mergeCells count="1">
    <mergeCell ref="A4:P4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33" sqref="C33"/>
    </sheetView>
  </sheetViews>
  <sheetFormatPr baseColWidth="10" defaultRowHeight="12" x14ac:dyDescent="0"/>
  <cols>
    <col min="1" max="6" width="14.83203125" customWidth="1"/>
  </cols>
  <sheetData>
    <row r="1" spans="1:11" ht="13" thickBot="1"/>
    <row r="2" spans="1:11" ht="15.5" customHeight="1" thickTop="1">
      <c r="A2" s="285" t="s">
        <v>144</v>
      </c>
      <c r="B2" s="303"/>
      <c r="C2" s="303"/>
      <c r="D2" s="303"/>
      <c r="E2" s="303"/>
      <c r="F2" s="304"/>
    </row>
    <row r="3" spans="1:11">
      <c r="A3" s="305"/>
      <c r="B3" s="306"/>
      <c r="C3" s="306"/>
      <c r="D3" s="306"/>
      <c r="E3" s="306"/>
      <c r="F3" s="307"/>
    </row>
    <row r="4" spans="1:11" ht="13" thickBot="1">
      <c r="A4" s="308"/>
      <c r="B4" s="309"/>
      <c r="C4" s="309"/>
      <c r="D4" s="309"/>
      <c r="E4" s="309"/>
      <c r="F4" s="310"/>
      <c r="G4" s="1"/>
      <c r="H4" s="1"/>
      <c r="I4" s="1"/>
      <c r="J4" s="1"/>
      <c r="K4" s="1"/>
    </row>
    <row r="5" spans="1:11" ht="14" thickTop="1" thickBot="1">
      <c r="D5" s="1"/>
      <c r="E5" s="50"/>
      <c r="F5" s="1"/>
      <c r="G5" s="1"/>
      <c r="H5" s="50"/>
      <c r="I5" s="1"/>
      <c r="J5" s="1"/>
      <c r="K5" s="1"/>
    </row>
    <row r="6" spans="1:11" ht="26" thickTop="1" thickBot="1">
      <c r="A6" s="197"/>
      <c r="B6" s="219" t="s">
        <v>71</v>
      </c>
      <c r="C6" s="219" t="s">
        <v>97</v>
      </c>
      <c r="D6" s="219" t="s">
        <v>73</v>
      </c>
      <c r="E6" s="226" t="s">
        <v>67</v>
      </c>
      <c r="F6" s="227" t="s">
        <v>68</v>
      </c>
    </row>
    <row r="7" spans="1:11" ht="13" thickTop="1">
      <c r="A7" s="177" t="s">
        <v>47</v>
      </c>
      <c r="B7" s="94">
        <f>(1+TS2.4!C7)*(1+TS2.2!B8)-1</f>
        <v>1.3546412016229858E-4</v>
      </c>
      <c r="C7" s="198">
        <f>(CTS1.3!J9/CTS1.3!J8)^(1/1000)-1</f>
        <v>-3.3290128685026232E-5</v>
      </c>
      <c r="D7" s="178"/>
      <c r="E7" s="178"/>
      <c r="F7" s="192"/>
    </row>
    <row r="8" spans="1:11">
      <c r="A8" s="68" t="s">
        <v>19</v>
      </c>
      <c r="B8" s="83">
        <f>(1+TS2.4!C8)*(1+TS2.2!B9)-1</f>
        <v>1.4200732525344595E-3</v>
      </c>
      <c r="C8" s="198">
        <f>(CTS1.3!J10/CTS1.3!J9)^(1/500)-1</f>
        <v>4.2973470776019873E-4</v>
      </c>
      <c r="D8" s="4"/>
      <c r="E8" s="4"/>
      <c r="F8" s="37"/>
    </row>
    <row r="9" spans="1:11" ht="13" thickBot="1">
      <c r="A9" s="68" t="s">
        <v>48</v>
      </c>
      <c r="B9" s="83">
        <f>(1+TS2.4!C9)*(1+TS2.2!B10)-1</f>
        <v>2.0241526993365344E-3</v>
      </c>
      <c r="C9" s="198">
        <f>(CTS1.3!J11/CTS1.3!J10)^(1/200)-1</f>
        <v>4.2452760794708944E-4</v>
      </c>
      <c r="D9" s="4"/>
      <c r="E9" s="4"/>
      <c r="F9" s="37"/>
    </row>
    <row r="10" spans="1:11" ht="13" thickTop="1">
      <c r="A10" s="68" t="s">
        <v>49</v>
      </c>
      <c r="B10" s="83">
        <f>(1+TS2.4!C10)*(1+TS2.2!B11)-1</f>
        <v>5.2655180062775031E-3</v>
      </c>
      <c r="C10" s="198">
        <f>TS2.3!B9</f>
        <v>7.0288843227550579E-4</v>
      </c>
      <c r="D10" s="177" t="s">
        <v>49</v>
      </c>
      <c r="E10" s="223">
        <f>TS2.3!C30</f>
        <v>1.5347454122631721E-3</v>
      </c>
      <c r="F10" s="202">
        <f>TS2.3!F30</f>
        <v>7.3535706526428601E-3</v>
      </c>
    </row>
    <row r="11" spans="1:11">
      <c r="A11" s="68" t="s">
        <v>20</v>
      </c>
      <c r="B11" s="83">
        <f>(1+TS2.4!C11)*(1+TS2.2!B12)-1</f>
        <v>1.4892957051287459E-2</v>
      </c>
      <c r="C11" s="198">
        <f>TS2.3!B10</f>
        <v>8.984703109527814E-3</v>
      </c>
      <c r="D11" s="68" t="s">
        <v>21</v>
      </c>
      <c r="E11" s="224">
        <f>TS2.3!C40</f>
        <v>9.8873170463742444E-3</v>
      </c>
      <c r="F11" s="203">
        <f>TS2.3!F40</f>
        <v>1.3281495172817959E-2</v>
      </c>
    </row>
    <row r="12" spans="1:11">
      <c r="A12" s="92" t="s">
        <v>50</v>
      </c>
      <c r="B12" s="83">
        <f>(1+TS2.4!C12)*(1+TS2.2!B13)-1</f>
        <v>1.806576989668307E-2</v>
      </c>
      <c r="C12" s="198">
        <f>TS2.3!B12</f>
        <v>8.6562488427233131E-3</v>
      </c>
      <c r="D12" s="68" t="s">
        <v>22</v>
      </c>
      <c r="E12" s="224">
        <f>TS2.3!C41</f>
        <v>1.3364729682880272E-2</v>
      </c>
      <c r="F12" s="203">
        <f>TS2.3!F41</f>
        <v>1.8508391868292451E-2</v>
      </c>
    </row>
    <row r="13" spans="1:11">
      <c r="A13" s="92" t="s">
        <v>61</v>
      </c>
      <c r="B13" s="83">
        <f>(1+TS2.4!C13)*(1+AVERAGE(TS2.2!B14:B15))-1</f>
        <v>3.9849040741246844E-2</v>
      </c>
      <c r="C13" s="198">
        <f>(CTS1.3!J17/CTS1.3!J15)^(1/40)-1</f>
        <v>2.0750182222798008E-2</v>
      </c>
      <c r="D13" s="92" t="s">
        <v>50</v>
      </c>
      <c r="E13" s="224">
        <f>TS2.3!C33</f>
        <v>7.5668887008875085E-3</v>
      </c>
      <c r="F13" s="203">
        <f>TS2.3!F33</f>
        <v>1.5847094644033888E-2</v>
      </c>
    </row>
    <row r="14" spans="1:11">
      <c r="A14" s="92" t="s">
        <v>16</v>
      </c>
      <c r="B14" s="83">
        <f>(1+TS2.4!C14)*(1+TS2.2!B16)-1</f>
        <v>3.4076720012637729E-2</v>
      </c>
      <c r="C14" s="198">
        <f>TS2.3!B15</f>
        <v>2.0794401534121265E-2</v>
      </c>
      <c r="D14" s="92" t="s">
        <v>51</v>
      </c>
      <c r="E14" s="224">
        <f>TS2.3!C34</f>
        <v>4.0816384466625388E-2</v>
      </c>
      <c r="F14" s="203">
        <f>TS2.3!F34</f>
        <v>2.2924986946848191E-2</v>
      </c>
    </row>
    <row r="15" spans="1:11">
      <c r="A15" s="92" t="s">
        <v>23</v>
      </c>
      <c r="B15" s="83">
        <f>(1+TS2.4!C15)*(1+TS2.2!B17)-1</f>
        <v>3.5350126927036651E-2</v>
      </c>
      <c r="C15" s="198">
        <f>TS2.3!B22</f>
        <v>2.5874423301221805E-2</v>
      </c>
      <c r="D15" s="92" t="s">
        <v>15</v>
      </c>
      <c r="E15" s="224">
        <f>TS2.3!C35</f>
        <v>2.2629277343302556E-2</v>
      </c>
      <c r="F15" s="203">
        <f>TS2.3!F35</f>
        <v>2.1962748242985608E-2</v>
      </c>
    </row>
    <row r="16" spans="1:11" ht="13" thickBot="1">
      <c r="A16" s="92" t="s">
        <v>24</v>
      </c>
      <c r="B16" s="83">
        <f>(1+TS2.4!C16)*(1+TS2.2!B18)-1</f>
        <v>3.0504186690648138E-2</v>
      </c>
      <c r="C16" s="198">
        <f>TS2.3!B23</f>
        <v>2.475743087254223E-2</v>
      </c>
      <c r="D16" s="101" t="s">
        <v>16</v>
      </c>
      <c r="E16" s="225">
        <f>TS2.3!C36</f>
        <v>1.4840156632064172E-2</v>
      </c>
      <c r="F16" s="204">
        <f>TS2.3!F36</f>
        <v>1.4040969578298146E-2</v>
      </c>
    </row>
    <row r="17" spans="1:7" ht="13" thickTop="1">
      <c r="A17" s="92" t="s">
        <v>26</v>
      </c>
      <c r="B17" s="83">
        <f>(1+TS2.4!C17)*(1+TS2.2!B19)-1</f>
        <v>1.7424852472949448E-2</v>
      </c>
      <c r="C17" s="198">
        <f>TS2.3!B24</f>
        <v>1.4657561138958553E-2</v>
      </c>
      <c r="D17" s="193"/>
      <c r="E17" s="205"/>
      <c r="F17" s="206"/>
    </row>
    <row r="18" spans="1:7" ht="13" thickBot="1">
      <c r="A18" s="101" t="s">
        <v>28</v>
      </c>
      <c r="B18" s="108">
        <f>(1+TS2.4!C18)*(1+TS2.2!B20)-1</f>
        <v>1.3921515327256495E-2</v>
      </c>
      <c r="C18" s="200">
        <f>TS2.3!B25</f>
        <v>1.2409105288209155E-2</v>
      </c>
      <c r="D18" s="193"/>
      <c r="E18" s="205"/>
      <c r="F18" s="206"/>
    </row>
    <row r="19" spans="1:7" ht="14" thickTop="1" thickBot="1">
      <c r="A19" s="36"/>
      <c r="B19" s="4"/>
      <c r="C19" s="194"/>
      <c r="D19" s="193"/>
      <c r="E19" s="205"/>
      <c r="F19" s="206"/>
    </row>
    <row r="20" spans="1:7" ht="13" thickTop="1">
      <c r="A20" s="177" t="s">
        <v>47</v>
      </c>
      <c r="B20" s="94">
        <f t="shared" ref="B20:C25" si="0">B7</f>
        <v>1.3546412016229858E-4</v>
      </c>
      <c r="C20" s="94">
        <f t="shared" si="0"/>
        <v>-3.3290128685026232E-5</v>
      </c>
      <c r="D20" s="177" t="s">
        <v>49</v>
      </c>
      <c r="E20" s="223">
        <f>TS2.3!C30</f>
        <v>1.5347454122631721E-3</v>
      </c>
      <c r="F20" s="202">
        <f>TS2.3!F30</f>
        <v>7.3535706526428601E-3</v>
      </c>
      <c r="G20" s="82"/>
    </row>
    <row r="21" spans="1:7">
      <c r="A21" s="68" t="s">
        <v>19</v>
      </c>
      <c r="B21" s="83">
        <f t="shared" si="0"/>
        <v>1.4200732525344595E-3</v>
      </c>
      <c r="C21" s="83">
        <f t="shared" si="0"/>
        <v>4.2973470776019873E-4</v>
      </c>
      <c r="D21" s="61" t="s">
        <v>20</v>
      </c>
      <c r="E21" s="224">
        <f>TS2.3!C31</f>
        <v>1.1493667346188952E-2</v>
      </c>
      <c r="F21" s="203">
        <f>TS2.3!F31</f>
        <v>1.5694889986404448E-2</v>
      </c>
      <c r="G21" s="82"/>
    </row>
    <row r="22" spans="1:7">
      <c r="A22" s="68" t="s">
        <v>48</v>
      </c>
      <c r="B22" s="83">
        <f t="shared" si="0"/>
        <v>2.0241526993365344E-3</v>
      </c>
      <c r="C22" s="83">
        <f t="shared" si="0"/>
        <v>4.2452760794708944E-4</v>
      </c>
      <c r="D22" s="195" t="s">
        <v>50</v>
      </c>
      <c r="E22" s="224">
        <f>TS2.3!C33</f>
        <v>7.5668887008875085E-3</v>
      </c>
      <c r="F22" s="203">
        <f>TS2.3!F33</f>
        <v>1.5847094644033888E-2</v>
      </c>
      <c r="G22" s="82"/>
    </row>
    <row r="23" spans="1:7">
      <c r="A23" s="68" t="s">
        <v>49</v>
      </c>
      <c r="B23" s="83">
        <f t="shared" si="0"/>
        <v>5.2655180062775031E-3</v>
      </c>
      <c r="C23" s="83">
        <f t="shared" si="0"/>
        <v>7.0288843227550579E-4</v>
      </c>
      <c r="D23" s="195" t="s">
        <v>51</v>
      </c>
      <c r="E23" s="224">
        <f>TS2.3!C34</f>
        <v>4.0816384466625388E-2</v>
      </c>
      <c r="F23" s="203">
        <f>TS2.3!F34</f>
        <v>2.2924986946848191E-2</v>
      </c>
      <c r="G23" s="82"/>
    </row>
    <row r="24" spans="1:7">
      <c r="A24" s="68" t="s">
        <v>20</v>
      </c>
      <c r="B24" s="83">
        <f t="shared" si="0"/>
        <v>1.4892957051287459E-2</v>
      </c>
      <c r="C24" s="83">
        <f t="shared" si="0"/>
        <v>8.984703109527814E-3</v>
      </c>
      <c r="D24" s="195" t="s">
        <v>15</v>
      </c>
      <c r="E24" s="224">
        <f>TS2.3!C35</f>
        <v>2.2629277343302556E-2</v>
      </c>
      <c r="F24" s="203">
        <f>TS2.3!F35</f>
        <v>2.1962748242985608E-2</v>
      </c>
      <c r="G24" s="82"/>
    </row>
    <row r="25" spans="1:7" ht="13" thickBot="1">
      <c r="A25" s="92" t="s">
        <v>50</v>
      </c>
      <c r="B25" s="83">
        <f t="shared" si="0"/>
        <v>1.806576989668307E-2</v>
      </c>
      <c r="C25" s="83">
        <f t="shared" si="0"/>
        <v>8.6562488427233131E-3</v>
      </c>
      <c r="D25" s="196" t="s">
        <v>16</v>
      </c>
      <c r="E25" s="225">
        <f>TS2.3!C36</f>
        <v>1.4840156632064172E-2</v>
      </c>
      <c r="F25" s="204">
        <f>TS2.3!F36</f>
        <v>1.4040969578298146E-2</v>
      </c>
      <c r="G25" s="82"/>
    </row>
    <row r="26" spans="1:7" ht="13" thickTop="1">
      <c r="A26" s="92" t="s">
        <v>62</v>
      </c>
      <c r="B26" s="83">
        <f>(((1+B13)^40)*((1+B14)^22))^(1/62)-1</f>
        <v>3.7797118944135955E-2</v>
      </c>
      <c r="C26" s="83">
        <f>(((1+C13)^40)*((1+C14)^22))^(1/62)-1</f>
        <v>2.0765872726908663E-2</v>
      </c>
    </row>
    <row r="27" spans="1:7">
      <c r="A27" s="92" t="s">
        <v>63</v>
      </c>
      <c r="B27" s="83">
        <f>(((1+B15)^18)*((1+B16)^20))^(1/38)-1</f>
        <v>3.2796798231504276E-2</v>
      </c>
      <c r="C27" s="83">
        <f>(((1+C15)^18)*((1+C16)^20))^(1/38)-1</f>
        <v>2.5286380863826619E-2</v>
      </c>
    </row>
    <row r="28" spans="1:7" ht="13" thickBot="1">
      <c r="A28" s="101" t="s">
        <v>64</v>
      </c>
      <c r="B28" s="108">
        <f>(((1+B17)^20)*((1+B18)^30))^(1/50)-1</f>
        <v>1.5321400273953234E-2</v>
      </c>
      <c r="C28" s="108">
        <f>(((1+C17)^20)*((1+C18)^30))^(1/50)-1</f>
        <v>1.3307889106730642E-2</v>
      </c>
    </row>
    <row r="29" spans="1:7" ht="13" thickTop="1">
      <c r="B29" s="242">
        <f>SUM(B7:B28)</f>
        <v>0.34064962967393142</v>
      </c>
      <c r="C29" s="242">
        <f>SUM(C7:C28)</f>
        <v>0.21693287219841473</v>
      </c>
      <c r="E29">
        <f>SUM(E7:E28)</f>
        <v>0.20952061918572906</v>
      </c>
      <c r="F29">
        <f>SUM(F7:F28)</f>
        <v>0.21174351715713224</v>
      </c>
    </row>
    <row r="30" spans="1:7" ht="13" customHeight="1">
      <c r="A30" s="235" t="s">
        <v>119</v>
      </c>
    </row>
  </sheetData>
  <mergeCells count="1">
    <mergeCell ref="A2:F4"/>
  </mergeCells>
  <phoneticPr fontId="24" type="noConversion"/>
  <printOptions horizontalCentered="1" verticalCentered="1"/>
  <pageMargins left="0.70866141732283472" right="0.70866141732283472" top="0.74803149606299213" bottom="0.74803149606299213" header="0.31496062992125984" footer="0.31496062992125984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Graphiques</vt:lpstr>
      </vt:variant>
      <vt:variant>
        <vt:i4>6</vt:i4>
      </vt:variant>
    </vt:vector>
  </HeadingPairs>
  <TitlesOfParts>
    <vt:vector size="18" baseType="lpstr">
      <vt:lpstr>T2.1</vt:lpstr>
      <vt:lpstr>T2.2</vt:lpstr>
      <vt:lpstr>T2.3</vt:lpstr>
      <vt:lpstr>T2.4</vt:lpstr>
      <vt:lpstr>T2.5</vt:lpstr>
      <vt:lpstr>TS2.1</vt:lpstr>
      <vt:lpstr>TS2.2</vt:lpstr>
      <vt:lpstr>TS2.3</vt:lpstr>
      <vt:lpstr>TS2.4</vt:lpstr>
      <vt:lpstr>TS2.5</vt:lpstr>
      <vt:lpstr>CTS1.2</vt:lpstr>
      <vt:lpstr>CTS1.3</vt:lpstr>
      <vt:lpstr>F2.1</vt:lpstr>
      <vt:lpstr>F2.2</vt:lpstr>
      <vt:lpstr>F2.3</vt:lpstr>
      <vt:lpstr>F2.4</vt:lpstr>
      <vt:lpstr>F2.5</vt:lpstr>
      <vt:lpstr>F2.6</vt:lpstr>
    </vt:vector>
  </TitlesOfParts>
  <Company>PSE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2014-01-22T22:18:52Z</cp:lastPrinted>
  <dcterms:created xsi:type="dcterms:W3CDTF">2012-11-17T18:17:02Z</dcterms:created>
  <dcterms:modified xsi:type="dcterms:W3CDTF">2014-01-22T23:09:33Z</dcterms:modified>
</cp:coreProperties>
</file>