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ustomer Name" sheetId="2" r:id="rId5"/>
    <sheet state="visible" name="Returns" sheetId="3" r:id="rId6"/>
    <sheet state="visible" name="Users" sheetId="4" r:id="rId7"/>
  </sheets>
  <definedNames>
    <definedName name="customer">Orders!$L$2:$L$8400</definedName>
    <definedName hidden="1" localSheetId="0" name="_xlnm._FilterDatabase">Orders!$A$1:$U$8400</definedName>
  </definedNames>
  <calcPr/>
  <extLst>
    <ext uri="GoogleSheetsCustomDataVersion2">
      <go:sheetsCustomData xmlns:go="http://customooxmlschemas.google.com/" r:id="rId8" roundtripDataChecksum="beLzzVo670p2nhzveathrzQRxu7NJuD7I1FRKc11S7c="/>
    </ext>
  </extLst>
</workbook>
</file>

<file path=xl/sharedStrings.xml><?xml version="1.0" encoding="utf-8"?>
<sst xmlns="http://schemas.openxmlformats.org/spreadsheetml/2006/main" count="90101" uniqueCount="2145">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</sst>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0"/>
      <name val="Book Antiqua"/>
    </font>
    <font>
      <sz val="10.0"/>
      <color theme="1"/>
      <name val="Book Antiqua"/>
    </font>
    <font>
      <b/>
      <sz val="10.0"/>
      <color theme="1"/>
      <name val="Book Antiqua"/>
    </font>
  </fonts>
  <fills count="3">
    <fill>
      <patternFill patternType="none"/>
    </fill>
    <fill>
      <patternFill patternType="lightGray"/>
    </fill>
    <fill>
      <patternFill patternType="solid">
        <fgColor rgb="FFC00000"/>
        <bgColor rgb="FFC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2" xfId="0" applyAlignment="1" applyBorder="1" applyFont="1" applyNumberFormat="1">
      <alignment horizontal="center" vertical="center"/>
    </xf>
    <xf borderId="1" fillId="0" fontId="2" numFmtId="0" xfId="0" applyBorder="1" applyFont="1"/>
    <xf borderId="1" fillId="0" fontId="2" numFmtId="164" xfId="0" applyBorder="1" applyFont="1" applyNumberFormat="1"/>
    <xf borderId="1" fillId="0" fontId="2" numFmtId="2" xfId="0" applyBorder="1" applyFont="1" applyNumberFormat="1"/>
    <xf borderId="0" fillId="0" fontId="3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71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7.71"/>
    <col customWidth="1" min="12" max="12" width="22.14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75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75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75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75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75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75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75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75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75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75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75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75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75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75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75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75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9">C17+1</f>
        <v>40694</v>
      </c>
    </row>
    <row r="18" ht="12.75" customHeight="1">
      <c r="A18" s="4">
        <v>161.0</v>
      </c>
      <c r="B18" s="4">
        <v>998.0</v>
      </c>
      <c r="C18" s="5">
        <f>DATE(2012,12,31)-1132</f>
        <v>40142</v>
      </c>
      <c r="D18" s="4" t="s">
        <v>45</v>
      </c>
      <c r="E18" s="4">
        <v>16.0</v>
      </c>
      <c r="F18" s="4">
        <v>248.26</v>
      </c>
      <c r="G18" s="4">
        <v>0.07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9"/>
        <v>40143</v>
      </c>
    </row>
    <row r="19" ht="12.75" customHeight="1">
      <c r="A19" s="4">
        <v>175.0</v>
      </c>
      <c r="B19" s="4">
        <v>1154.0</v>
      </c>
      <c r="C19" s="5">
        <f t="shared" ref="C19:C20" si="10">DATE(2012,12,31)-321</f>
        <v>40953</v>
      </c>
      <c r="D19" s="4" t="s">
        <v>78</v>
      </c>
      <c r="E19" s="4">
        <v>44.0</v>
      </c>
      <c r="F19" s="4">
        <v>4462.23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1">C19+2</f>
        <v>40955</v>
      </c>
    </row>
    <row r="20" ht="12.75" customHeight="1">
      <c r="A20" s="4">
        <v>176.0</v>
      </c>
      <c r="B20" s="4">
        <v>1154.0</v>
      </c>
      <c r="C20" s="5">
        <f t="shared" si="10"/>
        <v>40953</v>
      </c>
      <c r="D20" s="4" t="s">
        <v>78</v>
      </c>
      <c r="E20" s="4">
        <v>11.0</v>
      </c>
      <c r="F20" s="4">
        <v>663.7840000000001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69.0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1"/>
        <v>40955</v>
      </c>
    </row>
    <row r="21" ht="12.75" customHeight="1">
      <c r="A21" s="4">
        <v>203.0</v>
      </c>
      <c r="B21" s="4">
        <v>1344.0</v>
      </c>
      <c r="C21" s="5">
        <f t="shared" ref="C21:C22" si="12">DATE(2012,12,31)-260</f>
        <v>41014</v>
      </c>
      <c r="D21" s="4" t="s">
        <v>21</v>
      </c>
      <c r="E21" s="4">
        <v>15.0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65.99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ht="12.75" customHeight="1">
      <c r="A22" s="4">
        <v>204.0</v>
      </c>
      <c r="B22" s="4">
        <v>1344.0</v>
      </c>
      <c r="C22" s="5">
        <f t="shared" si="12"/>
        <v>41014</v>
      </c>
      <c r="D22" s="4" t="s">
        <v>21</v>
      </c>
      <c r="E22" s="4">
        <v>18.0</v>
      </c>
      <c r="F22" s="4">
        <v>2480.9205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0.58</v>
      </c>
      <c r="U22" s="5">
        <f>C22+4</f>
        <v>41018</v>
      </c>
    </row>
    <row r="23" ht="12.75" customHeight="1">
      <c r="A23" s="4">
        <v>213.0</v>
      </c>
      <c r="B23" s="4">
        <v>1412.0</v>
      </c>
      <c r="C23" s="5">
        <f t="shared" ref="C23:C24" si="13">DATE(2012,12,31)-1025</f>
        <v>40249</v>
      </c>
      <c r="D23" s="4" t="s">
        <v>45</v>
      </c>
      <c r="E23" s="4">
        <v>13.0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4">C23+2</f>
        <v>40251</v>
      </c>
    </row>
    <row r="24" ht="12.75" customHeight="1">
      <c r="A24" s="4">
        <v>214.0</v>
      </c>
      <c r="B24" s="4">
        <v>1412.0</v>
      </c>
      <c r="C24" s="5">
        <f t="shared" si="13"/>
        <v>40249</v>
      </c>
      <c r="D24" s="4" t="s">
        <v>45</v>
      </c>
      <c r="E24" s="4">
        <v>21.0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4"/>
        <v>40251</v>
      </c>
    </row>
    <row r="25" ht="12.75" customHeight="1">
      <c r="A25" s="4">
        <v>229.0</v>
      </c>
      <c r="B25" s="4">
        <v>1539.0</v>
      </c>
      <c r="C25" s="5">
        <f t="shared" ref="C25:C26" si="15">DATE(2012,12,31)-663</f>
        <v>40611</v>
      </c>
      <c r="D25" s="4" t="s">
        <v>21</v>
      </c>
      <c r="E25" s="4">
        <v>33.0</v>
      </c>
      <c r="F25" s="4">
        <v>511.83</v>
      </c>
      <c r="G25" s="4">
        <v>0.1</v>
      </c>
      <c r="H25" s="4" t="s">
        <v>22</v>
      </c>
      <c r="I25" s="6">
        <v>-172.8795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4"/>
        <v>40613</v>
      </c>
    </row>
    <row r="26" ht="12.75" customHeight="1">
      <c r="A26" s="4">
        <v>230.0</v>
      </c>
      <c r="B26" s="4">
        <v>1539.0</v>
      </c>
      <c r="C26" s="5">
        <f t="shared" si="15"/>
        <v>40611</v>
      </c>
      <c r="D26" s="4" t="s">
        <v>21</v>
      </c>
      <c r="E26" s="4">
        <v>38.0</v>
      </c>
      <c r="F26" s="4">
        <v>184.99</v>
      </c>
      <c r="G26" s="4">
        <v>0.05</v>
      </c>
      <c r="H26" s="4" t="s">
        <v>22</v>
      </c>
      <c r="I26" s="6">
        <v>-144.55</v>
      </c>
      <c r="J26" s="4">
        <v>4.89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ht="12.75" customHeight="1">
      <c r="A27" s="4">
        <v>231.0</v>
      </c>
      <c r="B27" s="4">
        <v>1540.0</v>
      </c>
      <c r="C27" s="5">
        <f>DATE(2012,12,31)-149</f>
        <v>41125</v>
      </c>
      <c r="D27" s="4" t="s">
        <v>30</v>
      </c>
      <c r="E27" s="4">
        <v>30.0</v>
      </c>
      <c r="F27" s="4">
        <v>80.9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</v>
      </c>
      <c r="U27" s="5">
        <f>C27+2</f>
        <v>41127</v>
      </c>
    </row>
    <row r="28" ht="12.75" customHeight="1">
      <c r="A28" s="4">
        <v>249.0</v>
      </c>
      <c r="B28" s="4">
        <v>1702.0</v>
      </c>
      <c r="C28" s="5">
        <f>DATE(2012,12,31)-605</f>
        <v>40669</v>
      </c>
      <c r="D28" s="4" t="s">
        <v>30</v>
      </c>
      <c r="E28" s="4">
        <v>23.0</v>
      </c>
      <c r="F28" s="4">
        <v>67.24</v>
      </c>
      <c r="G28" s="4">
        <v>0.06</v>
      </c>
      <c r="H28" s="4" t="s">
        <v>22</v>
      </c>
      <c r="I28" s="6">
        <v>4.9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ht="12.75" customHeight="1">
      <c r="A29" s="4">
        <v>250.0</v>
      </c>
      <c r="B29" s="4">
        <v>1761.0</v>
      </c>
      <c r="C29" s="5">
        <f>DATE(2012,12,31)-739</f>
        <v>40535</v>
      </c>
      <c r="D29" s="4" t="s">
        <v>30</v>
      </c>
      <c r="E29" s="4">
        <v>25.0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49.0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ht="12.75" customHeight="1">
      <c r="A30" s="4">
        <v>256.0</v>
      </c>
      <c r="B30" s="4">
        <v>1792.0</v>
      </c>
      <c r="C30" s="5">
        <f>DATE(2012,12,31)-784</f>
        <v>40490</v>
      </c>
      <c r="D30" s="4" t="s">
        <v>21</v>
      </c>
      <c r="E30" s="4">
        <v>28.0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ht="12.75" customHeight="1">
      <c r="A31" s="4">
        <v>330.0</v>
      </c>
      <c r="B31" s="4">
        <v>2275.0</v>
      </c>
      <c r="C31" s="5">
        <f>DATE(2012,12,31)-71</f>
        <v>41203</v>
      </c>
      <c r="D31" s="4" t="s">
        <v>45</v>
      </c>
      <c r="E31" s="4">
        <v>49.0</v>
      </c>
      <c r="F31" s="4">
        <v>278.0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</v>
      </c>
      <c r="U31" s="5">
        <f t="shared" ref="U31:U32" si="16">C31+1</f>
        <v>41204</v>
      </c>
    </row>
    <row r="32" ht="12.75" customHeight="1">
      <c r="A32" s="4">
        <v>331.0</v>
      </c>
      <c r="B32" s="4">
        <v>2277.0</v>
      </c>
      <c r="C32" s="5">
        <f t="shared" ref="C32:C33" si="17">DATE(2012,12,31)-730</f>
        <v>40544</v>
      </c>
      <c r="D32" s="4" t="s">
        <v>45</v>
      </c>
      <c r="E32" s="4">
        <v>10.0</v>
      </c>
      <c r="F32" s="4">
        <v>66.54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6"/>
        <v>40545</v>
      </c>
    </row>
    <row r="33" ht="12.75" customHeight="1">
      <c r="A33" s="4">
        <v>332.0</v>
      </c>
      <c r="B33" s="4">
        <v>2277.0</v>
      </c>
      <c r="C33" s="5">
        <f t="shared" si="17"/>
        <v>40544</v>
      </c>
      <c r="D33" s="4" t="s">
        <v>45</v>
      </c>
      <c r="E33" s="4">
        <v>21.0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19.99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ht="12.75" customHeight="1">
      <c r="A34" s="4">
        <v>362.0</v>
      </c>
      <c r="B34" s="4">
        <v>2532.0</v>
      </c>
      <c r="C34" s="5">
        <f t="shared" ref="C34:C35" si="18">DATE(2012,12,31)-448</f>
        <v>40826</v>
      </c>
      <c r="D34" s="4" t="s">
        <v>30</v>
      </c>
      <c r="E34" s="4">
        <v>39.0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9">C34+1</f>
        <v>40827</v>
      </c>
    </row>
    <row r="35" ht="12.75" customHeight="1">
      <c r="A35" s="4">
        <v>363.0</v>
      </c>
      <c r="B35" s="4">
        <v>2532.0</v>
      </c>
      <c r="C35" s="5">
        <f t="shared" si="18"/>
        <v>40826</v>
      </c>
      <c r="D35" s="4" t="s">
        <v>30</v>
      </c>
      <c r="E35" s="4">
        <v>24.0</v>
      </c>
      <c r="F35" s="4">
        <v>426.03700000000003</v>
      </c>
      <c r="G35" s="4">
        <v>0.01</v>
      </c>
      <c r="H35" s="4" t="s">
        <v>22</v>
      </c>
      <c r="I35" s="6">
        <v>-78.958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9"/>
        <v>40827</v>
      </c>
    </row>
    <row r="36" ht="12.75" customHeight="1">
      <c r="A36" s="4">
        <v>381.0</v>
      </c>
      <c r="B36" s="4">
        <v>2631.0</v>
      </c>
      <c r="C36" s="5">
        <f>DATE(2012,12,31)-830</f>
        <v>40444</v>
      </c>
      <c r="D36" s="4" t="s">
        <v>21</v>
      </c>
      <c r="E36" s="4">
        <v>27.0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</v>
      </c>
      <c r="U36" s="5">
        <f>C36+2</f>
        <v>40446</v>
      </c>
    </row>
    <row r="37" ht="12.75" customHeight="1">
      <c r="A37" s="4">
        <v>406.0</v>
      </c>
      <c r="B37" s="4">
        <v>2757.0</v>
      </c>
      <c r="C37" s="5">
        <f>DATE(2012,12,31)-531</f>
        <v>40743</v>
      </c>
      <c r="D37" s="4" t="s">
        <v>78</v>
      </c>
      <c r="E37" s="4">
        <v>39.0</v>
      </c>
      <c r="F37" s="4">
        <v>3554.46</v>
      </c>
      <c r="G37" s="4">
        <v>0.07</v>
      </c>
      <c r="H37" s="4" t="s">
        <v>31</v>
      </c>
      <c r="I37" s="6">
        <v>-1766.01</v>
      </c>
      <c r="J37" s="4">
        <v>95.95</v>
      </c>
      <c r="K37" s="4">
        <v>74.35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0.57</v>
      </c>
      <c r="U37" s="5">
        <f t="shared" ref="U37:U38" si="20">C37+0</f>
        <v>40743</v>
      </c>
    </row>
    <row r="38" ht="12.75" customHeight="1">
      <c r="A38" s="4">
        <v>413.0</v>
      </c>
      <c r="B38" s="4">
        <v>2791.0</v>
      </c>
      <c r="C38" s="5">
        <f t="shared" ref="C38:C40" si="21">DATE(2012,12,31)-1179</f>
        <v>40095</v>
      </c>
      <c r="D38" s="4" t="s">
        <v>30</v>
      </c>
      <c r="E38" s="4">
        <v>47.0</v>
      </c>
      <c r="F38" s="4">
        <v>191.67</v>
      </c>
      <c r="G38" s="4">
        <v>0.0</v>
      </c>
      <c r="H38" s="4" t="s">
        <v>22</v>
      </c>
      <c r="I38" s="6">
        <v>-236.2675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20"/>
        <v>40095</v>
      </c>
    </row>
    <row r="39" ht="12.75" customHeight="1">
      <c r="A39" s="4">
        <v>414.0</v>
      </c>
      <c r="B39" s="4">
        <v>2791.0</v>
      </c>
      <c r="C39" s="5">
        <f t="shared" si="21"/>
        <v>40095</v>
      </c>
      <c r="D39" s="4" t="s">
        <v>30</v>
      </c>
      <c r="E39" s="4">
        <v>49.0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30.0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ht="12.75" customHeight="1">
      <c r="A40" s="4">
        <v>415.0</v>
      </c>
      <c r="B40" s="4">
        <v>2791.0</v>
      </c>
      <c r="C40" s="5">
        <f t="shared" si="21"/>
        <v>40095</v>
      </c>
      <c r="D40" s="4" t="s">
        <v>30</v>
      </c>
      <c r="E40" s="4">
        <v>18.0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ht="12.75" customHeight="1">
      <c r="A41" s="4">
        <v>440.0</v>
      </c>
      <c r="B41" s="4">
        <v>2976.0</v>
      </c>
      <c r="C41" s="5">
        <f>DATE(2012,12,31)-753</f>
        <v>40521</v>
      </c>
      <c r="D41" s="4" t="s">
        <v>45</v>
      </c>
      <c r="E41" s="4">
        <v>30.0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26.0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2">C41+2</f>
        <v>40523</v>
      </c>
    </row>
    <row r="42" ht="12.75" customHeight="1">
      <c r="A42" s="4">
        <v>471.0</v>
      </c>
      <c r="B42" s="4">
        <v>3232.0</v>
      </c>
      <c r="C42" s="5">
        <f>DATE(2012,12,31)-84</f>
        <v>41190</v>
      </c>
      <c r="D42" s="4" t="s">
        <v>78</v>
      </c>
      <c r="E42" s="4">
        <v>5.0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2"/>
        <v>41192</v>
      </c>
    </row>
    <row r="43" ht="12.75" customHeight="1">
      <c r="A43" s="4">
        <v>513.0</v>
      </c>
      <c r="B43" s="4">
        <v>3524.0</v>
      </c>
      <c r="C43" s="5">
        <f>DATE(2012,12,31)-243</f>
        <v>41031</v>
      </c>
      <c r="D43" s="4" t="s">
        <v>30</v>
      </c>
      <c r="E43" s="4">
        <v>21.0</v>
      </c>
      <c r="F43" s="4">
        <v>427.32</v>
      </c>
      <c r="G43" s="4">
        <v>0.0</v>
      </c>
      <c r="H43" s="4" t="s">
        <v>22</v>
      </c>
      <c r="I43" s="6">
        <v>52.35</v>
      </c>
      <c r="J43" s="4">
        <v>18.97</v>
      </c>
      <c r="K43" s="4">
        <v>9.03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ht="12.75" customHeight="1">
      <c r="A44" s="4">
        <v>577.0</v>
      </c>
      <c r="B44" s="4">
        <v>3908.0</v>
      </c>
      <c r="C44" s="5">
        <f>DATE(2012,12,31)-1029</f>
        <v>40245</v>
      </c>
      <c r="D44" s="4" t="s">
        <v>63</v>
      </c>
      <c r="E44" s="4">
        <v>8.0</v>
      </c>
      <c r="F44" s="4">
        <v>820.284</v>
      </c>
      <c r="G44" s="4">
        <v>0.0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0.57</v>
      </c>
      <c r="U44" s="5">
        <f>C44+0</f>
        <v>40245</v>
      </c>
    </row>
    <row r="45" ht="12.75" customHeight="1">
      <c r="A45" s="4">
        <v>606.0</v>
      </c>
      <c r="B45" s="4">
        <v>4132.0</v>
      </c>
      <c r="C45" s="5">
        <f>DATE(2012,12,31)-583</f>
        <v>40691</v>
      </c>
      <c r="D45" s="4" t="s">
        <v>45</v>
      </c>
      <c r="E45" s="4">
        <v>5.0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3">C45+2</f>
        <v>40693</v>
      </c>
    </row>
    <row r="46" ht="12.75" customHeight="1">
      <c r="A46" s="4">
        <v>656.0</v>
      </c>
      <c r="B46" s="4">
        <v>4612.0</v>
      </c>
      <c r="C46" s="5">
        <f>DATE(2012,12,31)-834</f>
        <v>40440</v>
      </c>
      <c r="D46" s="4" t="s">
        <v>63</v>
      </c>
      <c r="E46" s="4">
        <v>9.0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</v>
      </c>
      <c r="K46" s="4">
        <v>49.0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3"/>
        <v>40442</v>
      </c>
    </row>
    <row r="47" ht="12.75" customHeight="1">
      <c r="A47" s="4">
        <v>669.0</v>
      </c>
      <c r="B47" s="4">
        <v>4676.0</v>
      </c>
      <c r="C47" s="5">
        <f t="shared" ref="C47:C50" si="24">DATE(2012,12,31)-488</f>
        <v>40786</v>
      </c>
      <c r="D47" s="4" t="s">
        <v>30</v>
      </c>
      <c r="E47" s="4">
        <v>11.0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0.58</v>
      </c>
      <c r="U47" s="5">
        <f>C47+1</f>
        <v>40787</v>
      </c>
    </row>
    <row r="48" ht="12.75" customHeight="1">
      <c r="A48" s="4">
        <v>670.0</v>
      </c>
      <c r="B48" s="4">
        <v>4676.0</v>
      </c>
      <c r="C48" s="5">
        <f t="shared" si="24"/>
        <v>40786</v>
      </c>
      <c r="D48" s="4" t="s">
        <v>30</v>
      </c>
      <c r="E48" s="4">
        <v>50.0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5">C48+2</f>
        <v>40788</v>
      </c>
    </row>
    <row r="49" ht="12.75" customHeight="1">
      <c r="A49" s="4">
        <v>671.0</v>
      </c>
      <c r="B49" s="4">
        <v>4676.0</v>
      </c>
      <c r="C49" s="5">
        <f t="shared" si="24"/>
        <v>40786</v>
      </c>
      <c r="D49" s="4" t="s">
        <v>30</v>
      </c>
      <c r="E49" s="4">
        <v>3.0</v>
      </c>
      <c r="F49" s="4">
        <v>49.59</v>
      </c>
      <c r="G49" s="4">
        <v>0.07</v>
      </c>
      <c r="H49" s="4" t="s">
        <v>56</v>
      </c>
      <c r="I49" s="6">
        <v>-8.38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5"/>
        <v>40788</v>
      </c>
    </row>
    <row r="50" ht="12.75" customHeight="1">
      <c r="A50" s="4">
        <v>672.0</v>
      </c>
      <c r="B50" s="4">
        <v>4676.0</v>
      </c>
      <c r="C50" s="5">
        <f t="shared" si="24"/>
        <v>40786</v>
      </c>
      <c r="D50" s="4" t="s">
        <v>30</v>
      </c>
      <c r="E50" s="4">
        <v>30.0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0.58</v>
      </c>
      <c r="U50" s="5">
        <f>C50+1</f>
        <v>40787</v>
      </c>
    </row>
    <row r="51" ht="12.75" customHeight="1">
      <c r="A51" s="4">
        <v>734.0</v>
      </c>
      <c r="B51" s="4">
        <v>5284.0</v>
      </c>
      <c r="C51" s="5">
        <f>DATE(2012,12,31)-542</f>
        <v>40732</v>
      </c>
      <c r="D51" s="4" t="s">
        <v>45</v>
      </c>
      <c r="E51" s="4">
        <v>7.0</v>
      </c>
      <c r="F51" s="4">
        <v>59.38</v>
      </c>
      <c r="G51" s="4">
        <v>0.1</v>
      </c>
      <c r="H51" s="4" t="s">
        <v>22</v>
      </c>
      <c r="I51" s="6">
        <v>-3.0475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6">C51+2</f>
        <v>40734</v>
      </c>
    </row>
    <row r="52" ht="12.75" customHeight="1">
      <c r="A52" s="4">
        <v>735.0</v>
      </c>
      <c r="B52" s="4">
        <v>5316.0</v>
      </c>
      <c r="C52" s="5">
        <f>DATE(2012,12,31)-1431</f>
        <v>39843</v>
      </c>
      <c r="D52" s="4" t="s">
        <v>78</v>
      </c>
      <c r="E52" s="4">
        <v>42.0</v>
      </c>
      <c r="F52" s="4">
        <v>1285.37</v>
      </c>
      <c r="G52" s="4">
        <v>0.1</v>
      </c>
      <c r="H52" s="4" t="s">
        <v>22</v>
      </c>
      <c r="I52" s="6">
        <v>514.07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6"/>
        <v>39845</v>
      </c>
    </row>
    <row r="53" ht="12.75" customHeight="1">
      <c r="A53" s="4">
        <v>755.0</v>
      </c>
      <c r="B53" s="4">
        <v>5409.0</v>
      </c>
      <c r="C53" s="5">
        <f>DATE(2012,12,31)-358</f>
        <v>40916</v>
      </c>
      <c r="D53" s="4" t="s">
        <v>21</v>
      </c>
      <c r="E53" s="4">
        <v>11.0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ht="12.75" customHeight="1">
      <c r="A54" s="4">
        <v>769.0</v>
      </c>
      <c r="B54" s="4">
        <v>5506.0</v>
      </c>
      <c r="C54" s="5">
        <f>DATE(2012,12,31)-785</f>
        <v>40489</v>
      </c>
      <c r="D54" s="4" t="s">
        <v>78</v>
      </c>
      <c r="E54" s="4">
        <v>22.0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ht="12.75" customHeight="1">
      <c r="A55" s="4">
        <v>782.0</v>
      </c>
      <c r="B55" s="4">
        <v>5569.0</v>
      </c>
      <c r="C55" s="5">
        <f>DATE(2012,12,31)-977</f>
        <v>40297</v>
      </c>
      <c r="D55" s="4" t="s">
        <v>45</v>
      </c>
      <c r="E55" s="4">
        <v>12.0</v>
      </c>
      <c r="F55" s="4">
        <v>118.97</v>
      </c>
      <c r="G55" s="4">
        <v>0.09</v>
      </c>
      <c r="H55" s="4" t="s">
        <v>22</v>
      </c>
      <c r="I55" s="6">
        <v>-0.05999999999999517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</v>
      </c>
      <c r="U55" s="5">
        <f>C55+2</f>
        <v>40299</v>
      </c>
    </row>
    <row r="56" ht="12.75" customHeight="1">
      <c r="A56" s="4">
        <v>786.0</v>
      </c>
      <c r="B56" s="4">
        <v>5607.0</v>
      </c>
      <c r="C56" s="5">
        <f>DATE(2012,12,31)-366</f>
        <v>40908</v>
      </c>
      <c r="D56" s="4" t="s">
        <v>45</v>
      </c>
      <c r="E56" s="4">
        <v>8.0</v>
      </c>
      <c r="F56" s="4">
        <v>61.871500000000005</v>
      </c>
      <c r="G56" s="4">
        <v>0.0</v>
      </c>
      <c r="H56" s="4" t="s">
        <v>22</v>
      </c>
      <c r="I56" s="6">
        <v>-50.325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ht="12.75" customHeight="1">
      <c r="A57" s="4">
        <v>817.0</v>
      </c>
      <c r="B57" s="4">
        <v>5894.0</v>
      </c>
      <c r="C57" s="5">
        <f t="shared" ref="C57:C58" si="27">DATE(2012,12,31)-1237</f>
        <v>40037</v>
      </c>
      <c r="D57" s="4" t="s">
        <v>30</v>
      </c>
      <c r="E57" s="4">
        <v>7.0</v>
      </c>
      <c r="F57" s="4">
        <v>384.33</v>
      </c>
      <c r="G57" s="4">
        <v>0.1</v>
      </c>
      <c r="H57" s="4" t="s">
        <v>22</v>
      </c>
      <c r="I57" s="6">
        <v>87.6775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ht="12.75" customHeight="1">
      <c r="A58" s="4">
        <v>818.0</v>
      </c>
      <c r="B58" s="4">
        <v>5894.0</v>
      </c>
      <c r="C58" s="5">
        <f t="shared" si="27"/>
        <v>40037</v>
      </c>
      <c r="D58" s="4" t="s">
        <v>30</v>
      </c>
      <c r="E58" s="4">
        <v>3.0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</v>
      </c>
      <c r="U58" s="5">
        <f>C58+3</f>
        <v>40040</v>
      </c>
    </row>
    <row r="59" ht="12.75" customHeight="1">
      <c r="A59" s="4">
        <v>821.0</v>
      </c>
      <c r="B59" s="4">
        <v>5925.0</v>
      </c>
      <c r="C59" s="5">
        <f t="shared" ref="C59:C60" si="28">DATE(2012,12,31)-415</f>
        <v>40859</v>
      </c>
      <c r="D59" s="4" t="s">
        <v>21</v>
      </c>
      <c r="E59" s="4">
        <v>44.0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9">C59+7</f>
        <v>40866</v>
      </c>
    </row>
    <row r="60" ht="12.75" customHeight="1">
      <c r="A60" s="4">
        <v>822.0</v>
      </c>
      <c r="B60" s="4">
        <v>5925.0</v>
      </c>
      <c r="C60" s="5">
        <f t="shared" si="28"/>
        <v>40859</v>
      </c>
      <c r="D60" s="4" t="s">
        <v>21</v>
      </c>
      <c r="E60" s="4">
        <v>25.0</v>
      </c>
      <c r="F60" s="4">
        <v>1733.3625</v>
      </c>
      <c r="G60" s="4">
        <v>0.07</v>
      </c>
      <c r="H60" s="4" t="s">
        <v>22</v>
      </c>
      <c r="I60" s="6">
        <v>-267.014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9"/>
        <v>40866</v>
      </c>
    </row>
    <row r="61" ht="12.75" customHeight="1">
      <c r="A61" s="4">
        <v>839.0</v>
      </c>
      <c r="B61" s="4">
        <v>6016.0</v>
      </c>
      <c r="C61" s="5">
        <f>DATE(2012,12,31)-346</f>
        <v>40928</v>
      </c>
      <c r="D61" s="4" t="s">
        <v>30</v>
      </c>
      <c r="E61" s="4">
        <v>19.0</v>
      </c>
      <c r="F61" s="4">
        <v>208.28</v>
      </c>
      <c r="G61" s="4">
        <v>0.07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ht="12.75" customHeight="1">
      <c r="A62" s="4">
        <v>853.0</v>
      </c>
      <c r="B62" s="4">
        <v>6116.0</v>
      </c>
      <c r="C62" s="5">
        <f>DATE(2012,12,31)-1382</f>
        <v>39892</v>
      </c>
      <c r="D62" s="4" t="s">
        <v>63</v>
      </c>
      <c r="E62" s="4">
        <v>6.0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ht="12.75" customHeight="1">
      <c r="A63" s="4">
        <v>863.0</v>
      </c>
      <c r="B63" s="4">
        <v>6182.0</v>
      </c>
      <c r="C63" s="5">
        <f t="shared" ref="C63:C64" si="30">DATE(2012,12,31)-163</f>
        <v>41111</v>
      </c>
      <c r="D63" s="4" t="s">
        <v>21</v>
      </c>
      <c r="E63" s="4">
        <v>40.0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ht="12.75" customHeight="1">
      <c r="A64" s="4">
        <v>864.0</v>
      </c>
      <c r="B64" s="4">
        <v>6182.0</v>
      </c>
      <c r="C64" s="5">
        <f t="shared" si="30"/>
        <v>41111</v>
      </c>
      <c r="D64" s="4" t="s">
        <v>21</v>
      </c>
      <c r="E64" s="4">
        <v>18.0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ht="12.75" customHeight="1">
      <c r="A65" s="4">
        <v>911.0</v>
      </c>
      <c r="B65" s="4">
        <v>6535.0</v>
      </c>
      <c r="C65" s="5">
        <f>DATE(2012,12,31)-202</f>
        <v>41072</v>
      </c>
      <c r="D65" s="4" t="s">
        <v>78</v>
      </c>
      <c r="E65" s="4">
        <v>11.0</v>
      </c>
      <c r="F65" s="4">
        <v>312.36</v>
      </c>
      <c r="G65" s="4">
        <v>0.07</v>
      </c>
      <c r="H65" s="4" t="s">
        <v>56</v>
      </c>
      <c r="I65" s="6">
        <v>-19.33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0.57</v>
      </c>
      <c r="U65" s="5">
        <f>C65+3</f>
        <v>41075</v>
      </c>
    </row>
    <row r="66" ht="12.75" customHeight="1">
      <c r="A66" s="4">
        <v>950.0</v>
      </c>
      <c r="B66" s="4">
        <v>6884.0</v>
      </c>
      <c r="C66" s="5">
        <f t="shared" ref="C66:C67" si="31">DATE(2012,12,31)-1446</f>
        <v>39828</v>
      </c>
      <c r="D66" s="4" t="s">
        <v>21</v>
      </c>
      <c r="E66" s="4">
        <v>41.0</v>
      </c>
      <c r="F66" s="4">
        <v>217.0</v>
      </c>
      <c r="G66" s="4">
        <v>0.01</v>
      </c>
      <c r="H66" s="4" t="s">
        <v>22</v>
      </c>
      <c r="I66" s="6">
        <v>-61.21</v>
      </c>
      <c r="J66" s="4">
        <v>4.98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2">C66+5</f>
        <v>39833</v>
      </c>
    </row>
    <row r="67" ht="12.75" customHeight="1">
      <c r="A67" s="4">
        <v>951.0</v>
      </c>
      <c r="B67" s="4">
        <v>6884.0</v>
      </c>
      <c r="C67" s="5">
        <f t="shared" si="31"/>
        <v>39828</v>
      </c>
      <c r="D67" s="4" t="s">
        <v>21</v>
      </c>
      <c r="E67" s="4">
        <v>47.0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2"/>
        <v>39833</v>
      </c>
    </row>
    <row r="68" ht="12.75" customHeight="1">
      <c r="A68" s="4">
        <v>956.0</v>
      </c>
      <c r="B68" s="4">
        <v>6916.0</v>
      </c>
      <c r="C68" s="5">
        <f>DATE(2012,12,31)-941</f>
        <v>40333</v>
      </c>
      <c r="D68" s="4" t="s">
        <v>21</v>
      </c>
      <c r="E68" s="4">
        <v>40.0</v>
      </c>
      <c r="F68" s="4">
        <v>436.17</v>
      </c>
      <c r="G68" s="4">
        <v>0.08</v>
      </c>
      <c r="H68" s="4" t="s">
        <v>56</v>
      </c>
      <c r="I68" s="6">
        <v>-141.27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ht="12.75" customHeight="1">
      <c r="A69" s="4">
        <v>963.0</v>
      </c>
      <c r="B69" s="4">
        <v>6980.0</v>
      </c>
      <c r="C69" s="5">
        <f>DATE(2012,12,31)-1047</f>
        <v>40227</v>
      </c>
      <c r="D69" s="4" t="s">
        <v>45</v>
      </c>
      <c r="E69" s="4">
        <v>18.0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ht="12.75" customHeight="1">
      <c r="A70" s="4">
        <v>964.0</v>
      </c>
      <c r="B70" s="4">
        <v>6982.0</v>
      </c>
      <c r="C70" s="5">
        <f t="shared" ref="C70:C72" si="33">DATE(2012,12,31)-411</f>
        <v>40863</v>
      </c>
      <c r="D70" s="4" t="s">
        <v>45</v>
      </c>
      <c r="E70" s="4">
        <v>32.0</v>
      </c>
      <c r="F70" s="4">
        <v>1311.25</v>
      </c>
      <c r="G70" s="4">
        <v>0.0</v>
      </c>
      <c r="H70" s="4" t="s">
        <v>56</v>
      </c>
      <c r="I70" s="6">
        <v>407.44</v>
      </c>
      <c r="J70" s="4">
        <v>39.48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4">C70+2</f>
        <v>40865</v>
      </c>
    </row>
    <row r="71" ht="12.75" customHeight="1">
      <c r="A71" s="4">
        <v>965.0</v>
      </c>
      <c r="B71" s="4">
        <v>6982.0</v>
      </c>
      <c r="C71" s="5">
        <f t="shared" si="33"/>
        <v>40863</v>
      </c>
      <c r="D71" s="4" t="s">
        <v>45</v>
      </c>
      <c r="E71" s="4">
        <v>5.0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4"/>
        <v>40865</v>
      </c>
    </row>
    <row r="72" ht="12.75" customHeight="1">
      <c r="A72" s="4">
        <v>966.0</v>
      </c>
      <c r="B72" s="4">
        <v>6982.0</v>
      </c>
      <c r="C72" s="5">
        <f t="shared" si="33"/>
        <v>40863</v>
      </c>
      <c r="D72" s="4" t="s">
        <v>45</v>
      </c>
      <c r="E72" s="4">
        <v>41.0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4"/>
        <v>40865</v>
      </c>
    </row>
    <row r="73" ht="12.75" customHeight="1">
      <c r="A73" s="4">
        <v>988.0</v>
      </c>
      <c r="B73" s="4">
        <v>7110.0</v>
      </c>
      <c r="C73" s="5">
        <f>DATE(2012,12,31)-512</f>
        <v>40762</v>
      </c>
      <c r="D73" s="4" t="s">
        <v>21</v>
      </c>
      <c r="E73" s="4">
        <v>22.0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ht="12.75" customHeight="1">
      <c r="A74" s="4">
        <v>1017.0</v>
      </c>
      <c r="B74" s="4">
        <v>7430.0</v>
      </c>
      <c r="C74" s="5">
        <f>DATE(2012,12,31)-937</f>
        <v>40337</v>
      </c>
      <c r="D74" s="4" t="s">
        <v>63</v>
      </c>
      <c r="E74" s="4">
        <v>50.0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ht="12.75" customHeight="1">
      <c r="A75" s="4">
        <v>1073.0</v>
      </c>
      <c r="B75" s="4">
        <v>7906.0</v>
      </c>
      <c r="C75" s="5">
        <f>DATE(2012,12,31)-1171</f>
        <v>40103</v>
      </c>
      <c r="D75" s="4" t="s">
        <v>63</v>
      </c>
      <c r="E75" s="4">
        <v>37.0</v>
      </c>
      <c r="F75" s="4">
        <v>1003.06</v>
      </c>
      <c r="G75" s="4">
        <v>0.03</v>
      </c>
      <c r="H75" s="4" t="s">
        <v>22</v>
      </c>
      <c r="I75" s="6">
        <v>271.78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ht="12.75" customHeight="1">
      <c r="A76" s="4">
        <v>1154.0</v>
      </c>
      <c r="B76" s="4">
        <v>8391.0</v>
      </c>
      <c r="C76" s="5">
        <f>DATE(2012,12,31)-491</f>
        <v>40783</v>
      </c>
      <c r="D76" s="4" t="s">
        <v>30</v>
      </c>
      <c r="E76" s="4">
        <v>4.0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</v>
      </c>
      <c r="U76" s="5">
        <f>C76+1</f>
        <v>40784</v>
      </c>
    </row>
    <row r="77" ht="12.75" customHeight="1">
      <c r="A77" s="4">
        <v>1156.0</v>
      </c>
      <c r="B77" s="4">
        <v>8419.0</v>
      </c>
      <c r="C77" s="5">
        <f t="shared" ref="C77:C78" si="35">DATE(2012,12,31)-459</f>
        <v>40815</v>
      </c>
      <c r="D77" s="4" t="s">
        <v>78</v>
      </c>
      <c r="E77" s="4">
        <v>19.0</v>
      </c>
      <c r="F77" s="4">
        <v>368.04</v>
      </c>
      <c r="G77" s="4">
        <v>0.07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ht="12.75" customHeight="1">
      <c r="A78" s="4">
        <v>1157.0</v>
      </c>
      <c r="B78" s="4">
        <v>8419.0</v>
      </c>
      <c r="C78" s="5">
        <f t="shared" si="35"/>
        <v>40815</v>
      </c>
      <c r="D78" s="4" t="s">
        <v>78</v>
      </c>
      <c r="E78" s="4">
        <v>24.0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ht="12.75" customHeight="1">
      <c r="A79" s="4">
        <v>1205.0</v>
      </c>
      <c r="B79" s="4">
        <v>8833.0</v>
      </c>
      <c r="C79" s="5">
        <f>DATE(2012,12,31)-241</f>
        <v>41033</v>
      </c>
      <c r="D79" s="4" t="s">
        <v>21</v>
      </c>
      <c r="E79" s="4">
        <v>40.0</v>
      </c>
      <c r="F79" s="4">
        <v>3338.98</v>
      </c>
      <c r="G79" s="4">
        <v>0.0</v>
      </c>
      <c r="H79" s="4" t="s">
        <v>22</v>
      </c>
      <c r="I79" s="6">
        <v>-846.73</v>
      </c>
      <c r="J79" s="4">
        <v>80.98</v>
      </c>
      <c r="K79" s="4">
        <v>35.0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ht="12.75" customHeight="1">
      <c r="A80" s="4">
        <v>1226.0</v>
      </c>
      <c r="B80" s="4">
        <v>8995.0</v>
      </c>
      <c r="C80" s="5">
        <f t="shared" ref="C80:C84" si="36">DATE(2012,12,31)-594</f>
        <v>40680</v>
      </c>
      <c r="D80" s="4" t="s">
        <v>30</v>
      </c>
      <c r="E80" s="4">
        <v>5.0</v>
      </c>
      <c r="F80" s="4">
        <v>24.16</v>
      </c>
      <c r="G80" s="4">
        <v>0.08</v>
      </c>
      <c r="H80" s="4" t="s">
        <v>56</v>
      </c>
      <c r="I80" s="6">
        <v>8.0495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7">C80+1</f>
        <v>40681</v>
      </c>
    </row>
    <row r="81" ht="12.75" customHeight="1">
      <c r="A81" s="4">
        <v>1227.0</v>
      </c>
      <c r="B81" s="4">
        <v>8995.0</v>
      </c>
      <c r="C81" s="5">
        <f t="shared" si="36"/>
        <v>40680</v>
      </c>
      <c r="D81" s="4" t="s">
        <v>30</v>
      </c>
      <c r="E81" s="4">
        <v>41.0</v>
      </c>
      <c r="F81" s="4">
        <v>270.84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7"/>
        <v>40681</v>
      </c>
    </row>
    <row r="82" ht="12.75" customHeight="1">
      <c r="A82" s="4">
        <v>1228.0</v>
      </c>
      <c r="B82" s="4">
        <v>8995.0</v>
      </c>
      <c r="C82" s="5">
        <f t="shared" si="36"/>
        <v>40680</v>
      </c>
      <c r="D82" s="4" t="s">
        <v>30</v>
      </c>
      <c r="E82" s="4">
        <v>35.0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7"/>
        <v>40681</v>
      </c>
    </row>
    <row r="83" ht="12.75" customHeight="1">
      <c r="A83" s="4">
        <v>1229.0</v>
      </c>
      <c r="B83" s="4">
        <v>8995.0</v>
      </c>
      <c r="C83" s="5">
        <f t="shared" si="36"/>
        <v>40680</v>
      </c>
      <c r="D83" s="4" t="s">
        <v>30</v>
      </c>
      <c r="E83" s="4">
        <v>42.0</v>
      </c>
      <c r="F83" s="4">
        <v>266.36</v>
      </c>
      <c r="G83" s="4">
        <v>0.07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7"/>
        <v>40681</v>
      </c>
    </row>
    <row r="84" ht="12.75" customHeight="1">
      <c r="A84" s="4">
        <v>1230.0</v>
      </c>
      <c r="B84" s="4">
        <v>8995.0</v>
      </c>
      <c r="C84" s="5">
        <f t="shared" si="36"/>
        <v>40680</v>
      </c>
      <c r="D84" s="4" t="s">
        <v>30</v>
      </c>
      <c r="E84" s="4">
        <v>46.0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ht="12.75" customHeight="1">
      <c r="A85" s="4">
        <v>1258.0</v>
      </c>
      <c r="B85" s="4">
        <v>9126.0</v>
      </c>
      <c r="C85" s="5">
        <f>DATE(2012,12,31)-1140</f>
        <v>40134</v>
      </c>
      <c r="D85" s="4" t="s">
        <v>63</v>
      </c>
      <c r="E85" s="4">
        <v>47.0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</v>
      </c>
      <c r="U85" s="5">
        <f>C85+1</f>
        <v>40135</v>
      </c>
    </row>
    <row r="86" ht="12.75" customHeight="1">
      <c r="A86" s="4">
        <v>1259.0</v>
      </c>
      <c r="B86" s="4">
        <v>9127.0</v>
      </c>
      <c r="C86" s="5">
        <f>DATE(2012,12,31)-448</f>
        <v>40826</v>
      </c>
      <c r="D86" s="4" t="s">
        <v>45</v>
      </c>
      <c r="E86" s="4">
        <v>7.0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35.0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ht="12.75" customHeight="1">
      <c r="A87" s="4">
        <v>1299.0</v>
      </c>
      <c r="B87" s="4">
        <v>9509.0</v>
      </c>
      <c r="C87" s="5">
        <f t="shared" ref="C87:C89" si="38">DATE(2012,12,31)-85</f>
        <v>41189</v>
      </c>
      <c r="D87" s="4" t="s">
        <v>45</v>
      </c>
      <c r="E87" s="4">
        <v>36.0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0.57</v>
      </c>
      <c r="U87" s="5">
        <f t="shared" ref="U87:U88" si="39">C87+1</f>
        <v>41190</v>
      </c>
    </row>
    <row r="88" ht="12.75" customHeight="1">
      <c r="A88" s="4">
        <v>1300.0</v>
      </c>
      <c r="B88" s="4">
        <v>9509.0</v>
      </c>
      <c r="C88" s="5">
        <f t="shared" si="38"/>
        <v>41189</v>
      </c>
      <c r="D88" s="4" t="s">
        <v>45</v>
      </c>
      <c r="E88" s="4">
        <v>5.0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9"/>
        <v>41190</v>
      </c>
    </row>
    <row r="89" ht="12.75" customHeight="1">
      <c r="A89" s="4">
        <v>1301.0</v>
      </c>
      <c r="B89" s="4">
        <v>9509.0</v>
      </c>
      <c r="C89" s="5">
        <f t="shared" si="38"/>
        <v>41189</v>
      </c>
      <c r="D89" s="4" t="s">
        <v>45</v>
      </c>
      <c r="E89" s="4">
        <v>32.0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ht="12.75" customHeight="1">
      <c r="A90" s="4">
        <v>1337.0</v>
      </c>
      <c r="B90" s="4">
        <v>9763.0</v>
      </c>
      <c r="C90" s="5">
        <f>DATE(2012,12,31)-506</f>
        <v>40768</v>
      </c>
      <c r="D90" s="4" t="s">
        <v>63</v>
      </c>
      <c r="E90" s="4">
        <v>44.0</v>
      </c>
      <c r="F90" s="4">
        <v>176.26</v>
      </c>
      <c r="G90" s="4">
        <v>0.07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ht="12.75" customHeight="1">
      <c r="A91" s="4">
        <v>1370.0</v>
      </c>
      <c r="B91" s="4">
        <v>9927.0</v>
      </c>
      <c r="C91" s="5">
        <f t="shared" ref="C91:C93" si="40">DATE(2012,12,31)-503</f>
        <v>40771</v>
      </c>
      <c r="D91" s="4" t="s">
        <v>30</v>
      </c>
      <c r="E91" s="4">
        <v>32.0</v>
      </c>
      <c r="F91" s="4">
        <v>4655.07</v>
      </c>
      <c r="G91" s="4">
        <v>0.0</v>
      </c>
      <c r="H91" s="4" t="s">
        <v>31</v>
      </c>
      <c r="I91" s="6">
        <v>-270.63</v>
      </c>
      <c r="J91" s="4">
        <v>140.98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1">C91+1</f>
        <v>40772</v>
      </c>
    </row>
    <row r="92" ht="12.75" customHeight="1">
      <c r="A92" s="4">
        <v>1371.0</v>
      </c>
      <c r="B92" s="4">
        <v>9927.0</v>
      </c>
      <c r="C92" s="5">
        <f t="shared" si="40"/>
        <v>40771</v>
      </c>
      <c r="D92" s="4" t="s">
        <v>30</v>
      </c>
      <c r="E92" s="4">
        <v>44.0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18.06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0.57</v>
      </c>
      <c r="U92" s="5">
        <f t="shared" si="41"/>
        <v>40772</v>
      </c>
    </row>
    <row r="93" ht="12.75" customHeight="1">
      <c r="A93" s="4">
        <v>1372.0</v>
      </c>
      <c r="B93" s="4">
        <v>9927.0</v>
      </c>
      <c r="C93" s="5">
        <f t="shared" si="40"/>
        <v>40771</v>
      </c>
      <c r="D93" s="4" t="s">
        <v>30</v>
      </c>
      <c r="E93" s="4">
        <v>34.0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1"/>
        <v>40772</v>
      </c>
    </row>
    <row r="94" ht="12.75" customHeight="1">
      <c r="A94" s="4">
        <v>1380.0</v>
      </c>
      <c r="B94" s="4">
        <v>10022.0</v>
      </c>
      <c r="C94" s="5">
        <f>DATE(2012,12,31)-1398</f>
        <v>39876</v>
      </c>
      <c r="D94" s="4" t="s">
        <v>21</v>
      </c>
      <c r="E94" s="4">
        <v>1.0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ht="12.75" customHeight="1">
      <c r="A95" s="4">
        <v>1445.0</v>
      </c>
      <c r="B95" s="4">
        <v>10437.0</v>
      </c>
      <c r="C95" s="5">
        <f>DATE(2012,12,31)-1231</f>
        <v>40043</v>
      </c>
      <c r="D95" s="4" t="s">
        <v>78</v>
      </c>
      <c r="E95" s="4">
        <v>50.0</v>
      </c>
      <c r="F95" s="4">
        <v>820.52</v>
      </c>
      <c r="G95" s="4">
        <v>0.01</v>
      </c>
      <c r="H95" s="4" t="s">
        <v>22</v>
      </c>
      <c r="I95" s="6">
        <v>-191.222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ht="12.75" customHeight="1">
      <c r="A96" s="4">
        <v>1457.0</v>
      </c>
      <c r="B96" s="4">
        <v>10499.0</v>
      </c>
      <c r="C96" s="5">
        <f>DATE(2012,12,31)-776</f>
        <v>40498</v>
      </c>
      <c r="D96" s="4" t="s">
        <v>45</v>
      </c>
      <c r="E96" s="4">
        <v>29.0</v>
      </c>
      <c r="F96" s="4">
        <v>6250.936000000001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ht="12.75" customHeight="1">
      <c r="A97" s="4">
        <v>1462.0</v>
      </c>
      <c r="B97" s="4">
        <v>10535.0</v>
      </c>
      <c r="C97" s="5">
        <f t="shared" ref="C97:C98" si="42">DATE(2012,12,31)-584</f>
        <v>40690</v>
      </c>
      <c r="D97" s="4" t="s">
        <v>21</v>
      </c>
      <c r="E97" s="4">
        <v>25.0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33.98</v>
      </c>
      <c r="K97" s="4">
        <v>19.99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</v>
      </c>
      <c r="U97" s="5">
        <f>C97+2</f>
        <v>40692</v>
      </c>
    </row>
    <row r="98" ht="12.75" customHeight="1">
      <c r="A98" s="4">
        <v>1463.0</v>
      </c>
      <c r="B98" s="4">
        <v>10535.0</v>
      </c>
      <c r="C98" s="5">
        <f t="shared" si="42"/>
        <v>40690</v>
      </c>
      <c r="D98" s="4" t="s">
        <v>21</v>
      </c>
      <c r="E98" s="4">
        <v>46.0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</v>
      </c>
      <c r="U98" s="5">
        <f>C98+7</f>
        <v>40697</v>
      </c>
    </row>
    <row r="99" ht="12.75" customHeight="1">
      <c r="A99" s="4">
        <v>1495.0</v>
      </c>
      <c r="B99" s="4">
        <v>10789.0</v>
      </c>
      <c r="C99" s="5">
        <f>DATE(2012,12,31)-861</f>
        <v>40413</v>
      </c>
      <c r="D99" s="4" t="s">
        <v>45</v>
      </c>
      <c r="E99" s="4">
        <v>15.0</v>
      </c>
      <c r="F99" s="4">
        <v>308.54</v>
      </c>
      <c r="G99" s="4">
        <v>0.0</v>
      </c>
      <c r="H99" s="4" t="s">
        <v>56</v>
      </c>
      <c r="I99" s="6">
        <v>76.42</v>
      </c>
      <c r="J99" s="4">
        <v>19.84</v>
      </c>
      <c r="K99" s="4">
        <v>4.1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ht="12.75" customHeight="1">
      <c r="A100" s="4">
        <v>1496.0</v>
      </c>
      <c r="B100" s="4">
        <v>10791.0</v>
      </c>
      <c r="C100" s="5">
        <f>DATE(2012,12,31)-500</f>
        <v>40774</v>
      </c>
      <c r="D100" s="4" t="s">
        <v>45</v>
      </c>
      <c r="E100" s="4">
        <v>20.0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3">C100+2</f>
        <v>40776</v>
      </c>
    </row>
    <row r="101" ht="12.75" customHeight="1">
      <c r="A101" s="4">
        <v>1513.0</v>
      </c>
      <c r="B101" s="4">
        <v>10945.0</v>
      </c>
      <c r="C101" s="5">
        <f>DATE(2012,12,31)-363</f>
        <v>40911</v>
      </c>
      <c r="D101" s="4" t="s">
        <v>63</v>
      </c>
      <c r="E101" s="4">
        <v>14.0</v>
      </c>
      <c r="F101" s="4">
        <v>1170.025</v>
      </c>
      <c r="G101" s="4">
        <v>0.04</v>
      </c>
      <c r="H101" s="4" t="s">
        <v>22</v>
      </c>
      <c r="I101" s="6">
        <v>4.221000000000011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0.57</v>
      </c>
      <c r="U101" s="5">
        <f t="shared" si="43"/>
        <v>40913</v>
      </c>
    </row>
    <row r="102" ht="12.75" customHeight="1">
      <c r="A102" s="4">
        <v>1544.0</v>
      </c>
      <c r="B102" s="4">
        <v>11137.0</v>
      </c>
      <c r="C102" s="5">
        <f>DATE(2012,12,31)-32</f>
        <v>41242</v>
      </c>
      <c r="D102" s="4" t="s">
        <v>30</v>
      </c>
      <c r="E102" s="4">
        <v>48.0</v>
      </c>
      <c r="F102" s="4">
        <v>5188.86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4">C102+1</f>
        <v>41243</v>
      </c>
    </row>
    <row r="103" ht="12.75" customHeight="1">
      <c r="A103" s="4">
        <v>1551.0</v>
      </c>
      <c r="B103" s="4">
        <v>11202.0</v>
      </c>
      <c r="C103" s="5">
        <f>DATE(2012,12,31)-289</f>
        <v>40985</v>
      </c>
      <c r="D103" s="4" t="s">
        <v>63</v>
      </c>
      <c r="E103" s="4">
        <v>8.0</v>
      </c>
      <c r="F103" s="4">
        <v>339.81</v>
      </c>
      <c r="G103" s="4">
        <v>0.05</v>
      </c>
      <c r="H103" s="4" t="s">
        <v>22</v>
      </c>
      <c r="I103" s="6">
        <v>79.5855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4"/>
        <v>40986</v>
      </c>
    </row>
    <row r="104" ht="12.75" customHeight="1">
      <c r="A104" s="4">
        <v>1589.0</v>
      </c>
      <c r="B104" s="4">
        <v>11456.0</v>
      </c>
      <c r="C104" s="5">
        <f>DATE(2012,12,31)-994</f>
        <v>40280</v>
      </c>
      <c r="D104" s="4" t="s">
        <v>21</v>
      </c>
      <c r="E104" s="4">
        <v>15.0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ht="12.75" customHeight="1">
      <c r="A105" s="4">
        <v>1590.0</v>
      </c>
      <c r="B105" s="4">
        <v>11460.0</v>
      </c>
      <c r="C105" s="5">
        <f>DATE(2012,12,31)-860</f>
        <v>40414</v>
      </c>
      <c r="D105" s="4" t="s">
        <v>30</v>
      </c>
      <c r="E105" s="4">
        <v>30.0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ht="12.75" customHeight="1">
      <c r="A106" s="4">
        <v>1594.0</v>
      </c>
      <c r="B106" s="4">
        <v>11495.0</v>
      </c>
      <c r="C106" s="5">
        <f>DATE(2012,12,31)-546</f>
        <v>40728</v>
      </c>
      <c r="D106" s="4" t="s">
        <v>30</v>
      </c>
      <c r="E106" s="4">
        <v>6.0</v>
      </c>
      <c r="F106" s="4">
        <v>965.69</v>
      </c>
      <c r="G106" s="4">
        <v>0.0</v>
      </c>
      <c r="H106" s="4" t="s">
        <v>31</v>
      </c>
      <c r="I106" s="6">
        <v>-144.198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ht="12.75" customHeight="1">
      <c r="A107" s="4">
        <v>1654.0</v>
      </c>
      <c r="B107" s="4">
        <v>11911.0</v>
      </c>
      <c r="C107" s="5">
        <f>DATE(2012,12,31)-782</f>
        <v>40492</v>
      </c>
      <c r="D107" s="4" t="s">
        <v>78</v>
      </c>
      <c r="E107" s="4">
        <v>25.0</v>
      </c>
      <c r="F107" s="4">
        <v>397.84</v>
      </c>
      <c r="G107" s="4">
        <v>0.0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ht="12.75" customHeight="1">
      <c r="A108" s="4">
        <v>1655.0</v>
      </c>
      <c r="B108" s="4">
        <v>11941.0</v>
      </c>
      <c r="C108" s="5">
        <f t="shared" ref="C108:C109" si="45">DATE(2012,12,31)-921</f>
        <v>40353</v>
      </c>
      <c r="D108" s="4" t="s">
        <v>78</v>
      </c>
      <c r="E108" s="4">
        <v>4.0</v>
      </c>
      <c r="F108" s="4">
        <v>73.07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6">C108+1</f>
        <v>40354</v>
      </c>
    </row>
    <row r="109" ht="12.75" customHeight="1">
      <c r="A109" s="4">
        <v>1656.0</v>
      </c>
      <c r="B109" s="4">
        <v>11941.0</v>
      </c>
      <c r="C109" s="5">
        <f t="shared" si="45"/>
        <v>40353</v>
      </c>
      <c r="D109" s="4" t="s">
        <v>78</v>
      </c>
      <c r="E109" s="4">
        <v>26.0</v>
      </c>
      <c r="F109" s="4">
        <v>4679.1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6"/>
        <v>40354</v>
      </c>
    </row>
    <row r="110" ht="12.75" customHeight="1">
      <c r="A110" s="4">
        <v>1675.0</v>
      </c>
      <c r="B110" s="4">
        <v>12096.0</v>
      </c>
      <c r="C110" s="5">
        <f t="shared" ref="C110:C111" si="47">DATE(2012,12,31)-103</f>
        <v>41171</v>
      </c>
      <c r="D110" s="4" t="s">
        <v>63</v>
      </c>
      <c r="E110" s="4">
        <v>46.0</v>
      </c>
      <c r="F110" s="4">
        <v>8009.592499999999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ht="12.75" customHeight="1">
      <c r="A111" s="4">
        <v>1676.0</v>
      </c>
      <c r="B111" s="4">
        <v>12096.0</v>
      </c>
      <c r="C111" s="5">
        <f t="shared" si="47"/>
        <v>41171</v>
      </c>
      <c r="D111" s="4" t="s">
        <v>63</v>
      </c>
      <c r="E111" s="4">
        <v>23.0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ht="12.75" customHeight="1">
      <c r="A112" s="4">
        <v>1710.0</v>
      </c>
      <c r="B112" s="4">
        <v>12289.0</v>
      </c>
      <c r="C112" s="5">
        <f>DATE(2012,12,31)-373</f>
        <v>40901</v>
      </c>
      <c r="D112" s="4" t="s">
        <v>21</v>
      </c>
      <c r="E112" s="4">
        <v>25.0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ht="12.75" customHeight="1">
      <c r="A113" s="4">
        <v>1718.0</v>
      </c>
      <c r="B113" s="4">
        <v>12352.0</v>
      </c>
      <c r="C113" s="5">
        <f>DATE(2012,12,31)-283</f>
        <v>40991</v>
      </c>
      <c r="D113" s="4" t="s">
        <v>63</v>
      </c>
      <c r="E113" s="4">
        <v>5.0</v>
      </c>
      <c r="F113" s="4">
        <v>36.86</v>
      </c>
      <c r="G113" s="4">
        <v>0.07</v>
      </c>
      <c r="H113" s="4" t="s">
        <v>22</v>
      </c>
      <c r="I113" s="6">
        <v>-32.821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ht="12.75" customHeight="1">
      <c r="A114" s="4">
        <v>1727.0</v>
      </c>
      <c r="B114" s="4">
        <v>12419.0</v>
      </c>
      <c r="C114" s="5">
        <f>DATE(2012,12,31)-443</f>
        <v>40831</v>
      </c>
      <c r="D114" s="4" t="s">
        <v>78</v>
      </c>
      <c r="E114" s="4">
        <v>12.0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ht="12.75" customHeight="1">
      <c r="A115" s="4">
        <v>1745.0</v>
      </c>
      <c r="B115" s="4">
        <v>12485.0</v>
      </c>
      <c r="C115" s="5">
        <f>DATE(2012,12,31)-877</f>
        <v>40397</v>
      </c>
      <c r="D115" s="4" t="s">
        <v>78</v>
      </c>
      <c r="E115" s="4">
        <v>24.0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ht="12.75" customHeight="1">
      <c r="A116" s="4">
        <v>1751.0</v>
      </c>
      <c r="B116" s="4">
        <v>12544.0</v>
      </c>
      <c r="C116" s="5">
        <f>DATE(2012,12,31)-1399</f>
        <v>39875</v>
      </c>
      <c r="D116" s="4" t="s">
        <v>21</v>
      </c>
      <c r="E116" s="4">
        <v>34.0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ht="12.75" customHeight="1">
      <c r="A117" s="4">
        <v>1770.0</v>
      </c>
      <c r="B117" s="4">
        <v>12704.0</v>
      </c>
      <c r="C117" s="5">
        <f t="shared" ref="C117:C118" si="48">DATE(2012,12,31)-1056</f>
        <v>40218</v>
      </c>
      <c r="D117" s="4" t="s">
        <v>21</v>
      </c>
      <c r="E117" s="4">
        <v>44.0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ht="12.75" customHeight="1">
      <c r="A118" s="4">
        <v>1771.0</v>
      </c>
      <c r="B118" s="4">
        <v>12704.0</v>
      </c>
      <c r="C118" s="5">
        <f t="shared" si="48"/>
        <v>40218</v>
      </c>
      <c r="D118" s="4" t="s">
        <v>21</v>
      </c>
      <c r="E118" s="4">
        <v>28.0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ht="12.75" customHeight="1">
      <c r="A119" s="4">
        <v>1781.0</v>
      </c>
      <c r="B119" s="4">
        <v>12771.0</v>
      </c>
      <c r="C119" s="5">
        <f t="shared" ref="C119:C120" si="49">DATE(2012,12,31)-1444</f>
        <v>39830</v>
      </c>
      <c r="D119" s="4" t="s">
        <v>78</v>
      </c>
      <c r="E119" s="4">
        <v>40.0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19.99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ht="12.75" customHeight="1">
      <c r="A120" s="4">
        <v>1782.0</v>
      </c>
      <c r="B120" s="4">
        <v>12771.0</v>
      </c>
      <c r="C120" s="5">
        <f t="shared" si="49"/>
        <v>39830</v>
      </c>
      <c r="D120" s="4" t="s">
        <v>78</v>
      </c>
      <c r="E120" s="4">
        <v>46.0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ht="12.75" customHeight="1">
      <c r="A121" s="4">
        <v>1806.0</v>
      </c>
      <c r="B121" s="4">
        <v>12929.0</v>
      </c>
      <c r="C121" s="5">
        <f t="shared" ref="C121:C122" si="50">DATE(2012,12,31)-854</f>
        <v>40420</v>
      </c>
      <c r="D121" s="4" t="s">
        <v>78</v>
      </c>
      <c r="E121" s="4">
        <v>19.0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50.0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1">C121+1</f>
        <v>40421</v>
      </c>
    </row>
    <row r="122" ht="12.75" customHeight="1">
      <c r="A122" s="4">
        <v>1807.0</v>
      </c>
      <c r="B122" s="4">
        <v>12929.0</v>
      </c>
      <c r="C122" s="5">
        <f t="shared" si="50"/>
        <v>40420</v>
      </c>
      <c r="D122" s="4" t="s">
        <v>78</v>
      </c>
      <c r="E122" s="4">
        <v>20.0</v>
      </c>
      <c r="F122" s="4">
        <v>95.3</v>
      </c>
      <c r="G122" s="4">
        <v>0.0</v>
      </c>
      <c r="H122" s="4" t="s">
        <v>22</v>
      </c>
      <c r="I122" s="6">
        <v>29.68</v>
      </c>
      <c r="J122" s="4">
        <v>4.48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1"/>
        <v>40421</v>
      </c>
    </row>
    <row r="123" ht="12.75" customHeight="1">
      <c r="A123" s="4">
        <v>1842.0</v>
      </c>
      <c r="B123" s="4">
        <v>13280.0</v>
      </c>
      <c r="C123" s="5">
        <f t="shared" ref="C123:C124" si="52">DATE(2012,12,31)-1207</f>
        <v>40067</v>
      </c>
      <c r="D123" s="4" t="s">
        <v>30</v>
      </c>
      <c r="E123" s="4">
        <v>40.0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1"/>
        <v>40068</v>
      </c>
    </row>
    <row r="124" ht="12.75" customHeight="1">
      <c r="A124" s="4">
        <v>1843.0</v>
      </c>
      <c r="B124" s="4">
        <v>13280.0</v>
      </c>
      <c r="C124" s="5">
        <f t="shared" si="52"/>
        <v>40067</v>
      </c>
      <c r="D124" s="4" t="s">
        <v>30</v>
      </c>
      <c r="E124" s="4">
        <v>49.0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1"/>
        <v>40068</v>
      </c>
    </row>
    <row r="125" ht="12.75" customHeight="1">
      <c r="A125" s="4">
        <v>1848.0</v>
      </c>
      <c r="B125" s="4">
        <v>13313.0</v>
      </c>
      <c r="C125" s="5">
        <f>DATE(2012,12,31)-1264</f>
        <v>40010</v>
      </c>
      <c r="D125" s="4" t="s">
        <v>45</v>
      </c>
      <c r="E125" s="4">
        <v>47.0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1"/>
        <v>40011</v>
      </c>
    </row>
    <row r="126" ht="12.75" customHeight="1">
      <c r="A126" s="4">
        <v>1855.0</v>
      </c>
      <c r="B126" s="4">
        <v>13346.0</v>
      </c>
      <c r="C126" s="5">
        <f>DATE(2012,12,31)-46</f>
        <v>41228</v>
      </c>
      <c r="D126" s="4" t="s">
        <v>21</v>
      </c>
      <c r="E126" s="4">
        <v>44.0</v>
      </c>
      <c r="F126" s="4">
        <v>268.34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ht="12.75" customHeight="1">
      <c r="A127" s="4">
        <v>1913.0</v>
      </c>
      <c r="B127" s="4">
        <v>13702.0</v>
      </c>
      <c r="C127" s="5">
        <f>DATE(2012,12,31)-478</f>
        <v>40796</v>
      </c>
      <c r="D127" s="4" t="s">
        <v>21</v>
      </c>
      <c r="E127" s="4">
        <v>6.0</v>
      </c>
      <c r="F127" s="4">
        <v>209.0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ht="12.75" customHeight="1">
      <c r="A128" s="4">
        <v>1928.0</v>
      </c>
      <c r="B128" s="4">
        <v>13795.0</v>
      </c>
      <c r="C128" s="5">
        <f t="shared" ref="C128:C130" si="53">DATE(2012,12,31)-631</f>
        <v>40643</v>
      </c>
      <c r="D128" s="4" t="s">
        <v>45</v>
      </c>
      <c r="E128" s="4">
        <v>30.0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4">C128+3</f>
        <v>40646</v>
      </c>
    </row>
    <row r="129" ht="12.75" customHeight="1">
      <c r="A129" s="4">
        <v>1929.0</v>
      </c>
      <c r="B129" s="4">
        <v>13795.0</v>
      </c>
      <c r="C129" s="5">
        <f t="shared" si="53"/>
        <v>40643</v>
      </c>
      <c r="D129" s="4" t="s">
        <v>45</v>
      </c>
      <c r="E129" s="4">
        <v>23.0</v>
      </c>
      <c r="F129" s="4">
        <v>275.16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4"/>
        <v>40646</v>
      </c>
    </row>
    <row r="130" ht="12.75" customHeight="1">
      <c r="A130" s="4">
        <v>1930.0</v>
      </c>
      <c r="B130" s="4">
        <v>13795.0</v>
      </c>
      <c r="C130" s="5">
        <f t="shared" si="53"/>
        <v>40643</v>
      </c>
      <c r="D130" s="4" t="s">
        <v>45</v>
      </c>
      <c r="E130" s="4">
        <v>37.0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ht="12.75" customHeight="1">
      <c r="A131" s="4">
        <v>1978.0</v>
      </c>
      <c r="B131" s="4">
        <v>14116.0</v>
      </c>
      <c r="C131" s="5">
        <f t="shared" ref="C131:C132" si="55">DATE(2012,12,31)-449</f>
        <v>40825</v>
      </c>
      <c r="D131" s="4" t="s">
        <v>30</v>
      </c>
      <c r="E131" s="4">
        <v>1.0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ht="12.75" customHeight="1">
      <c r="A132" s="4">
        <v>1979.0</v>
      </c>
      <c r="B132" s="4">
        <v>14116.0</v>
      </c>
      <c r="C132" s="5">
        <f t="shared" si="55"/>
        <v>40825</v>
      </c>
      <c r="D132" s="4" t="s">
        <v>30</v>
      </c>
      <c r="E132" s="4">
        <v>42.0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ht="12.75" customHeight="1">
      <c r="A133" s="4">
        <v>2013.0</v>
      </c>
      <c r="B133" s="4">
        <v>14372.0</v>
      </c>
      <c r="C133" s="5">
        <f>DATE(2012,12,31)-69</f>
        <v>41205</v>
      </c>
      <c r="D133" s="4" t="s">
        <v>78</v>
      </c>
      <c r="E133" s="4">
        <v>34.0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ht="12.75" customHeight="1">
      <c r="A134" s="4">
        <v>2058.0</v>
      </c>
      <c r="B134" s="4">
        <v>14726.0</v>
      </c>
      <c r="C134" s="5">
        <f>DATE(2012,12,31)-358</f>
        <v>40916</v>
      </c>
      <c r="D134" s="4" t="s">
        <v>21</v>
      </c>
      <c r="E134" s="4">
        <v>15.0</v>
      </c>
      <c r="F134" s="4">
        <v>310.87</v>
      </c>
      <c r="G134" s="4">
        <v>0.07</v>
      </c>
      <c r="H134" s="4" t="s">
        <v>22</v>
      </c>
      <c r="I134" s="6">
        <v>-21.48</v>
      </c>
      <c r="J134" s="4">
        <v>20.95</v>
      </c>
      <c r="K134" s="4">
        <v>4.0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ht="12.75" customHeight="1">
      <c r="A135" s="4">
        <v>2070.0</v>
      </c>
      <c r="B135" s="4">
        <v>14819.0</v>
      </c>
      <c r="C135" s="5">
        <f t="shared" ref="C135:C136" si="56">DATE(2012,12,31)-1071</f>
        <v>40203</v>
      </c>
      <c r="D135" s="4" t="s">
        <v>45</v>
      </c>
      <c r="E135" s="4">
        <v>48.0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</v>
      </c>
      <c r="U135" s="5">
        <f>C135+2</f>
        <v>40205</v>
      </c>
    </row>
    <row r="136" ht="12.75" customHeight="1">
      <c r="A136" s="4">
        <v>2071.0</v>
      </c>
      <c r="B136" s="4">
        <v>14819.0</v>
      </c>
      <c r="C136" s="5">
        <f t="shared" si="56"/>
        <v>40203</v>
      </c>
      <c r="D136" s="4" t="s">
        <v>45</v>
      </c>
      <c r="E136" s="4">
        <v>27.0</v>
      </c>
      <c r="F136" s="4">
        <v>1584.1</v>
      </c>
      <c r="G136" s="4">
        <v>0.07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ht="12.75" customHeight="1">
      <c r="A137" s="4">
        <v>2114.0</v>
      </c>
      <c r="B137" s="4">
        <v>15106.0</v>
      </c>
      <c r="C137" s="5">
        <f t="shared" ref="C137:C139" si="57">DATE(2012,12,31)-704</f>
        <v>40570</v>
      </c>
      <c r="D137" s="4" t="s">
        <v>45</v>
      </c>
      <c r="E137" s="4">
        <v>42.0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ht="12.75" customHeight="1">
      <c r="A138" s="4">
        <v>2115.0</v>
      </c>
      <c r="B138" s="4">
        <v>15106.0</v>
      </c>
      <c r="C138" s="5">
        <f t="shared" si="57"/>
        <v>40570</v>
      </c>
      <c r="D138" s="4" t="s">
        <v>45</v>
      </c>
      <c r="E138" s="4">
        <v>39.0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145.45</v>
      </c>
      <c r="K138" s="4">
        <v>17.85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</v>
      </c>
      <c r="U138" s="5">
        <f>C138+0</f>
        <v>40570</v>
      </c>
    </row>
    <row r="139" ht="12.75" customHeight="1">
      <c r="A139" s="4">
        <v>2116.0</v>
      </c>
      <c r="B139" s="4">
        <v>15106.0</v>
      </c>
      <c r="C139" s="5">
        <f t="shared" si="57"/>
        <v>40570</v>
      </c>
      <c r="D139" s="4" t="s">
        <v>45</v>
      </c>
      <c r="E139" s="4">
        <v>35.0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0.58</v>
      </c>
      <c r="U139" s="5">
        <f t="shared" ref="U139:U141" si="58">C139+2</f>
        <v>40572</v>
      </c>
    </row>
    <row r="140" ht="12.75" customHeight="1">
      <c r="A140" s="4">
        <v>2117.0</v>
      </c>
      <c r="B140" s="4">
        <v>15108.0</v>
      </c>
      <c r="C140" s="5">
        <f>DATE(2012,12,31)-1222</f>
        <v>40052</v>
      </c>
      <c r="D140" s="4" t="s">
        <v>30</v>
      </c>
      <c r="E140" s="4">
        <v>50.0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8"/>
        <v>40054</v>
      </c>
    </row>
    <row r="141" ht="12.75" customHeight="1">
      <c r="A141" s="4">
        <v>2129.0</v>
      </c>
      <c r="B141" s="4">
        <v>15205.0</v>
      </c>
      <c r="C141" s="5">
        <f t="shared" ref="C141:C142" si="59">DATE(2012,12,31)-655</f>
        <v>40619</v>
      </c>
      <c r="D141" s="4" t="s">
        <v>78</v>
      </c>
      <c r="E141" s="4">
        <v>18.0</v>
      </c>
      <c r="F141" s="4">
        <v>4605.36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</v>
      </c>
      <c r="U141" s="5">
        <f t="shared" si="58"/>
        <v>40621</v>
      </c>
    </row>
    <row r="142" ht="12.75" customHeight="1">
      <c r="A142" s="4">
        <v>2130.0</v>
      </c>
      <c r="B142" s="4">
        <v>15205.0</v>
      </c>
      <c r="C142" s="5">
        <f t="shared" si="59"/>
        <v>40619</v>
      </c>
      <c r="D142" s="4" t="s">
        <v>78</v>
      </c>
      <c r="E142" s="4">
        <v>42.0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39.98</v>
      </c>
      <c r="K142" s="4">
        <v>9.2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ht="12.75" customHeight="1">
      <c r="A143" s="4">
        <v>2161.0</v>
      </c>
      <c r="B143" s="4">
        <v>15591.0</v>
      </c>
      <c r="C143" s="5">
        <f>DATE(2012,12,31)-208</f>
        <v>41066</v>
      </c>
      <c r="D143" s="4" t="s">
        <v>78</v>
      </c>
      <c r="E143" s="4">
        <v>31.0</v>
      </c>
      <c r="F143" s="4">
        <v>426.34</v>
      </c>
      <c r="G143" s="4">
        <v>0.0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60">C143+2</f>
        <v>41068</v>
      </c>
    </row>
    <row r="144" ht="12.75" customHeight="1">
      <c r="A144" s="4">
        <v>2206.0</v>
      </c>
      <c r="B144" s="4">
        <v>15907.0</v>
      </c>
      <c r="C144" s="5">
        <f t="shared" ref="C144:C146" si="61">DATE(2012,12,31)-630</f>
        <v>40644</v>
      </c>
      <c r="D144" s="4" t="s">
        <v>30</v>
      </c>
      <c r="E144" s="4">
        <v>36.0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60"/>
        <v>40646</v>
      </c>
    </row>
    <row r="145" ht="12.75" customHeight="1">
      <c r="A145" s="4">
        <v>2207.0</v>
      </c>
      <c r="B145" s="4">
        <v>15907.0</v>
      </c>
      <c r="C145" s="5">
        <f t="shared" si="61"/>
        <v>40644</v>
      </c>
      <c r="D145" s="4" t="s">
        <v>30</v>
      </c>
      <c r="E145" s="4">
        <v>36.0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ht="12.75" customHeight="1">
      <c r="A146" s="4">
        <v>2208.0</v>
      </c>
      <c r="B146" s="4">
        <v>15907.0</v>
      </c>
      <c r="C146" s="5">
        <f t="shared" si="61"/>
        <v>40644</v>
      </c>
      <c r="D146" s="4" t="s">
        <v>30</v>
      </c>
      <c r="E146" s="4">
        <v>4.0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ht="12.75" customHeight="1">
      <c r="A147" s="4">
        <v>2209.0</v>
      </c>
      <c r="B147" s="4">
        <v>15937.0</v>
      </c>
      <c r="C147" s="5">
        <f t="shared" ref="C147:C148" si="62">DATE(2012,12,31)-55</f>
        <v>41219</v>
      </c>
      <c r="D147" s="4" t="s">
        <v>21</v>
      </c>
      <c r="E147" s="4">
        <v>32.0</v>
      </c>
      <c r="F147" s="4">
        <v>311.44</v>
      </c>
      <c r="G147" s="4">
        <v>0.04</v>
      </c>
      <c r="H147" s="4" t="s">
        <v>22</v>
      </c>
      <c r="I147" s="6">
        <v>74.07</v>
      </c>
      <c r="J147" s="4">
        <v>9.78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ht="12.75" customHeight="1">
      <c r="A148" s="4">
        <v>2210.0</v>
      </c>
      <c r="B148" s="4">
        <v>15937.0</v>
      </c>
      <c r="C148" s="5">
        <f t="shared" si="62"/>
        <v>41219</v>
      </c>
      <c r="D148" s="4" t="s">
        <v>21</v>
      </c>
      <c r="E148" s="4">
        <v>17.0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</v>
      </c>
      <c r="U148" s="5">
        <f>C148+9</f>
        <v>41228</v>
      </c>
    </row>
    <row r="149" ht="12.75" customHeight="1">
      <c r="A149" s="4">
        <v>2221.0</v>
      </c>
      <c r="B149" s="4">
        <v>16039.0</v>
      </c>
      <c r="C149" s="5">
        <f>DATE(2012,12,31)-229</f>
        <v>41045</v>
      </c>
      <c r="D149" s="4" t="s">
        <v>30</v>
      </c>
      <c r="E149" s="4">
        <v>3.0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ht="12.75" customHeight="1">
      <c r="A150" s="4">
        <v>2246.0</v>
      </c>
      <c r="B150" s="4">
        <v>16193.0</v>
      </c>
      <c r="C150" s="5">
        <f t="shared" ref="C150:C151" si="63">DATE(2012,12,31)-266</f>
        <v>41008</v>
      </c>
      <c r="D150" s="4" t="s">
        <v>45</v>
      </c>
      <c r="E150" s="4">
        <v>8.0</v>
      </c>
      <c r="F150" s="4">
        <v>300.2</v>
      </c>
      <c r="G150" s="4">
        <v>0.0</v>
      </c>
      <c r="H150" s="4" t="s">
        <v>22</v>
      </c>
      <c r="I150" s="6">
        <v>6.410000000000011</v>
      </c>
      <c r="J150" s="4">
        <v>34.76</v>
      </c>
      <c r="K150" s="4">
        <v>8.22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0.57</v>
      </c>
      <c r="U150" s="5">
        <f t="shared" ref="U150:U152" si="64">C150+2</f>
        <v>41010</v>
      </c>
    </row>
    <row r="151" ht="12.75" customHeight="1">
      <c r="A151" s="4">
        <v>2247.0</v>
      </c>
      <c r="B151" s="4">
        <v>16193.0</v>
      </c>
      <c r="C151" s="5">
        <f t="shared" si="63"/>
        <v>41008</v>
      </c>
      <c r="D151" s="4" t="s">
        <v>45</v>
      </c>
      <c r="E151" s="4">
        <v>29.0</v>
      </c>
      <c r="F151" s="4">
        <v>1364.8025</v>
      </c>
      <c r="G151" s="4">
        <v>0.07</v>
      </c>
      <c r="H151" s="4" t="s">
        <v>22</v>
      </c>
      <c r="I151" s="6">
        <v>-183.678</v>
      </c>
      <c r="J151" s="4">
        <v>55.99</v>
      </c>
      <c r="K151" s="4">
        <v>5.0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4"/>
        <v>41010</v>
      </c>
    </row>
    <row r="152" ht="12.75" customHeight="1">
      <c r="A152" s="4">
        <v>2281.0</v>
      </c>
      <c r="B152" s="4">
        <v>16423.0</v>
      </c>
      <c r="C152" s="5">
        <f>DATE(2012,12,31)-148</f>
        <v>41126</v>
      </c>
      <c r="D152" s="4" t="s">
        <v>63</v>
      </c>
      <c r="E152" s="4">
        <v>19.0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4"/>
        <v>41128</v>
      </c>
    </row>
    <row r="153" ht="12.75" customHeight="1">
      <c r="A153" s="4">
        <v>2283.0</v>
      </c>
      <c r="B153" s="4">
        <v>16451.0</v>
      </c>
      <c r="C153" s="5">
        <f>DATE(2012,12,31)-1258</f>
        <v>40016</v>
      </c>
      <c r="D153" s="4" t="s">
        <v>45</v>
      </c>
      <c r="E153" s="4">
        <v>9.0</v>
      </c>
      <c r="F153" s="4">
        <v>252.79</v>
      </c>
      <c r="G153" s="4">
        <v>0.09</v>
      </c>
      <c r="H153" s="4" t="s">
        <v>22</v>
      </c>
      <c r="I153" s="6">
        <v>58.225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ht="12.75" customHeight="1">
      <c r="A154" s="4">
        <v>2294.0</v>
      </c>
      <c r="B154" s="4">
        <v>16545.0</v>
      </c>
      <c r="C154" s="5">
        <f t="shared" ref="C154:C155" si="65">DATE(2012,12,31)-967</f>
        <v>40307</v>
      </c>
      <c r="D154" s="4" t="s">
        <v>45</v>
      </c>
      <c r="E154" s="4">
        <v>10.0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</v>
      </c>
      <c r="U154" s="5">
        <f t="shared" ref="U154:U156" si="66">C154+2</f>
        <v>40309</v>
      </c>
    </row>
    <row r="155" ht="12.75" customHeight="1">
      <c r="A155" s="4">
        <v>2295.0</v>
      </c>
      <c r="B155" s="4">
        <v>16545.0</v>
      </c>
      <c r="C155" s="5">
        <f t="shared" si="65"/>
        <v>40307</v>
      </c>
      <c r="D155" s="4" t="s">
        <v>45</v>
      </c>
      <c r="E155" s="4">
        <v>1.0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6"/>
        <v>40309</v>
      </c>
    </row>
    <row r="156" ht="12.75" customHeight="1">
      <c r="A156" s="4">
        <v>2296.0</v>
      </c>
      <c r="B156" s="4">
        <v>16547.0</v>
      </c>
      <c r="C156" s="5">
        <f t="shared" ref="C156:C157" si="67">DATE(2012,12,31)-1412</f>
        <v>39862</v>
      </c>
      <c r="D156" s="4" t="s">
        <v>45</v>
      </c>
      <c r="E156" s="4">
        <v>30.0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6"/>
        <v>39864</v>
      </c>
    </row>
    <row r="157" ht="12.75" customHeight="1">
      <c r="A157" s="4">
        <v>2297.0</v>
      </c>
      <c r="B157" s="4">
        <v>16547.0</v>
      </c>
      <c r="C157" s="5">
        <f t="shared" si="67"/>
        <v>39862</v>
      </c>
      <c r="D157" s="4" t="s">
        <v>45</v>
      </c>
      <c r="E157" s="4">
        <v>8.0</v>
      </c>
      <c r="F157" s="4">
        <v>1749.64</v>
      </c>
      <c r="G157" s="4">
        <v>0.04</v>
      </c>
      <c r="H157" s="4" t="s">
        <v>31</v>
      </c>
      <c r="I157" s="6">
        <v>-533.2320000000001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ht="12.75" customHeight="1">
      <c r="A158" s="4">
        <v>2316.0</v>
      </c>
      <c r="B158" s="4">
        <v>16706.0</v>
      </c>
      <c r="C158" s="5">
        <f t="shared" ref="C158:C160" si="68">DATE(2012,12,31)-187</f>
        <v>41087</v>
      </c>
      <c r="D158" s="4" t="s">
        <v>30</v>
      </c>
      <c r="E158" s="4">
        <v>47.0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9">C158+1</f>
        <v>41088</v>
      </c>
    </row>
    <row r="159" ht="12.75" customHeight="1">
      <c r="A159" s="4">
        <v>2317.0</v>
      </c>
      <c r="B159" s="4">
        <v>16706.0</v>
      </c>
      <c r="C159" s="5">
        <f t="shared" si="68"/>
        <v>41087</v>
      </c>
      <c r="D159" s="4" t="s">
        <v>30</v>
      </c>
      <c r="E159" s="4">
        <v>6.0</v>
      </c>
      <c r="F159" s="4">
        <v>18.37</v>
      </c>
      <c r="G159" s="4">
        <v>0.01</v>
      </c>
      <c r="H159" s="4" t="s">
        <v>22</v>
      </c>
      <c r="I159" s="6">
        <v>-4.06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0.58</v>
      </c>
      <c r="U159" s="5">
        <f t="shared" si="69"/>
        <v>41088</v>
      </c>
    </row>
    <row r="160" ht="12.75" customHeight="1">
      <c r="A160" s="4">
        <v>2318.0</v>
      </c>
      <c r="B160" s="4">
        <v>16706.0</v>
      </c>
      <c r="C160" s="5">
        <f t="shared" si="68"/>
        <v>41087</v>
      </c>
      <c r="D160" s="4" t="s">
        <v>30</v>
      </c>
      <c r="E160" s="4">
        <v>49.0</v>
      </c>
      <c r="F160" s="4">
        <v>6175.777</v>
      </c>
      <c r="G160" s="4">
        <v>0.07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</v>
      </c>
      <c r="U160" s="5">
        <f>C160+2</f>
        <v>41089</v>
      </c>
    </row>
    <row r="161" ht="12.75" customHeight="1">
      <c r="A161" s="4">
        <v>2323.0</v>
      </c>
      <c r="B161" s="4">
        <v>16741.0</v>
      </c>
      <c r="C161" s="5">
        <f>DATE(2012,12,31)-823</f>
        <v>40451</v>
      </c>
      <c r="D161" s="4" t="s">
        <v>63</v>
      </c>
      <c r="E161" s="4">
        <v>6.0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70">C161+1</f>
        <v>40452</v>
      </c>
    </row>
    <row r="162" ht="12.75" customHeight="1">
      <c r="A162" s="4">
        <v>2346.0</v>
      </c>
      <c r="B162" s="4">
        <v>16932.0</v>
      </c>
      <c r="C162" s="5">
        <f t="shared" ref="C162:C163" si="71">DATE(2012,12,31)-991</f>
        <v>40283</v>
      </c>
      <c r="D162" s="4" t="s">
        <v>78</v>
      </c>
      <c r="E162" s="4">
        <v>25.0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70"/>
        <v>40284</v>
      </c>
    </row>
    <row r="163" ht="12.75" customHeight="1">
      <c r="A163" s="4">
        <v>2347.0</v>
      </c>
      <c r="B163" s="4">
        <v>16932.0</v>
      </c>
      <c r="C163" s="5">
        <f t="shared" si="71"/>
        <v>40283</v>
      </c>
      <c r="D163" s="4" t="s">
        <v>78</v>
      </c>
      <c r="E163" s="4">
        <v>20.0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ht="12.75" customHeight="1">
      <c r="A164" s="4">
        <v>2383.0</v>
      </c>
      <c r="B164" s="4">
        <v>17283.0</v>
      </c>
      <c r="C164" s="5">
        <f>DATE(2012,12,31)-474</f>
        <v>40800</v>
      </c>
      <c r="D164" s="4" t="s">
        <v>45</v>
      </c>
      <c r="E164" s="4">
        <v>4.0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2">C164+1</f>
        <v>40801</v>
      </c>
    </row>
    <row r="165" ht="12.75" customHeight="1">
      <c r="A165" s="4">
        <v>2384.0</v>
      </c>
      <c r="B165" s="4">
        <v>17286.0</v>
      </c>
      <c r="C165" s="5">
        <f>DATE(2012,12,31)-832</f>
        <v>40442</v>
      </c>
      <c r="D165" s="4" t="s">
        <v>30</v>
      </c>
      <c r="E165" s="4">
        <v>7.0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50.0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2"/>
        <v>40443</v>
      </c>
    </row>
    <row r="166" ht="12.75" customHeight="1">
      <c r="A166" s="4">
        <v>2402.0</v>
      </c>
      <c r="B166" s="4">
        <v>17409.0</v>
      </c>
      <c r="C166" s="5">
        <f>DATE(2012,12,31)-867</f>
        <v>40407</v>
      </c>
      <c r="D166" s="4" t="s">
        <v>45</v>
      </c>
      <c r="E166" s="4">
        <v>31.0</v>
      </c>
      <c r="F166" s="4">
        <v>633.56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ht="12.75" customHeight="1">
      <c r="A167" s="4">
        <v>2445.0</v>
      </c>
      <c r="B167" s="4">
        <v>17764.0</v>
      </c>
      <c r="C167" s="5">
        <f>DATE(2012,12,31)-1202</f>
        <v>40072</v>
      </c>
      <c r="D167" s="4" t="s">
        <v>21</v>
      </c>
      <c r="E167" s="4">
        <v>27.0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ht="12.75" customHeight="1">
      <c r="A168" s="4">
        <v>2483.0</v>
      </c>
      <c r="B168" s="4">
        <v>18080.0</v>
      </c>
      <c r="C168" s="5">
        <f>DATE(2012,12,31)-1288</f>
        <v>39986</v>
      </c>
      <c r="D168" s="4" t="s">
        <v>30</v>
      </c>
      <c r="E168" s="4">
        <v>7.0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ht="12.75" customHeight="1">
      <c r="A169" s="4">
        <v>2487.0</v>
      </c>
      <c r="B169" s="4">
        <v>18113.0</v>
      </c>
      <c r="C169" s="5">
        <f>DATE(2012,12,31)-125</f>
        <v>41149</v>
      </c>
      <c r="D169" s="4" t="s">
        <v>45</v>
      </c>
      <c r="E169" s="4">
        <v>27.0</v>
      </c>
      <c r="F169" s="4">
        <v>3316.08</v>
      </c>
      <c r="G169" s="4">
        <v>0.08</v>
      </c>
      <c r="H169" s="4" t="s">
        <v>31</v>
      </c>
      <c r="I169" s="6">
        <v>-514.32</v>
      </c>
      <c r="J169" s="4">
        <v>130.98</v>
      </c>
      <c r="K169" s="4">
        <v>30.0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3">C169+2</f>
        <v>41151</v>
      </c>
    </row>
    <row r="170" ht="12.75" customHeight="1">
      <c r="A170" s="4">
        <v>2489.0</v>
      </c>
      <c r="B170" s="4">
        <v>18144.0</v>
      </c>
      <c r="C170" s="5">
        <f t="shared" ref="C170:C172" si="74">DATE(2012,12,31)-573</f>
        <v>40701</v>
      </c>
      <c r="D170" s="4" t="s">
        <v>78</v>
      </c>
      <c r="E170" s="4">
        <v>48.0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3"/>
        <v>40703</v>
      </c>
    </row>
    <row r="171" ht="12.75" customHeight="1">
      <c r="A171" s="4">
        <v>2490.0</v>
      </c>
      <c r="B171" s="4">
        <v>18144.0</v>
      </c>
      <c r="C171" s="5">
        <f t="shared" si="74"/>
        <v>40701</v>
      </c>
      <c r="D171" s="4" t="s">
        <v>78</v>
      </c>
      <c r="E171" s="4">
        <v>8.0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0.58</v>
      </c>
      <c r="U171" s="5">
        <f t="shared" si="73"/>
        <v>40703</v>
      </c>
    </row>
    <row r="172" ht="12.75" customHeight="1">
      <c r="A172" s="4">
        <v>2491.0</v>
      </c>
      <c r="B172" s="4">
        <v>18144.0</v>
      </c>
      <c r="C172" s="5">
        <f t="shared" si="74"/>
        <v>40701</v>
      </c>
      <c r="D172" s="4" t="s">
        <v>78</v>
      </c>
      <c r="E172" s="4">
        <v>41.0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5.0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3"/>
        <v>40703</v>
      </c>
    </row>
    <row r="173" ht="12.75" customHeight="1">
      <c r="A173" s="4">
        <v>2520.0</v>
      </c>
      <c r="B173" s="4">
        <v>18308.0</v>
      </c>
      <c r="C173" s="5">
        <f t="shared" ref="C173:C175" si="75">DATE(2012,12,31)-1179</f>
        <v>40095</v>
      </c>
      <c r="D173" s="4" t="s">
        <v>45</v>
      </c>
      <c r="E173" s="4">
        <v>30.0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3"/>
        <v>40097</v>
      </c>
    </row>
    <row r="174" ht="12.75" customHeight="1">
      <c r="A174" s="4">
        <v>2521.0</v>
      </c>
      <c r="B174" s="4">
        <v>18308.0</v>
      </c>
      <c r="C174" s="5">
        <f t="shared" si="75"/>
        <v>40095</v>
      </c>
      <c r="D174" s="4" t="s">
        <v>45</v>
      </c>
      <c r="E174" s="4">
        <v>15.0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4.0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ht="12.75" customHeight="1">
      <c r="A175" s="4">
        <v>2522.0</v>
      </c>
      <c r="B175" s="4">
        <v>18308.0</v>
      </c>
      <c r="C175" s="5">
        <f t="shared" si="75"/>
        <v>40095</v>
      </c>
      <c r="D175" s="4" t="s">
        <v>45</v>
      </c>
      <c r="E175" s="4">
        <v>49.0</v>
      </c>
      <c r="F175" s="4">
        <v>5247.4835</v>
      </c>
      <c r="G175" s="4">
        <v>0.0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0.57</v>
      </c>
      <c r="U175" s="5">
        <f>C175+1</f>
        <v>40096</v>
      </c>
    </row>
    <row r="176" ht="12.75" customHeight="1">
      <c r="A176" s="4">
        <v>2615.0</v>
      </c>
      <c r="B176" s="4">
        <v>18887.0</v>
      </c>
      <c r="C176" s="5">
        <f>DATE(2012,12,31)-757</f>
        <v>40517</v>
      </c>
      <c r="D176" s="4" t="s">
        <v>45</v>
      </c>
      <c r="E176" s="4">
        <v>9.0</v>
      </c>
      <c r="F176" s="4">
        <v>173.417</v>
      </c>
      <c r="G176" s="4">
        <v>0.0</v>
      </c>
      <c r="H176" s="4" t="s">
        <v>22</v>
      </c>
      <c r="I176" s="6">
        <v>18.234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6">C176+2</f>
        <v>40519</v>
      </c>
    </row>
    <row r="177" ht="12.75" customHeight="1">
      <c r="A177" s="4">
        <v>2624.0</v>
      </c>
      <c r="B177" s="4">
        <v>19010.0</v>
      </c>
      <c r="C177" s="5">
        <f>DATE(2012,12,31)-1303</f>
        <v>39971</v>
      </c>
      <c r="D177" s="4" t="s">
        <v>21</v>
      </c>
      <c r="E177" s="4">
        <v>18.0</v>
      </c>
      <c r="F177" s="4">
        <v>23792.93</v>
      </c>
      <c r="G177" s="4">
        <v>0.0</v>
      </c>
      <c r="H177" s="4" t="s">
        <v>22</v>
      </c>
      <c r="I177" s="6">
        <v>10951.306499999999</v>
      </c>
      <c r="J177" s="4">
        <v>1270.99</v>
      </c>
      <c r="K177" s="4">
        <v>19.99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6"/>
        <v>39973</v>
      </c>
    </row>
    <row r="178" ht="12.75" customHeight="1">
      <c r="A178" s="4">
        <v>2637.0</v>
      </c>
      <c r="B178" s="4">
        <v>19078.0</v>
      </c>
      <c r="C178" s="5">
        <f>DATE(2012,12,31)-1253</f>
        <v>40021</v>
      </c>
      <c r="D178" s="4" t="s">
        <v>78</v>
      </c>
      <c r="E178" s="4">
        <v>21.0</v>
      </c>
      <c r="F178" s="4">
        <v>256.12</v>
      </c>
      <c r="G178" s="4">
        <v>0.03</v>
      </c>
      <c r="H178" s="4" t="s">
        <v>22</v>
      </c>
      <c r="I178" s="6">
        <v>-18.19</v>
      </c>
      <c r="J178" s="4">
        <v>11.97</v>
      </c>
      <c r="K178" s="4">
        <v>4.98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0.58</v>
      </c>
      <c r="U178" s="5">
        <f>C178+1</f>
        <v>40022</v>
      </c>
    </row>
    <row r="179" ht="12.75" customHeight="1">
      <c r="A179" s="4">
        <v>2643.0</v>
      </c>
      <c r="B179" s="4">
        <v>19138.0</v>
      </c>
      <c r="C179" s="5">
        <f>DATE(2012,12,31)-483</f>
        <v>40791</v>
      </c>
      <c r="D179" s="4" t="s">
        <v>21</v>
      </c>
      <c r="E179" s="4">
        <v>30.0</v>
      </c>
      <c r="F179" s="4">
        <v>387.0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0.57</v>
      </c>
      <c r="U179" s="5">
        <f>C179+5</f>
        <v>40796</v>
      </c>
    </row>
    <row r="180" ht="12.75" customHeight="1">
      <c r="A180" s="4">
        <v>2726.0</v>
      </c>
      <c r="B180" s="4">
        <v>19655.0</v>
      </c>
      <c r="C180" s="5">
        <f>DATE(2012,12,31)-1450</f>
        <v>39824</v>
      </c>
      <c r="D180" s="4" t="s">
        <v>30</v>
      </c>
      <c r="E180" s="4">
        <v>31.0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ht="12.75" customHeight="1">
      <c r="A181" s="4">
        <v>2727.0</v>
      </c>
      <c r="B181" s="4">
        <v>19686.0</v>
      </c>
      <c r="C181" s="5">
        <f t="shared" ref="C181:C182" si="77">DATE(2012,12,31)-869</f>
        <v>40405</v>
      </c>
      <c r="D181" s="4" t="s">
        <v>63</v>
      </c>
      <c r="E181" s="4">
        <v>2.0</v>
      </c>
      <c r="F181" s="4">
        <v>42.31</v>
      </c>
      <c r="G181" s="4">
        <v>0.06</v>
      </c>
      <c r="H181" s="4" t="s">
        <v>22</v>
      </c>
      <c r="I181" s="6">
        <v>-53.0787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ht="12.75" customHeight="1">
      <c r="A182" s="4">
        <v>2728.0</v>
      </c>
      <c r="B182" s="4">
        <v>19686.0</v>
      </c>
      <c r="C182" s="5">
        <f t="shared" si="77"/>
        <v>40405</v>
      </c>
      <c r="D182" s="4" t="s">
        <v>63</v>
      </c>
      <c r="E182" s="4">
        <v>11.0</v>
      </c>
      <c r="F182" s="4">
        <v>152.67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ht="12.75" customHeight="1">
      <c r="A183" s="4">
        <v>2768.0</v>
      </c>
      <c r="B183" s="4">
        <v>20007.0</v>
      </c>
      <c r="C183" s="5">
        <f>DATE(2012,12,31)-1244</f>
        <v>40030</v>
      </c>
      <c r="D183" s="4" t="s">
        <v>45</v>
      </c>
      <c r="E183" s="4">
        <v>49.0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ht="12.75" customHeight="1">
      <c r="A184" s="4">
        <v>2782.0</v>
      </c>
      <c r="B184" s="4">
        <v>20071.0</v>
      </c>
      <c r="C184" s="5">
        <f>DATE(2012,12,31)-471</f>
        <v>40803</v>
      </c>
      <c r="D184" s="4" t="s">
        <v>63</v>
      </c>
      <c r="E184" s="4">
        <v>31.0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8">C184+2</f>
        <v>40805</v>
      </c>
    </row>
    <row r="185" ht="12.75" customHeight="1">
      <c r="A185" s="4">
        <v>2796.0</v>
      </c>
      <c r="B185" s="4">
        <v>20160.0</v>
      </c>
      <c r="C185" s="5">
        <f>DATE(2012,12,31)-436</f>
        <v>40838</v>
      </c>
      <c r="D185" s="4" t="s">
        <v>21</v>
      </c>
      <c r="E185" s="4">
        <v>42.0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8"/>
        <v>40840</v>
      </c>
    </row>
    <row r="186" ht="12.75" customHeight="1">
      <c r="A186" s="4">
        <v>2811.0</v>
      </c>
      <c r="B186" s="4">
        <v>20263.0</v>
      </c>
      <c r="C186" s="5">
        <f t="shared" ref="C186:C187" si="79">DATE(2012,12,31)-1143</f>
        <v>40131</v>
      </c>
      <c r="D186" s="4" t="s">
        <v>63</v>
      </c>
      <c r="E186" s="4">
        <v>8.0</v>
      </c>
      <c r="F186" s="4">
        <v>473.7</v>
      </c>
      <c r="G186" s="4">
        <v>0.05</v>
      </c>
      <c r="H186" s="4" t="s">
        <v>22</v>
      </c>
      <c r="I186" s="6">
        <v>72.51350000000001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ht="12.75" customHeight="1">
      <c r="A187" s="4">
        <v>2812.0</v>
      </c>
      <c r="B187" s="4">
        <v>20263.0</v>
      </c>
      <c r="C187" s="5">
        <f t="shared" si="79"/>
        <v>40131</v>
      </c>
      <c r="D187" s="4" t="s">
        <v>63</v>
      </c>
      <c r="E187" s="4">
        <v>33.0</v>
      </c>
      <c r="F187" s="4">
        <v>553.5625</v>
      </c>
      <c r="G187" s="4">
        <v>0.08</v>
      </c>
      <c r="H187" s="4" t="s">
        <v>22</v>
      </c>
      <c r="I187" s="6">
        <v>-76.857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ht="12.75" customHeight="1">
      <c r="A188" s="4">
        <v>2935.0</v>
      </c>
      <c r="B188" s="4">
        <v>21285.0</v>
      </c>
      <c r="C188" s="5">
        <f t="shared" ref="C188:C189" si="80">DATE(2012,12,31)-912</f>
        <v>40362</v>
      </c>
      <c r="D188" s="4" t="s">
        <v>63</v>
      </c>
      <c r="E188" s="4">
        <v>32.0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ht="12.75" customHeight="1">
      <c r="A189" s="4">
        <v>2936.0</v>
      </c>
      <c r="B189" s="4">
        <v>21285.0</v>
      </c>
      <c r="C189" s="5">
        <f t="shared" si="80"/>
        <v>40362</v>
      </c>
      <c r="D189" s="4" t="s">
        <v>63</v>
      </c>
      <c r="E189" s="4">
        <v>47.0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ht="12.75" customHeight="1">
      <c r="A190" s="4">
        <v>2956.0</v>
      </c>
      <c r="B190" s="4">
        <v>21383.0</v>
      </c>
      <c r="C190" s="5">
        <f>DATE(2012,12,31)-1431</f>
        <v>39843</v>
      </c>
      <c r="D190" s="4" t="s">
        <v>21</v>
      </c>
      <c r="E190" s="4">
        <v>31.0</v>
      </c>
      <c r="F190" s="4">
        <v>16066.85</v>
      </c>
      <c r="G190" s="4">
        <v>0.07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ht="12.75" customHeight="1">
      <c r="A191" s="4">
        <v>2999.0</v>
      </c>
      <c r="B191" s="4">
        <v>21607.0</v>
      </c>
      <c r="C191" s="5">
        <f>DATE(2012,12,31)-291</f>
        <v>40983</v>
      </c>
      <c r="D191" s="4" t="s">
        <v>45</v>
      </c>
      <c r="E191" s="4">
        <v>17.0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36.55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ht="12.75" customHeight="1">
      <c r="A192" s="4">
        <v>3006.0</v>
      </c>
      <c r="B192" s="4">
        <v>21636.0</v>
      </c>
      <c r="C192" s="5">
        <f>DATE(2012,12,31)-1239</f>
        <v>40035</v>
      </c>
      <c r="D192" s="4" t="s">
        <v>21</v>
      </c>
      <c r="E192" s="4">
        <v>35.0</v>
      </c>
      <c r="F192" s="4">
        <v>1665.0394999999999</v>
      </c>
      <c r="G192" s="4">
        <v>0.02</v>
      </c>
      <c r="H192" s="4" t="s">
        <v>22</v>
      </c>
      <c r="I192" s="6">
        <v>366.507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ht="12.75" customHeight="1">
      <c r="A193" s="4">
        <v>3052.0</v>
      </c>
      <c r="B193" s="4">
        <v>21889.0</v>
      </c>
      <c r="C193" s="5">
        <f t="shared" ref="C193:C194" si="81">DATE(2012,12,31)-1005</f>
        <v>40269</v>
      </c>
      <c r="D193" s="4" t="s">
        <v>21</v>
      </c>
      <c r="E193" s="4">
        <v>21.0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19.99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</v>
      </c>
      <c r="U193" s="5">
        <f>C193+7</f>
        <v>40276</v>
      </c>
    </row>
    <row r="194" ht="12.75" customHeight="1">
      <c r="A194" s="4">
        <v>3053.0</v>
      </c>
      <c r="B194" s="4">
        <v>21889.0</v>
      </c>
      <c r="C194" s="5">
        <f t="shared" si="81"/>
        <v>40269</v>
      </c>
      <c r="D194" s="4" t="s">
        <v>21</v>
      </c>
      <c r="E194" s="4">
        <v>16.0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ht="12.75" customHeight="1">
      <c r="A195" s="4">
        <v>3089.0</v>
      </c>
      <c r="B195" s="4">
        <v>22151.0</v>
      </c>
      <c r="C195" s="5">
        <f>DATE(2012,12,31)-884</f>
        <v>40390</v>
      </c>
      <c r="D195" s="4" t="s">
        <v>30</v>
      </c>
      <c r="E195" s="4">
        <v>49.0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</v>
      </c>
      <c r="U195" s="5">
        <f>C195+0</f>
        <v>40390</v>
      </c>
    </row>
    <row r="196" ht="12.75" customHeight="1">
      <c r="A196" s="4">
        <v>3110.0</v>
      </c>
      <c r="B196" s="4">
        <v>22342.0</v>
      </c>
      <c r="C196" s="5">
        <f>DATE(2012,12,31)-1312</f>
        <v>39962</v>
      </c>
      <c r="D196" s="4" t="s">
        <v>21</v>
      </c>
      <c r="E196" s="4">
        <v>13.0</v>
      </c>
      <c r="F196" s="4">
        <v>241.70600000000002</v>
      </c>
      <c r="G196" s="4">
        <v>0.0</v>
      </c>
      <c r="H196" s="4" t="s">
        <v>22</v>
      </c>
      <c r="I196" s="6">
        <v>-92.96100000000001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ht="12.75" customHeight="1">
      <c r="A197" s="4">
        <v>3135.0</v>
      </c>
      <c r="B197" s="4">
        <v>22469.0</v>
      </c>
      <c r="C197" s="5">
        <f>DATE(2012,12,31)-812</f>
        <v>40462</v>
      </c>
      <c r="D197" s="4" t="s">
        <v>30</v>
      </c>
      <c r="E197" s="4">
        <v>44.0</v>
      </c>
      <c r="F197" s="4">
        <v>275.91</v>
      </c>
      <c r="G197" s="4">
        <v>0.1</v>
      </c>
      <c r="H197" s="4" t="s">
        <v>22</v>
      </c>
      <c r="I197" s="6">
        <v>-162.371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ht="12.75" customHeight="1">
      <c r="A198" s="4">
        <v>3138.0</v>
      </c>
      <c r="B198" s="4">
        <v>22501.0</v>
      </c>
      <c r="C198" s="5">
        <f>DATE(2012,12,31)-958</f>
        <v>40316</v>
      </c>
      <c r="D198" s="4" t="s">
        <v>30</v>
      </c>
      <c r="E198" s="4">
        <v>2.0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ht="12.75" customHeight="1">
      <c r="A199" s="4">
        <v>3140.0</v>
      </c>
      <c r="B199" s="4">
        <v>22532.0</v>
      </c>
      <c r="C199" s="5">
        <f>DATE(2012,12,31)-692</f>
        <v>40582</v>
      </c>
      <c r="D199" s="4" t="s">
        <v>78</v>
      </c>
      <c r="E199" s="4">
        <v>13.0</v>
      </c>
      <c r="F199" s="4">
        <v>121.66</v>
      </c>
      <c r="G199" s="4">
        <v>0.03</v>
      </c>
      <c r="H199" s="4" t="s">
        <v>22</v>
      </c>
      <c r="I199" s="6">
        <v>-11.799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ht="12.75" customHeight="1">
      <c r="A200" s="4">
        <v>3244.0</v>
      </c>
      <c r="B200" s="4">
        <v>23264.0</v>
      </c>
      <c r="C200" s="5">
        <f t="shared" ref="C200:C201" si="82">DATE(2012,12,31)-755</f>
        <v>40519</v>
      </c>
      <c r="D200" s="4" t="s">
        <v>78</v>
      </c>
      <c r="E200" s="4">
        <v>16.0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3">C200+2</f>
        <v>40521</v>
      </c>
    </row>
    <row r="201" ht="12.75" customHeight="1">
      <c r="A201" s="4">
        <v>3245.0</v>
      </c>
      <c r="B201" s="4">
        <v>23264.0</v>
      </c>
      <c r="C201" s="5">
        <f t="shared" si="82"/>
        <v>40519</v>
      </c>
      <c r="D201" s="4" t="s">
        <v>78</v>
      </c>
      <c r="E201" s="4">
        <v>27.0</v>
      </c>
      <c r="F201" s="4">
        <v>78.47</v>
      </c>
      <c r="G201" s="4">
        <v>0.06</v>
      </c>
      <c r="H201" s="4" t="s">
        <v>22</v>
      </c>
      <c r="I201" s="6">
        <v>17.99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3"/>
        <v>40521</v>
      </c>
    </row>
    <row r="202" ht="12.75" customHeight="1">
      <c r="A202" s="4">
        <v>3284.0</v>
      </c>
      <c r="B202" s="4">
        <v>23488.0</v>
      </c>
      <c r="C202" s="5">
        <f>DATE(2012,12,31)-1455</f>
        <v>39819</v>
      </c>
      <c r="D202" s="4" t="s">
        <v>78</v>
      </c>
      <c r="E202" s="4">
        <v>30.0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ht="12.75" customHeight="1">
      <c r="A203" s="4">
        <v>3300.0</v>
      </c>
      <c r="B203" s="4">
        <v>23584.0</v>
      </c>
      <c r="C203" s="5">
        <f>DATE(2012,12,31)-294</f>
        <v>40980</v>
      </c>
      <c r="D203" s="4" t="s">
        <v>78</v>
      </c>
      <c r="E203" s="4">
        <v>14.0</v>
      </c>
      <c r="F203" s="4">
        <v>2671.21</v>
      </c>
      <c r="G203" s="4">
        <v>0.06</v>
      </c>
      <c r="H203" s="4" t="s">
        <v>31</v>
      </c>
      <c r="I203" s="6">
        <v>636.18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ht="12.75" customHeight="1">
      <c r="A204" s="4">
        <v>3355.0</v>
      </c>
      <c r="B204" s="4">
        <v>24007.0</v>
      </c>
      <c r="C204" s="5">
        <f t="shared" ref="C204:C206" si="84">DATE(2012,12,31)-858</f>
        <v>40416</v>
      </c>
      <c r="D204" s="4" t="s">
        <v>21</v>
      </c>
      <c r="E204" s="4">
        <v>26.0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5">C204+7</f>
        <v>40423</v>
      </c>
    </row>
    <row r="205" ht="12.75" customHeight="1">
      <c r="A205" s="4">
        <v>3356.0</v>
      </c>
      <c r="B205" s="4">
        <v>24007.0</v>
      </c>
      <c r="C205" s="5">
        <f t="shared" si="84"/>
        <v>40416</v>
      </c>
      <c r="D205" s="4" t="s">
        <v>21</v>
      </c>
      <c r="E205" s="4">
        <v>28.0</v>
      </c>
      <c r="F205" s="4">
        <v>317.85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5"/>
        <v>40423</v>
      </c>
    </row>
    <row r="206" ht="12.75" customHeight="1">
      <c r="A206" s="4">
        <v>3357.0</v>
      </c>
      <c r="B206" s="4">
        <v>24007.0</v>
      </c>
      <c r="C206" s="5">
        <f t="shared" si="84"/>
        <v>40416</v>
      </c>
      <c r="D206" s="4" t="s">
        <v>21</v>
      </c>
      <c r="E206" s="4">
        <v>42.0</v>
      </c>
      <c r="F206" s="4">
        <v>163.08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ht="12.75" customHeight="1">
      <c r="A207" s="4">
        <v>3359.0</v>
      </c>
      <c r="B207" s="4">
        <v>24038.0</v>
      </c>
      <c r="C207" s="5">
        <f>DATE(2012,12,31)-560</f>
        <v>40714</v>
      </c>
      <c r="D207" s="4" t="s">
        <v>30</v>
      </c>
      <c r="E207" s="4">
        <v>38.0</v>
      </c>
      <c r="F207" s="4">
        <v>103.07</v>
      </c>
      <c r="G207" s="4">
        <v>0.1</v>
      </c>
      <c r="H207" s="4" t="s">
        <v>22</v>
      </c>
      <c r="I207" s="6">
        <v>-0.9499999999999993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ht="12.75" customHeight="1">
      <c r="A208" s="4">
        <v>3371.0</v>
      </c>
      <c r="B208" s="4">
        <v>24097.0</v>
      </c>
      <c r="C208" s="5">
        <f t="shared" ref="C208:C210" si="86">DATE(2012,12,31)-880</f>
        <v>40394</v>
      </c>
      <c r="D208" s="4" t="s">
        <v>30</v>
      </c>
      <c r="E208" s="4">
        <v>1.0</v>
      </c>
      <c r="F208" s="4">
        <v>17.19</v>
      </c>
      <c r="G208" s="4">
        <v>0.0</v>
      </c>
      <c r="H208" s="4" t="s">
        <v>22</v>
      </c>
      <c r="I208" s="6">
        <v>-35.34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ht="12.75" customHeight="1">
      <c r="A209" s="4">
        <v>3372.0</v>
      </c>
      <c r="B209" s="4">
        <v>24097.0</v>
      </c>
      <c r="C209" s="5">
        <f t="shared" si="86"/>
        <v>40394</v>
      </c>
      <c r="D209" s="4" t="s">
        <v>30</v>
      </c>
      <c r="E209" s="4">
        <v>27.0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19.99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7">C209+2</f>
        <v>40396</v>
      </c>
    </row>
    <row r="210" ht="12.75" customHeight="1">
      <c r="A210" s="4">
        <v>3373.0</v>
      </c>
      <c r="B210" s="4">
        <v>24097.0</v>
      </c>
      <c r="C210" s="5">
        <f t="shared" si="86"/>
        <v>40394</v>
      </c>
      <c r="D210" s="4" t="s">
        <v>30</v>
      </c>
      <c r="E210" s="4">
        <v>2.0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</v>
      </c>
      <c r="K210" s="4">
        <v>4.86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7"/>
        <v>40396</v>
      </c>
    </row>
    <row r="211" ht="12.75" customHeight="1">
      <c r="A211" s="4">
        <v>3380.0</v>
      </c>
      <c r="B211" s="4">
        <v>24128.0</v>
      </c>
      <c r="C211" s="5">
        <f t="shared" ref="C211:C212" si="88">DATE(2012,12,31)-769</f>
        <v>40505</v>
      </c>
      <c r="D211" s="4" t="s">
        <v>30</v>
      </c>
      <c r="E211" s="4">
        <v>13.0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7"/>
        <v>40507</v>
      </c>
    </row>
    <row r="212" ht="12.75" customHeight="1">
      <c r="A212" s="4">
        <v>3381.0</v>
      </c>
      <c r="B212" s="4">
        <v>24128.0</v>
      </c>
      <c r="C212" s="5">
        <f t="shared" si="88"/>
        <v>40505</v>
      </c>
      <c r="D212" s="4" t="s">
        <v>30</v>
      </c>
      <c r="E212" s="4">
        <v>43.0</v>
      </c>
      <c r="F212" s="4">
        <v>6583.913</v>
      </c>
      <c r="G212" s="4">
        <v>0.09</v>
      </c>
      <c r="H212" s="4" t="s">
        <v>22</v>
      </c>
      <c r="I212" s="6">
        <v>1459.791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7"/>
        <v>40507</v>
      </c>
    </row>
    <row r="213" ht="12.75" customHeight="1">
      <c r="A213" s="4">
        <v>3406.0</v>
      </c>
      <c r="B213" s="4">
        <v>24294.0</v>
      </c>
      <c r="C213" s="5">
        <f>DATE(2012,12,31)-1247</f>
        <v>40027</v>
      </c>
      <c r="D213" s="4" t="s">
        <v>45</v>
      </c>
      <c r="E213" s="4">
        <v>24.0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9">C213+1</f>
        <v>40028</v>
      </c>
    </row>
    <row r="214" ht="12.75" customHeight="1">
      <c r="A214" s="4">
        <v>3418.0</v>
      </c>
      <c r="B214" s="4">
        <v>24387.0</v>
      </c>
      <c r="C214" s="5">
        <f t="shared" ref="C214:C215" si="90">DATE(2012,12,31)-509</f>
        <v>40765</v>
      </c>
      <c r="D214" s="4" t="s">
        <v>78</v>
      </c>
      <c r="E214" s="4">
        <v>23.0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0.57</v>
      </c>
      <c r="U214" s="5">
        <f t="shared" si="89"/>
        <v>40766</v>
      </c>
    </row>
    <row r="215" ht="12.75" customHeight="1">
      <c r="A215" s="4">
        <v>3419.0</v>
      </c>
      <c r="B215" s="4">
        <v>24387.0</v>
      </c>
      <c r="C215" s="5">
        <f t="shared" si="90"/>
        <v>40765</v>
      </c>
      <c r="D215" s="4" t="s">
        <v>78</v>
      </c>
      <c r="E215" s="4">
        <v>17.0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60.0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ht="12.75" customHeight="1">
      <c r="A216" s="4">
        <v>3434.0</v>
      </c>
      <c r="B216" s="4">
        <v>24515.0</v>
      </c>
      <c r="C216" s="5">
        <f>DATE(2012,12,31)-970</f>
        <v>40304</v>
      </c>
      <c r="D216" s="4" t="s">
        <v>78</v>
      </c>
      <c r="E216" s="4">
        <v>41.0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ht="12.75" customHeight="1">
      <c r="A217" s="4">
        <v>3478.0</v>
      </c>
      <c r="B217" s="4">
        <v>24743.0</v>
      </c>
      <c r="C217" s="5">
        <f t="shared" ref="C217:C218" si="91">DATE(2012,12,31)-186</f>
        <v>41088</v>
      </c>
      <c r="D217" s="4" t="s">
        <v>21</v>
      </c>
      <c r="E217" s="4">
        <v>47.0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ht="12.75" customHeight="1">
      <c r="A218" s="4">
        <v>3479.0</v>
      </c>
      <c r="B218" s="4">
        <v>24743.0</v>
      </c>
      <c r="C218" s="5">
        <f t="shared" si="91"/>
        <v>41088</v>
      </c>
      <c r="D218" s="4" t="s">
        <v>21</v>
      </c>
      <c r="E218" s="4">
        <v>26.0</v>
      </c>
      <c r="F218" s="4">
        <v>3758.77</v>
      </c>
      <c r="G218" s="4">
        <v>0.0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0.57</v>
      </c>
      <c r="U218" s="5">
        <f>C218+5</f>
        <v>41093</v>
      </c>
    </row>
    <row r="219" ht="12.75" customHeight="1">
      <c r="A219" s="4">
        <v>3493.0</v>
      </c>
      <c r="B219" s="4">
        <v>24871.0</v>
      </c>
      <c r="C219" s="5">
        <f>DATE(2012,12,31)-649</f>
        <v>40625</v>
      </c>
      <c r="D219" s="4" t="s">
        <v>63</v>
      </c>
      <c r="E219" s="4">
        <v>6.0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ht="12.75" customHeight="1">
      <c r="A220" s="4">
        <v>3552.0</v>
      </c>
      <c r="B220" s="4">
        <v>25318.0</v>
      </c>
      <c r="C220" s="5">
        <f>DATE(2012,12,31)-408</f>
        <v>40866</v>
      </c>
      <c r="D220" s="4" t="s">
        <v>78</v>
      </c>
      <c r="E220" s="4">
        <v>22.0</v>
      </c>
      <c r="F220" s="4">
        <v>440.92</v>
      </c>
      <c r="G220" s="4">
        <v>0.05</v>
      </c>
      <c r="H220" s="4" t="s">
        <v>56</v>
      </c>
      <c r="I220" s="6">
        <v>-65.18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ht="12.75" customHeight="1">
      <c r="A221" s="4">
        <v>3560.0</v>
      </c>
      <c r="B221" s="4">
        <v>25377.0</v>
      </c>
      <c r="C221" s="5">
        <f>DATE(2012,12,31)-35</f>
        <v>41239</v>
      </c>
      <c r="D221" s="4" t="s">
        <v>21</v>
      </c>
      <c r="E221" s="4">
        <v>3.0</v>
      </c>
      <c r="F221" s="4">
        <v>4343.51</v>
      </c>
      <c r="G221" s="4">
        <v>0.09</v>
      </c>
      <c r="H221" s="4" t="s">
        <v>31</v>
      </c>
      <c r="I221" s="6">
        <v>-3755.0331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0.57</v>
      </c>
      <c r="U221" s="5">
        <f>C221+7</f>
        <v>41246</v>
      </c>
    </row>
    <row r="222" ht="12.75" customHeight="1">
      <c r="A222" s="4">
        <v>3591.0</v>
      </c>
      <c r="B222" s="4">
        <v>25634.0</v>
      </c>
      <c r="C222" s="5">
        <f t="shared" ref="C222:C223" si="92">DATE(2012,12,31)-886</f>
        <v>40388</v>
      </c>
      <c r="D222" s="4" t="s">
        <v>45</v>
      </c>
      <c r="E222" s="4">
        <v>29.0</v>
      </c>
      <c r="F222" s="4">
        <v>593.32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4.0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ht="12.75" customHeight="1">
      <c r="A223" s="4">
        <v>3592.0</v>
      </c>
      <c r="B223" s="4">
        <v>25634.0</v>
      </c>
      <c r="C223" s="5">
        <f t="shared" si="92"/>
        <v>40388</v>
      </c>
      <c r="D223" s="4" t="s">
        <v>45</v>
      </c>
      <c r="E223" s="4">
        <v>26.0</v>
      </c>
      <c r="F223" s="4">
        <v>626.07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ht="12.75" customHeight="1">
      <c r="A224" s="4">
        <v>3602.0</v>
      </c>
      <c r="B224" s="4">
        <v>25733.0</v>
      </c>
      <c r="C224" s="5">
        <f>DATE(2012,12,31)-233</f>
        <v>41041</v>
      </c>
      <c r="D224" s="4" t="s">
        <v>21</v>
      </c>
      <c r="E224" s="4">
        <v>24.0</v>
      </c>
      <c r="F224" s="4">
        <v>557.23</v>
      </c>
      <c r="G224" s="4">
        <v>0.09</v>
      </c>
      <c r="H224" s="4" t="s">
        <v>22</v>
      </c>
      <c r="I224" s="6">
        <v>-42.987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ht="12.75" customHeight="1">
      <c r="A225" s="4">
        <v>3604.0</v>
      </c>
      <c r="B225" s="4">
        <v>25767.0</v>
      </c>
      <c r="C225" s="5">
        <f t="shared" ref="C225:C226" si="93">DATE(2012,12,31)-303</f>
        <v>40971</v>
      </c>
      <c r="D225" s="4" t="s">
        <v>30</v>
      </c>
      <c r="E225" s="4">
        <v>7.0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39.48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ht="12.75" customHeight="1">
      <c r="A226" s="4">
        <v>3605.0</v>
      </c>
      <c r="B226" s="4">
        <v>25767.0</v>
      </c>
      <c r="C226" s="5">
        <f t="shared" si="93"/>
        <v>40971</v>
      </c>
      <c r="D226" s="4" t="s">
        <v>30</v>
      </c>
      <c r="E226" s="4">
        <v>15.0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4">C226+1</f>
        <v>40972</v>
      </c>
    </row>
    <row r="227" ht="12.75" customHeight="1">
      <c r="A227" s="4">
        <v>3641.0</v>
      </c>
      <c r="B227" s="4">
        <v>26023.0</v>
      </c>
      <c r="C227" s="5">
        <f>DATE(2012,12,31)-864</f>
        <v>40410</v>
      </c>
      <c r="D227" s="4" t="s">
        <v>30</v>
      </c>
      <c r="E227" s="4">
        <v>49.0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4"/>
        <v>40411</v>
      </c>
    </row>
    <row r="228" ht="12.75" customHeight="1">
      <c r="A228" s="4">
        <v>3643.0</v>
      </c>
      <c r="B228" s="4">
        <v>26051.0</v>
      </c>
      <c r="C228" s="5">
        <f t="shared" ref="C228:C229" si="95">DATE(2012,12,31)-918</f>
        <v>40356</v>
      </c>
      <c r="D228" s="4" t="s">
        <v>45</v>
      </c>
      <c r="E228" s="4">
        <v>22.0</v>
      </c>
      <c r="F228" s="4">
        <v>795.74</v>
      </c>
      <c r="G228" s="4">
        <v>0.0</v>
      </c>
      <c r="H228" s="4" t="s">
        <v>31</v>
      </c>
      <c r="I228" s="6">
        <v>-127.39</v>
      </c>
      <c r="J228" s="4">
        <v>33.94</v>
      </c>
      <c r="K228" s="4">
        <v>19.19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0.58</v>
      </c>
      <c r="U228" s="5">
        <f>C228+2</f>
        <v>40358</v>
      </c>
    </row>
    <row r="229" ht="12.75" customHeight="1">
      <c r="A229" s="4">
        <v>3644.0</v>
      </c>
      <c r="B229" s="4">
        <v>26051.0</v>
      </c>
      <c r="C229" s="5">
        <f t="shared" si="95"/>
        <v>40356</v>
      </c>
      <c r="D229" s="4" t="s">
        <v>45</v>
      </c>
      <c r="E229" s="4">
        <v>31.0</v>
      </c>
      <c r="F229" s="4">
        <v>251.75</v>
      </c>
      <c r="G229" s="4">
        <v>0.07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6">C229+1</f>
        <v>40357</v>
      </c>
    </row>
    <row r="230" ht="12.75" customHeight="1">
      <c r="A230" s="4">
        <v>3649.0</v>
      </c>
      <c r="B230" s="4">
        <v>26116.0</v>
      </c>
      <c r="C230" s="5">
        <f>DATE(2012,12,31)-63</f>
        <v>41211</v>
      </c>
      <c r="D230" s="4" t="s">
        <v>78</v>
      </c>
      <c r="E230" s="4">
        <v>36.0</v>
      </c>
      <c r="F230" s="4">
        <v>697.41</v>
      </c>
      <c r="G230" s="4">
        <v>0.04</v>
      </c>
      <c r="H230" s="4" t="s">
        <v>22</v>
      </c>
      <c r="I230" s="6">
        <v>81.71</v>
      </c>
      <c r="J230" s="4">
        <v>18.97</v>
      </c>
      <c r="K230" s="4">
        <v>9.03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6"/>
        <v>41212</v>
      </c>
    </row>
    <row r="231" ht="12.75" customHeight="1">
      <c r="A231" s="4">
        <v>3658.0</v>
      </c>
      <c r="B231" s="4">
        <v>26182.0</v>
      </c>
      <c r="C231" s="5">
        <f>DATE(2012,12,31)-1080</f>
        <v>40194</v>
      </c>
      <c r="D231" s="4" t="s">
        <v>45</v>
      </c>
      <c r="E231" s="4">
        <v>30.0</v>
      </c>
      <c r="F231" s="4">
        <v>4684.9</v>
      </c>
      <c r="G231" s="4">
        <v>0.01</v>
      </c>
      <c r="H231" s="4" t="s">
        <v>31</v>
      </c>
      <c r="I231" s="6">
        <v>-549.27</v>
      </c>
      <c r="J231" s="4">
        <v>150.98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ht="12.75" customHeight="1">
      <c r="A232" s="4">
        <v>3666.0</v>
      </c>
      <c r="B232" s="4">
        <v>26272.0</v>
      </c>
      <c r="C232" s="5">
        <f>DATE(2012,12,31)-185</f>
        <v>41089</v>
      </c>
      <c r="D232" s="4" t="s">
        <v>21</v>
      </c>
      <c r="E232" s="4">
        <v>6.0</v>
      </c>
      <c r="F232" s="4">
        <v>905.94</v>
      </c>
      <c r="G232" s="4">
        <v>0.04</v>
      </c>
      <c r="H232" s="4" t="s">
        <v>56</v>
      </c>
      <c r="I232" s="6">
        <v>-4.19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0.57</v>
      </c>
      <c r="U232" s="5">
        <f>C232+9</f>
        <v>41098</v>
      </c>
    </row>
    <row r="233" ht="12.75" customHeight="1">
      <c r="A233" s="4">
        <v>3688.0</v>
      </c>
      <c r="B233" s="4">
        <v>26370.0</v>
      </c>
      <c r="C233" s="5">
        <f t="shared" ref="C233:C234" si="97">DATE(2012,12,31)-511</f>
        <v>40763</v>
      </c>
      <c r="D233" s="4" t="s">
        <v>45</v>
      </c>
      <c r="E233" s="4">
        <v>12.0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8">C233+2</f>
        <v>40765</v>
      </c>
    </row>
    <row r="234" ht="12.75" customHeight="1">
      <c r="A234" s="4">
        <v>3689.0</v>
      </c>
      <c r="B234" s="4">
        <v>26370.0</v>
      </c>
      <c r="C234" s="5">
        <f t="shared" si="97"/>
        <v>40763</v>
      </c>
      <c r="D234" s="4" t="s">
        <v>45</v>
      </c>
      <c r="E234" s="4">
        <v>20.0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8"/>
        <v>40765</v>
      </c>
    </row>
    <row r="235" ht="12.75" customHeight="1">
      <c r="A235" s="4">
        <v>3711.0</v>
      </c>
      <c r="B235" s="4">
        <v>26499.0</v>
      </c>
      <c r="C235" s="5">
        <f>DATE(2012,12,31)-1044</f>
        <v>40230</v>
      </c>
      <c r="D235" s="4" t="s">
        <v>63</v>
      </c>
      <c r="E235" s="4">
        <v>11.0</v>
      </c>
      <c r="F235" s="4">
        <v>32.4</v>
      </c>
      <c r="G235" s="4">
        <v>0.05</v>
      </c>
      <c r="H235" s="4" t="s">
        <v>22</v>
      </c>
      <c r="I235" s="6">
        <v>8.78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ht="12.75" customHeight="1">
      <c r="A236" s="4">
        <v>3716.0</v>
      </c>
      <c r="B236" s="4">
        <v>26531.0</v>
      </c>
      <c r="C236" s="5">
        <f>DATE(2012,12,31)-560</f>
        <v>40714</v>
      </c>
      <c r="D236" s="4" t="s">
        <v>63</v>
      </c>
      <c r="E236" s="4">
        <v>26.0</v>
      </c>
      <c r="F236" s="4">
        <v>4688.9484999999995</v>
      </c>
      <c r="G236" s="4">
        <v>0.0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</v>
      </c>
      <c r="U236" s="5">
        <f>C236+2</f>
        <v>40716</v>
      </c>
    </row>
    <row r="237" ht="12.75" customHeight="1">
      <c r="A237" s="4">
        <v>3719.0</v>
      </c>
      <c r="B237" s="4">
        <v>26567.0</v>
      </c>
      <c r="C237" s="5">
        <f t="shared" ref="C237:C240" si="99">DATE(2012,12,31)-1214</f>
        <v>40060</v>
      </c>
      <c r="D237" s="4" t="s">
        <v>78</v>
      </c>
      <c r="E237" s="4">
        <v>8.0</v>
      </c>
      <c r="F237" s="4">
        <v>50.7</v>
      </c>
      <c r="G237" s="4">
        <v>0.08</v>
      </c>
      <c r="H237" s="4" t="s">
        <v>22</v>
      </c>
      <c r="I237" s="6">
        <v>-44.068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ht="12.75" customHeight="1">
      <c r="A238" s="4">
        <v>3720.0</v>
      </c>
      <c r="B238" s="4">
        <v>26567.0</v>
      </c>
      <c r="C238" s="5">
        <f t="shared" si="99"/>
        <v>40060</v>
      </c>
      <c r="D238" s="4" t="s">
        <v>78</v>
      </c>
      <c r="E238" s="4">
        <v>10.0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ht="12.75" customHeight="1">
      <c r="A239" s="4">
        <v>3721.0</v>
      </c>
      <c r="B239" s="4">
        <v>26567.0</v>
      </c>
      <c r="C239" s="5">
        <f t="shared" si="99"/>
        <v>40060</v>
      </c>
      <c r="D239" s="4" t="s">
        <v>78</v>
      </c>
      <c r="E239" s="4">
        <v>22.0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100">C239+1</f>
        <v>40061</v>
      </c>
    </row>
    <row r="240" ht="12.75" customHeight="1">
      <c r="A240" s="4">
        <v>3722.0</v>
      </c>
      <c r="B240" s="4">
        <v>26567.0</v>
      </c>
      <c r="C240" s="5">
        <f t="shared" si="99"/>
        <v>40060</v>
      </c>
      <c r="D240" s="4" t="s">
        <v>78</v>
      </c>
      <c r="E240" s="4">
        <v>48.0</v>
      </c>
      <c r="F240" s="4">
        <v>6109.817</v>
      </c>
      <c r="G240" s="4">
        <v>0.04</v>
      </c>
      <c r="H240" s="4" t="s">
        <v>22</v>
      </c>
      <c r="I240" s="6">
        <v>1374.948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100"/>
        <v>40061</v>
      </c>
    </row>
    <row r="241" ht="12.75" customHeight="1">
      <c r="A241" s="4">
        <v>3760.0</v>
      </c>
      <c r="B241" s="4">
        <v>26854.0</v>
      </c>
      <c r="C241" s="5">
        <f>DATE(2012,12,31)-1289</f>
        <v>39985</v>
      </c>
      <c r="D241" s="4" t="s">
        <v>45</v>
      </c>
      <c r="E241" s="4">
        <v>1.0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100"/>
        <v>39986</v>
      </c>
    </row>
    <row r="242" ht="12.75" customHeight="1">
      <c r="A242" s="4">
        <v>3805.0</v>
      </c>
      <c r="B242" s="4">
        <v>27109.0</v>
      </c>
      <c r="C242" s="5">
        <f>DATE(2012,12,31)-327</f>
        <v>40947</v>
      </c>
      <c r="D242" s="4" t="s">
        <v>78</v>
      </c>
      <c r="E242" s="4">
        <v>48.0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ht="12.75" customHeight="1">
      <c r="A243" s="4">
        <v>3806.0</v>
      </c>
      <c r="B243" s="4">
        <v>27111.0</v>
      </c>
      <c r="C243" s="5">
        <f t="shared" ref="C243:C245" si="101">DATE(2012,12,31)-1391</f>
        <v>39883</v>
      </c>
      <c r="D243" s="4" t="s">
        <v>30</v>
      </c>
      <c r="E243" s="4">
        <v>11.0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19.99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ht="12.75" customHeight="1">
      <c r="A244" s="4">
        <v>3807.0</v>
      </c>
      <c r="B244" s="4">
        <v>27111.0</v>
      </c>
      <c r="C244" s="5">
        <f t="shared" si="101"/>
        <v>39883</v>
      </c>
      <c r="D244" s="4" t="s">
        <v>30</v>
      </c>
      <c r="E244" s="4">
        <v>18.0</v>
      </c>
      <c r="F244" s="4">
        <v>3497.05</v>
      </c>
      <c r="G244" s="4">
        <v>0.0</v>
      </c>
      <c r="H244" s="4" t="s">
        <v>22</v>
      </c>
      <c r="I244" s="6">
        <v>282.18</v>
      </c>
      <c r="J244" s="4">
        <v>193.17</v>
      </c>
      <c r="K244" s="4">
        <v>19.99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ht="12.75" customHeight="1">
      <c r="A245" s="4">
        <v>3808.0</v>
      </c>
      <c r="B245" s="4">
        <v>27111.0</v>
      </c>
      <c r="C245" s="5">
        <f t="shared" si="101"/>
        <v>39883</v>
      </c>
      <c r="D245" s="4" t="s">
        <v>30</v>
      </c>
      <c r="E245" s="4">
        <v>44.0</v>
      </c>
      <c r="F245" s="4">
        <v>774.0525</v>
      </c>
      <c r="G245" s="4">
        <v>0.08</v>
      </c>
      <c r="H245" s="4" t="s">
        <v>56</v>
      </c>
      <c r="I245" s="6">
        <v>-96.338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ht="12.75" customHeight="1">
      <c r="A246" s="4">
        <v>3821.0</v>
      </c>
      <c r="B246" s="4">
        <v>27264.0</v>
      </c>
      <c r="C246" s="5">
        <f>DATE(2012,12,31)-576</f>
        <v>40698</v>
      </c>
      <c r="D246" s="4" t="s">
        <v>21</v>
      </c>
      <c r="E246" s="4">
        <v>3.0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19.99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ht="12.75" customHeight="1">
      <c r="A247" s="4">
        <v>3841.0</v>
      </c>
      <c r="B247" s="4">
        <v>27392.0</v>
      </c>
      <c r="C247" s="5">
        <f>DATE(2012,12,31)-304</f>
        <v>40970</v>
      </c>
      <c r="D247" s="4" t="s">
        <v>21</v>
      </c>
      <c r="E247" s="4">
        <v>37.0</v>
      </c>
      <c r="F247" s="4">
        <v>5753.85</v>
      </c>
      <c r="G247" s="4">
        <v>0.0</v>
      </c>
      <c r="H247" s="4" t="s">
        <v>22</v>
      </c>
      <c r="I247" s="6">
        <v>2509.52</v>
      </c>
      <c r="J247" s="4">
        <v>150.98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ht="12.75" customHeight="1">
      <c r="A248" s="4">
        <v>3860.0</v>
      </c>
      <c r="B248" s="4">
        <v>27553.0</v>
      </c>
      <c r="C248" s="5">
        <f t="shared" ref="C248:C249" si="102">DATE(2012,12,31)-507</f>
        <v>40767</v>
      </c>
      <c r="D248" s="4" t="s">
        <v>63</v>
      </c>
      <c r="E248" s="4">
        <v>48.0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99.0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3">C248+2</f>
        <v>40769</v>
      </c>
    </row>
    <row r="249" ht="12.75" customHeight="1">
      <c r="A249" s="4">
        <v>3861.0</v>
      </c>
      <c r="B249" s="4">
        <v>27553.0</v>
      </c>
      <c r="C249" s="5">
        <f t="shared" si="102"/>
        <v>40767</v>
      </c>
      <c r="D249" s="4" t="s">
        <v>63</v>
      </c>
      <c r="E249" s="4">
        <v>16.0</v>
      </c>
      <c r="F249" s="4">
        <v>2631.107</v>
      </c>
      <c r="G249" s="4">
        <v>0.0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0.57</v>
      </c>
      <c r="U249" s="5">
        <f t="shared" si="103"/>
        <v>40769</v>
      </c>
    </row>
    <row r="250" ht="12.75" customHeight="1">
      <c r="A250" s="4">
        <v>3863.0</v>
      </c>
      <c r="B250" s="4">
        <v>27555.0</v>
      </c>
      <c r="C250" s="5">
        <f>DATE(2012,12,31)-1217</f>
        <v>40057</v>
      </c>
      <c r="D250" s="4" t="s">
        <v>78</v>
      </c>
      <c r="E250" s="4">
        <v>32.0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3"/>
        <v>40059</v>
      </c>
    </row>
    <row r="251" ht="12.75" customHeight="1">
      <c r="A251" s="4">
        <v>3873.0</v>
      </c>
      <c r="B251" s="4">
        <v>27680.0</v>
      </c>
      <c r="C251" s="5">
        <f t="shared" ref="C251:C252" si="104">DATE(2012,12,31)-1070</f>
        <v>40204</v>
      </c>
      <c r="D251" s="4" t="s">
        <v>78</v>
      </c>
      <c r="E251" s="4">
        <v>32.0</v>
      </c>
      <c r="F251" s="4">
        <v>324.4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5">C251+1</f>
        <v>40205</v>
      </c>
    </row>
    <row r="252" ht="12.75" customHeight="1">
      <c r="A252" s="4">
        <v>3874.0</v>
      </c>
      <c r="B252" s="4">
        <v>27680.0</v>
      </c>
      <c r="C252" s="5">
        <f t="shared" si="104"/>
        <v>40204</v>
      </c>
      <c r="D252" s="4" t="s">
        <v>78</v>
      </c>
      <c r="E252" s="4">
        <v>19.0</v>
      </c>
      <c r="F252" s="4">
        <v>137.02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5"/>
        <v>40205</v>
      </c>
    </row>
    <row r="253" ht="12.75" customHeight="1">
      <c r="A253" s="4">
        <v>3891.0</v>
      </c>
      <c r="B253" s="4">
        <v>27778.0</v>
      </c>
      <c r="C253" s="5">
        <f t="shared" ref="C253:C254" si="106">DATE(2012,12,31)-486</f>
        <v>40788</v>
      </c>
      <c r="D253" s="4" t="s">
        <v>78</v>
      </c>
      <c r="E253" s="4">
        <v>1.0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7">C253+2</f>
        <v>40790</v>
      </c>
    </row>
    <row r="254" ht="12.75" customHeight="1">
      <c r="A254" s="4">
        <v>3892.0</v>
      </c>
      <c r="B254" s="4">
        <v>27778.0</v>
      </c>
      <c r="C254" s="5">
        <f t="shared" si="106"/>
        <v>40788</v>
      </c>
      <c r="D254" s="4" t="s">
        <v>78</v>
      </c>
      <c r="E254" s="4">
        <v>34.0</v>
      </c>
      <c r="F254" s="4">
        <v>4805.92</v>
      </c>
      <c r="G254" s="4">
        <v>0.07</v>
      </c>
      <c r="H254" s="4" t="s">
        <v>31</v>
      </c>
      <c r="I254" s="6">
        <v>-393.96</v>
      </c>
      <c r="J254" s="4">
        <v>140.98</v>
      </c>
      <c r="K254" s="4">
        <v>36.09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7"/>
        <v>40790</v>
      </c>
    </row>
    <row r="255" ht="12.75" customHeight="1">
      <c r="A255" s="4">
        <v>3914.0</v>
      </c>
      <c r="B255" s="4">
        <v>27909.0</v>
      </c>
      <c r="C255" s="5">
        <f t="shared" ref="C255:C256" si="108">DATE(2012,12,31)-328</f>
        <v>40946</v>
      </c>
      <c r="D255" s="4" t="s">
        <v>78</v>
      </c>
      <c r="E255" s="4">
        <v>1.0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7"/>
        <v>40948</v>
      </c>
    </row>
    <row r="256" ht="12.75" customHeight="1">
      <c r="A256" s="4">
        <v>3915.0</v>
      </c>
      <c r="B256" s="4">
        <v>27909.0</v>
      </c>
      <c r="C256" s="5">
        <f t="shared" si="108"/>
        <v>40946</v>
      </c>
      <c r="D256" s="4" t="s">
        <v>78</v>
      </c>
      <c r="E256" s="4">
        <v>47.0</v>
      </c>
      <c r="F256" s="4">
        <v>58.53</v>
      </c>
      <c r="G256" s="4">
        <v>0.07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ht="12.75" customHeight="1">
      <c r="A257" s="4">
        <v>3929.0</v>
      </c>
      <c r="B257" s="4">
        <v>28003.0</v>
      </c>
      <c r="C257" s="5">
        <f>DATE(2012,12,31)-653</f>
        <v>40621</v>
      </c>
      <c r="D257" s="4" t="s">
        <v>78</v>
      </c>
      <c r="E257" s="4">
        <v>31.0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9">C257+2</f>
        <v>40623</v>
      </c>
    </row>
    <row r="258" ht="12.75" customHeight="1">
      <c r="A258" s="4">
        <v>3936.0</v>
      </c>
      <c r="B258" s="4">
        <v>28035.0</v>
      </c>
      <c r="C258" s="5">
        <f>DATE(2012,12,31)-603</f>
        <v>40671</v>
      </c>
      <c r="D258" s="4" t="s">
        <v>45</v>
      </c>
      <c r="E258" s="4">
        <v>19.0</v>
      </c>
      <c r="F258" s="4">
        <v>376.21</v>
      </c>
      <c r="G258" s="4">
        <v>0.03</v>
      </c>
      <c r="H258" s="4" t="s">
        <v>22</v>
      </c>
      <c r="I258" s="6">
        <v>89.556</v>
      </c>
      <c r="J258" s="4">
        <v>18.99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9"/>
        <v>40673</v>
      </c>
    </row>
    <row r="259" ht="12.75" customHeight="1">
      <c r="A259" s="4">
        <v>3947.0</v>
      </c>
      <c r="B259" s="4">
        <v>28135.0</v>
      </c>
      <c r="C259" s="5">
        <f t="shared" ref="C259:C260" si="110">DATE(2012,12,31)-1193</f>
        <v>40081</v>
      </c>
      <c r="D259" s="4" t="s">
        <v>78</v>
      </c>
      <c r="E259" s="4">
        <v>37.0</v>
      </c>
      <c r="F259" s="4">
        <v>1601.24</v>
      </c>
      <c r="G259" s="4">
        <v>0.08</v>
      </c>
      <c r="H259" s="4" t="s">
        <v>22</v>
      </c>
      <c r="I259" s="6">
        <v>520.69</v>
      </c>
      <c r="J259" s="4">
        <v>46.89</v>
      </c>
      <c r="K259" s="4">
        <v>5.1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9"/>
        <v>40083</v>
      </c>
    </row>
    <row r="260" ht="12.75" customHeight="1">
      <c r="A260" s="4">
        <v>3948.0</v>
      </c>
      <c r="B260" s="4">
        <v>28135.0</v>
      </c>
      <c r="C260" s="5">
        <f t="shared" si="110"/>
        <v>40081</v>
      </c>
      <c r="D260" s="4" t="s">
        <v>78</v>
      </c>
      <c r="E260" s="4">
        <v>40.0</v>
      </c>
      <c r="F260" s="4">
        <v>501.31</v>
      </c>
      <c r="G260" s="4">
        <v>0.05</v>
      </c>
      <c r="H260" s="4" t="s">
        <v>22</v>
      </c>
      <c r="I260" s="6">
        <v>38.23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ht="12.75" customHeight="1">
      <c r="A261" s="4">
        <v>3952.0</v>
      </c>
      <c r="B261" s="4">
        <v>28165.0</v>
      </c>
      <c r="C261" s="5">
        <f>DATE(2012,12,31)-175</f>
        <v>41099</v>
      </c>
      <c r="D261" s="4" t="s">
        <v>45</v>
      </c>
      <c r="E261" s="4">
        <v>2.0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ht="12.75" customHeight="1">
      <c r="A262" s="4">
        <v>3963.0</v>
      </c>
      <c r="B262" s="4">
        <v>28289.0</v>
      </c>
      <c r="C262" s="5">
        <f>DATE(2012,12,31)-1082</f>
        <v>40192</v>
      </c>
      <c r="D262" s="4" t="s">
        <v>30</v>
      </c>
      <c r="E262" s="4">
        <v>31.0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1">C262+1</f>
        <v>40193</v>
      </c>
    </row>
    <row r="263" ht="12.75" customHeight="1">
      <c r="A263" s="4">
        <v>3992.0</v>
      </c>
      <c r="B263" s="4">
        <v>28486.0</v>
      </c>
      <c r="C263" s="5">
        <f>DATE(2012,12,31)-1223</f>
        <v>40051</v>
      </c>
      <c r="D263" s="4" t="s">
        <v>30</v>
      </c>
      <c r="E263" s="4">
        <v>2.0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0.57</v>
      </c>
      <c r="U263" s="5">
        <f t="shared" si="111"/>
        <v>40052</v>
      </c>
    </row>
    <row r="264" ht="12.75" customHeight="1">
      <c r="A264" s="4">
        <v>4017.0</v>
      </c>
      <c r="B264" s="4">
        <v>28675.0</v>
      </c>
      <c r="C264" s="5">
        <f>DATE(2012,12,31)-1180</f>
        <v>40094</v>
      </c>
      <c r="D264" s="4" t="s">
        <v>78</v>
      </c>
      <c r="E264" s="4">
        <v>15.0</v>
      </c>
      <c r="F264" s="4">
        <v>822.8425</v>
      </c>
      <c r="G264" s="4">
        <v>0.1</v>
      </c>
      <c r="H264" s="4" t="s">
        <v>22</v>
      </c>
      <c r="I264" s="6">
        <v>4.392000000000008</v>
      </c>
      <c r="J264" s="4">
        <v>65.99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</v>
      </c>
      <c r="U264" s="5">
        <f t="shared" si="111"/>
        <v>40095</v>
      </c>
    </row>
    <row r="265" ht="12.75" customHeight="1">
      <c r="A265" s="4">
        <v>4050.0</v>
      </c>
      <c r="B265" s="4">
        <v>28870.0</v>
      </c>
      <c r="C265" s="5">
        <f>DATE(2012,12,31)-417</f>
        <v>40857</v>
      </c>
      <c r="D265" s="4" t="s">
        <v>30</v>
      </c>
      <c r="E265" s="4">
        <v>35.0</v>
      </c>
      <c r="F265" s="4">
        <v>3310.9455</v>
      </c>
      <c r="G265" s="4">
        <v>0.05</v>
      </c>
      <c r="H265" s="4" t="s">
        <v>22</v>
      </c>
      <c r="I265" s="6">
        <v>822.4019999999999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0.57</v>
      </c>
      <c r="U265" s="5">
        <f>C265+3</f>
        <v>40860</v>
      </c>
    </row>
    <row r="266" ht="12.75" customHeight="1">
      <c r="A266" s="4">
        <v>4051.0</v>
      </c>
      <c r="B266" s="4">
        <v>28871.0</v>
      </c>
      <c r="C266" s="5">
        <f>DATE(2012,12,31)-260</f>
        <v>41014</v>
      </c>
      <c r="D266" s="4" t="s">
        <v>30</v>
      </c>
      <c r="E266" s="4">
        <v>10.0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5.02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ht="12.75" customHeight="1">
      <c r="A267" s="4">
        <v>4075.0</v>
      </c>
      <c r="B267" s="4">
        <v>29030.0</v>
      </c>
      <c r="C267" s="5">
        <f>DATE(2012,12,31)-364</f>
        <v>40910</v>
      </c>
      <c r="D267" s="4" t="s">
        <v>63</v>
      </c>
      <c r="E267" s="4">
        <v>10.0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4.1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2">C267+1</f>
        <v>40911</v>
      </c>
    </row>
    <row r="268" ht="12.75" customHeight="1">
      <c r="A268" s="4">
        <v>4082.0</v>
      </c>
      <c r="B268" s="4">
        <v>29095.0</v>
      </c>
      <c r="C268" s="5">
        <f>DATE(2012,12,31)-664</f>
        <v>40610</v>
      </c>
      <c r="D268" s="4" t="s">
        <v>45</v>
      </c>
      <c r="E268" s="4">
        <v>40.0</v>
      </c>
      <c r="F268" s="4">
        <v>291.67</v>
      </c>
      <c r="G268" s="4">
        <v>0.01</v>
      </c>
      <c r="H268" s="4" t="s">
        <v>22</v>
      </c>
      <c r="I268" s="6">
        <v>54.45949999999999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2"/>
        <v>40611</v>
      </c>
    </row>
    <row r="269" ht="12.75" customHeight="1">
      <c r="A269" s="4">
        <v>4118.0</v>
      </c>
      <c r="B269" s="4">
        <v>29287.0</v>
      </c>
      <c r="C269" s="5">
        <f t="shared" ref="C269:C270" si="113">DATE(2012,12,31)-1278</f>
        <v>39996</v>
      </c>
      <c r="D269" s="4" t="s">
        <v>30</v>
      </c>
      <c r="E269" s="4">
        <v>50.0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4">C269+2</f>
        <v>39998</v>
      </c>
    </row>
    <row r="270" ht="12.75" customHeight="1">
      <c r="A270" s="4">
        <v>4119.0</v>
      </c>
      <c r="B270" s="4">
        <v>29287.0</v>
      </c>
      <c r="C270" s="5">
        <f t="shared" si="113"/>
        <v>39996</v>
      </c>
      <c r="D270" s="4" t="s">
        <v>30</v>
      </c>
      <c r="E270" s="4">
        <v>49.0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</v>
      </c>
      <c r="U270" s="5">
        <f t="shared" si="114"/>
        <v>39998</v>
      </c>
    </row>
    <row r="271" ht="12.75" customHeight="1">
      <c r="A271" s="4">
        <v>4164.0</v>
      </c>
      <c r="B271" s="4">
        <v>29510.0</v>
      </c>
      <c r="C271" s="5">
        <f>DATE(2012,12,31)-626</f>
        <v>40648</v>
      </c>
      <c r="D271" s="4" t="s">
        <v>78</v>
      </c>
      <c r="E271" s="4">
        <v>22.0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4"/>
        <v>40650</v>
      </c>
    </row>
    <row r="272" ht="12.75" customHeight="1">
      <c r="A272" s="4">
        <v>4193.0</v>
      </c>
      <c r="B272" s="4">
        <v>29795.0</v>
      </c>
      <c r="C272" s="5">
        <f t="shared" ref="C272:C273" si="115">DATE(2012,12,31)-402</f>
        <v>40872</v>
      </c>
      <c r="D272" s="4" t="s">
        <v>30</v>
      </c>
      <c r="E272" s="4">
        <v>49.0</v>
      </c>
      <c r="F272" s="4">
        <v>19325.2</v>
      </c>
      <c r="G272" s="4">
        <v>0.05</v>
      </c>
      <c r="H272" s="4" t="s">
        <v>22</v>
      </c>
      <c r="I272" s="6">
        <v>8793.539</v>
      </c>
      <c r="J272" s="4">
        <v>387.99</v>
      </c>
      <c r="K272" s="4">
        <v>19.99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6">C272+1</f>
        <v>40873</v>
      </c>
    </row>
    <row r="273" ht="12.75" customHeight="1">
      <c r="A273" s="4">
        <v>4194.0</v>
      </c>
      <c r="B273" s="4">
        <v>29795.0</v>
      </c>
      <c r="C273" s="5">
        <f t="shared" si="115"/>
        <v>40872</v>
      </c>
      <c r="D273" s="4" t="s">
        <v>30</v>
      </c>
      <c r="E273" s="4">
        <v>48.0</v>
      </c>
      <c r="F273" s="4">
        <v>8380.22</v>
      </c>
      <c r="G273" s="4">
        <v>0.0</v>
      </c>
      <c r="H273" s="4" t="s">
        <v>31</v>
      </c>
      <c r="I273" s="6">
        <v>813.83</v>
      </c>
      <c r="J273" s="4">
        <v>160.98</v>
      </c>
      <c r="K273" s="4">
        <v>35.02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6"/>
        <v>40873</v>
      </c>
    </row>
    <row r="274" ht="12.75" customHeight="1">
      <c r="A274" s="4">
        <v>4202.0</v>
      </c>
      <c r="B274" s="4">
        <v>29861.0</v>
      </c>
      <c r="C274" s="5">
        <f>DATE(2012,12,31)-250</f>
        <v>41024</v>
      </c>
      <c r="D274" s="4" t="s">
        <v>78</v>
      </c>
      <c r="E274" s="4">
        <v>11.0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6"/>
        <v>41025</v>
      </c>
    </row>
    <row r="275" ht="12.75" customHeight="1">
      <c r="A275" s="4">
        <v>4305.0</v>
      </c>
      <c r="B275" s="4">
        <v>30658.0</v>
      </c>
      <c r="C275" s="5">
        <f t="shared" ref="C275:C276" si="117">DATE(2012,12,31)-646</f>
        <v>40628</v>
      </c>
      <c r="D275" s="4" t="s">
        <v>63</v>
      </c>
      <c r="E275" s="4">
        <v>35.0</v>
      </c>
      <c r="F275" s="4">
        <v>17387.65</v>
      </c>
      <c r="G275" s="4">
        <v>0.08</v>
      </c>
      <c r="H275" s="4" t="s">
        <v>22</v>
      </c>
      <c r="I275" s="6">
        <v>6907.613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6"/>
        <v>40629</v>
      </c>
    </row>
    <row r="276" ht="12.75" customHeight="1">
      <c r="A276" s="4">
        <v>4306.0</v>
      </c>
      <c r="B276" s="4">
        <v>30658.0</v>
      </c>
      <c r="C276" s="5">
        <f t="shared" si="117"/>
        <v>40628</v>
      </c>
      <c r="D276" s="4" t="s">
        <v>63</v>
      </c>
      <c r="E276" s="4">
        <v>44.0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138.14</v>
      </c>
      <c r="K276" s="4">
        <v>35.0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ht="12.75" customHeight="1">
      <c r="A277" s="4">
        <v>4346.0</v>
      </c>
      <c r="B277" s="4">
        <v>30947.0</v>
      </c>
      <c r="C277" s="5">
        <f t="shared" ref="C277:C278" si="118">DATE(2012,12,31)-901</f>
        <v>40373</v>
      </c>
      <c r="D277" s="4" t="s">
        <v>21</v>
      </c>
      <c r="E277" s="4">
        <v>17.0</v>
      </c>
      <c r="F277" s="4">
        <v>691.59</v>
      </c>
      <c r="G277" s="4">
        <v>0.03</v>
      </c>
      <c r="H277" s="4" t="s">
        <v>22</v>
      </c>
      <c r="I277" s="6">
        <v>261.239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9">C277+4</f>
        <v>40377</v>
      </c>
    </row>
    <row r="278" ht="12.75" customHeight="1">
      <c r="A278" s="4">
        <v>4347.0</v>
      </c>
      <c r="B278" s="4">
        <v>30947.0</v>
      </c>
      <c r="C278" s="5">
        <f t="shared" si="118"/>
        <v>40373</v>
      </c>
      <c r="D278" s="4" t="s">
        <v>21</v>
      </c>
      <c r="E278" s="4">
        <v>45.0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9"/>
        <v>40377</v>
      </c>
    </row>
    <row r="279" ht="12.75" customHeight="1">
      <c r="A279" s="4">
        <v>4362.0</v>
      </c>
      <c r="B279" s="4">
        <v>31077.0</v>
      </c>
      <c r="C279" s="5">
        <f>DATE(2012,12,31)-800</f>
        <v>40474</v>
      </c>
      <c r="D279" s="4" t="s">
        <v>45</v>
      </c>
      <c r="E279" s="4">
        <v>36.0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65.99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</v>
      </c>
      <c r="U279" s="5">
        <f t="shared" ref="U279:U280" si="120">C279+2</f>
        <v>40476</v>
      </c>
    </row>
    <row r="280" ht="12.75" customHeight="1">
      <c r="A280" s="4">
        <v>4369.0</v>
      </c>
      <c r="B280" s="4">
        <v>31111.0</v>
      </c>
      <c r="C280" s="5">
        <f>DATE(2012,12,31)-1225</f>
        <v>40049</v>
      </c>
      <c r="D280" s="4" t="s">
        <v>45</v>
      </c>
      <c r="E280" s="4">
        <v>27.0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20"/>
        <v>40051</v>
      </c>
    </row>
    <row r="281" ht="12.75" customHeight="1">
      <c r="A281" s="4">
        <v>4372.0</v>
      </c>
      <c r="B281" s="4">
        <v>31169.0</v>
      </c>
      <c r="C281" s="5">
        <f>DATE(2012,12,31)-571</f>
        <v>40703</v>
      </c>
      <c r="D281" s="4" t="s">
        <v>21</v>
      </c>
      <c r="E281" s="4">
        <v>6.0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0.57</v>
      </c>
      <c r="U281" s="5">
        <f>C281+4</f>
        <v>40707</v>
      </c>
    </row>
    <row r="282" ht="12.75" customHeight="1">
      <c r="A282" s="4">
        <v>4390.0</v>
      </c>
      <c r="B282" s="4">
        <v>31270.0</v>
      </c>
      <c r="C282" s="5">
        <f t="shared" ref="C282:C284" si="121">DATE(2012,12,31)-38</f>
        <v>41236</v>
      </c>
      <c r="D282" s="4" t="s">
        <v>63</v>
      </c>
      <c r="E282" s="4">
        <v>21.0</v>
      </c>
      <c r="F282" s="4">
        <v>6806.66</v>
      </c>
      <c r="G282" s="4">
        <v>0.0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0.57</v>
      </c>
      <c r="U282" s="5">
        <f>C282+1</f>
        <v>41237</v>
      </c>
    </row>
    <row r="283" ht="12.75" customHeight="1">
      <c r="A283" s="4">
        <v>4391.0</v>
      </c>
      <c r="B283" s="4">
        <v>31270.0</v>
      </c>
      <c r="C283" s="5">
        <f t="shared" si="121"/>
        <v>41236</v>
      </c>
      <c r="D283" s="4" t="s">
        <v>63</v>
      </c>
      <c r="E283" s="4">
        <v>3.0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</v>
      </c>
      <c r="U283" s="5">
        <f t="shared" ref="U283:U284" si="122">C283+2</f>
        <v>41238</v>
      </c>
    </row>
    <row r="284" ht="12.75" customHeight="1">
      <c r="A284" s="4">
        <v>4392.0</v>
      </c>
      <c r="B284" s="4">
        <v>31270.0</v>
      </c>
      <c r="C284" s="5">
        <f t="shared" si="121"/>
        <v>41236</v>
      </c>
      <c r="D284" s="4" t="s">
        <v>63</v>
      </c>
      <c r="E284" s="4">
        <v>5.0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2"/>
        <v>41238</v>
      </c>
    </row>
    <row r="285" ht="12.75" customHeight="1">
      <c r="A285" s="4">
        <v>4401.0</v>
      </c>
      <c r="B285" s="4">
        <v>31364.0</v>
      </c>
      <c r="C285" s="5">
        <f>DATE(2012,12,31)-1340</f>
        <v>39934</v>
      </c>
      <c r="D285" s="4" t="s">
        <v>45</v>
      </c>
      <c r="E285" s="4">
        <v>2.0</v>
      </c>
      <c r="F285" s="4">
        <v>789.01</v>
      </c>
      <c r="G285" s="4">
        <v>0.07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0.57</v>
      </c>
      <c r="U285" s="5">
        <f>C285+0</f>
        <v>39934</v>
      </c>
    </row>
    <row r="286" ht="12.75" customHeight="1">
      <c r="A286" s="4">
        <v>4404.0</v>
      </c>
      <c r="B286" s="4">
        <v>31393.0</v>
      </c>
      <c r="C286" s="5">
        <f t="shared" ref="C286:C287" si="123">DATE(2012,12,31)-234</f>
        <v>41040</v>
      </c>
      <c r="D286" s="4" t="s">
        <v>78</v>
      </c>
      <c r="E286" s="4">
        <v>4.0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0.57</v>
      </c>
      <c r="U286" s="5">
        <f>C286+1</f>
        <v>41041</v>
      </c>
    </row>
    <row r="287" ht="12.75" customHeight="1">
      <c r="A287" s="4">
        <v>4405.0</v>
      </c>
      <c r="B287" s="4">
        <v>31393.0</v>
      </c>
      <c r="C287" s="5">
        <f t="shared" si="123"/>
        <v>41040</v>
      </c>
      <c r="D287" s="4" t="s">
        <v>78</v>
      </c>
      <c r="E287" s="4">
        <v>31.0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4">C287+2</f>
        <v>41042</v>
      </c>
    </row>
    <row r="288" ht="12.75" customHeight="1">
      <c r="A288" s="4">
        <v>4411.0</v>
      </c>
      <c r="B288" s="4">
        <v>31492.0</v>
      </c>
      <c r="C288" s="5">
        <f t="shared" ref="C288:C290" si="125">DATE(2012,12,31)-808</f>
        <v>40466</v>
      </c>
      <c r="D288" s="4" t="s">
        <v>78</v>
      </c>
      <c r="E288" s="4">
        <v>26.0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0.58</v>
      </c>
      <c r="U288" s="5">
        <f t="shared" si="124"/>
        <v>40468</v>
      </c>
    </row>
    <row r="289" ht="12.75" customHeight="1">
      <c r="A289" s="4">
        <v>4412.0</v>
      </c>
      <c r="B289" s="4">
        <v>31492.0</v>
      </c>
      <c r="C289" s="5">
        <f t="shared" si="125"/>
        <v>40466</v>
      </c>
      <c r="D289" s="4" t="s">
        <v>78</v>
      </c>
      <c r="E289" s="4">
        <v>34.0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ht="12.75" customHeight="1">
      <c r="A290" s="4">
        <v>4413.0</v>
      </c>
      <c r="B290" s="4">
        <v>31492.0</v>
      </c>
      <c r="C290" s="5">
        <f t="shared" si="125"/>
        <v>40466</v>
      </c>
      <c r="D290" s="4" t="s">
        <v>78</v>
      </c>
      <c r="E290" s="4">
        <v>23.0</v>
      </c>
      <c r="F290" s="4">
        <v>2149.03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19.99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ht="12.75" customHeight="1">
      <c r="A291" s="4">
        <v>4429.0</v>
      </c>
      <c r="B291" s="4">
        <v>31558.0</v>
      </c>
      <c r="C291" s="5">
        <f t="shared" ref="C291:C292" si="126">DATE(2012,12,31)-527</f>
        <v>40747</v>
      </c>
      <c r="D291" s="4" t="s">
        <v>21</v>
      </c>
      <c r="E291" s="4">
        <v>12.0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300.65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ht="12.75" customHeight="1">
      <c r="A292" s="4">
        <v>4430.0</v>
      </c>
      <c r="B292" s="4">
        <v>31558.0</v>
      </c>
      <c r="C292" s="5">
        <f t="shared" si="126"/>
        <v>40747</v>
      </c>
      <c r="D292" s="4" t="s">
        <v>21</v>
      </c>
      <c r="E292" s="4">
        <v>42.0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</v>
      </c>
      <c r="U292" s="5">
        <f t="shared" ref="U292:U293" si="127">C292+0</f>
        <v>40747</v>
      </c>
    </row>
    <row r="293" ht="12.75" customHeight="1">
      <c r="A293" s="4">
        <v>4437.0</v>
      </c>
      <c r="B293" s="4">
        <v>31618.0</v>
      </c>
      <c r="C293" s="5">
        <f>DATE(2012,12,31)-539</f>
        <v>40735</v>
      </c>
      <c r="D293" s="4" t="s">
        <v>78</v>
      </c>
      <c r="E293" s="4">
        <v>14.0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7"/>
        <v>40735</v>
      </c>
    </row>
    <row r="294" ht="12.75" customHeight="1">
      <c r="A294" s="4">
        <v>4446.0</v>
      </c>
      <c r="B294" s="4">
        <v>31684.0</v>
      </c>
      <c r="C294" s="5">
        <f t="shared" ref="C294:C295" si="128">DATE(2012,12,31)-106</f>
        <v>41168</v>
      </c>
      <c r="D294" s="4" t="s">
        <v>78</v>
      </c>
      <c r="E294" s="4">
        <v>15.0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ht="12.75" customHeight="1">
      <c r="A295" s="4">
        <v>4447.0</v>
      </c>
      <c r="B295" s="4">
        <v>31684.0</v>
      </c>
      <c r="C295" s="5">
        <f t="shared" si="128"/>
        <v>41168</v>
      </c>
      <c r="D295" s="4" t="s">
        <v>78</v>
      </c>
      <c r="E295" s="4">
        <v>28.0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ht="12.75" customHeight="1">
      <c r="A296" s="4">
        <v>4459.0</v>
      </c>
      <c r="B296" s="4">
        <v>31781.0</v>
      </c>
      <c r="C296" s="5">
        <f t="shared" ref="C296:C297" si="129">DATE(2012,12,31)-1445</f>
        <v>39829</v>
      </c>
      <c r="D296" s="4" t="s">
        <v>63</v>
      </c>
      <c r="E296" s="4">
        <v>46.0</v>
      </c>
      <c r="F296" s="4">
        <v>249.02</v>
      </c>
      <c r="G296" s="4">
        <v>0.1</v>
      </c>
      <c r="H296" s="4" t="s">
        <v>22</v>
      </c>
      <c r="I296" s="6">
        <v>-282.6125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30">C296+1</f>
        <v>39830</v>
      </c>
    </row>
    <row r="297" ht="12.75" customHeight="1">
      <c r="A297" s="4">
        <v>4460.0</v>
      </c>
      <c r="B297" s="4">
        <v>31781.0</v>
      </c>
      <c r="C297" s="5">
        <f t="shared" si="129"/>
        <v>39829</v>
      </c>
      <c r="D297" s="4" t="s">
        <v>63</v>
      </c>
      <c r="E297" s="4">
        <v>41.0</v>
      </c>
      <c r="F297" s="4">
        <v>78.49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30"/>
        <v>39830</v>
      </c>
    </row>
    <row r="298" ht="12.75" customHeight="1">
      <c r="A298" s="4">
        <v>4524.0</v>
      </c>
      <c r="B298" s="4">
        <v>32193.0</v>
      </c>
      <c r="C298" s="5">
        <f t="shared" ref="C298:C299" si="131">DATE(2012,12,31)-803</f>
        <v>40471</v>
      </c>
      <c r="D298" s="4" t="s">
        <v>21</v>
      </c>
      <c r="E298" s="4">
        <v>4.0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ht="12.75" customHeight="1">
      <c r="A299" s="4">
        <v>4525.0</v>
      </c>
      <c r="B299" s="4">
        <v>32193.0</v>
      </c>
      <c r="C299" s="5">
        <f t="shared" si="131"/>
        <v>40471</v>
      </c>
      <c r="D299" s="4" t="s">
        <v>21</v>
      </c>
      <c r="E299" s="4">
        <v>27.0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ht="12.75" customHeight="1">
      <c r="A300" s="4">
        <v>4532.0</v>
      </c>
      <c r="B300" s="4">
        <v>32229.0</v>
      </c>
      <c r="C300" s="5">
        <f t="shared" ref="C300:C301" si="132">DATE(2012,12,31)-854</f>
        <v>40420</v>
      </c>
      <c r="D300" s="4" t="s">
        <v>30</v>
      </c>
      <c r="E300" s="4">
        <v>8.0</v>
      </c>
      <c r="F300" s="4">
        <v>1219.19</v>
      </c>
      <c r="G300" s="4">
        <v>0.02</v>
      </c>
      <c r="H300" s="4" t="s">
        <v>22</v>
      </c>
      <c r="I300" s="6">
        <v>44.36999999999995</v>
      </c>
      <c r="J300" s="4">
        <v>150.98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ht="12.75" customHeight="1">
      <c r="A301" s="4">
        <v>4533.0</v>
      </c>
      <c r="B301" s="4">
        <v>32229.0</v>
      </c>
      <c r="C301" s="5">
        <f t="shared" si="132"/>
        <v>40420</v>
      </c>
      <c r="D301" s="4" t="s">
        <v>30</v>
      </c>
      <c r="E301" s="4">
        <v>15.0</v>
      </c>
      <c r="F301" s="4">
        <v>28.68</v>
      </c>
      <c r="G301" s="4">
        <v>0.0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</v>
      </c>
      <c r="U301" s="5">
        <f>C301+1</f>
        <v>40421</v>
      </c>
    </row>
    <row r="302" ht="12.75" customHeight="1">
      <c r="A302" s="4">
        <v>4599.0</v>
      </c>
      <c r="B302" s="4">
        <v>32743.0</v>
      </c>
      <c r="C302" s="5">
        <f>DATE(2012,12,31)-969</f>
        <v>40305</v>
      </c>
      <c r="D302" s="4" t="s">
        <v>78</v>
      </c>
      <c r="E302" s="4">
        <v>19.0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</v>
      </c>
      <c r="U302" s="5">
        <f>C302+2</f>
        <v>40307</v>
      </c>
    </row>
    <row r="303" ht="12.75" customHeight="1">
      <c r="A303" s="4">
        <v>4607.0</v>
      </c>
      <c r="B303" s="4">
        <v>32806.0</v>
      </c>
      <c r="C303" s="5">
        <f>DATE(2012,12,31)-559</f>
        <v>40715</v>
      </c>
      <c r="D303" s="4" t="s">
        <v>78</v>
      </c>
      <c r="E303" s="4">
        <v>8.0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20.24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ht="12.75" customHeight="1">
      <c r="A304" s="4">
        <v>4651.0</v>
      </c>
      <c r="B304" s="4">
        <v>33123.0</v>
      </c>
      <c r="C304" s="5">
        <f>DATE(2012,12,31)-768</f>
        <v>40506</v>
      </c>
      <c r="D304" s="4" t="s">
        <v>63</v>
      </c>
      <c r="E304" s="4">
        <v>41.0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150.98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3">C304+2</f>
        <v>40508</v>
      </c>
    </row>
    <row r="305" ht="12.75" customHeight="1">
      <c r="A305" s="4">
        <v>4656.0</v>
      </c>
      <c r="B305" s="4">
        <v>33159.0</v>
      </c>
      <c r="C305" s="5">
        <f>DATE(2012,12,31)-248</f>
        <v>41026</v>
      </c>
      <c r="D305" s="4" t="s">
        <v>63</v>
      </c>
      <c r="E305" s="4">
        <v>3.0</v>
      </c>
      <c r="F305" s="4">
        <v>56.695</v>
      </c>
      <c r="G305" s="4">
        <v>0.01</v>
      </c>
      <c r="H305" s="4" t="s">
        <v>22</v>
      </c>
      <c r="I305" s="6">
        <v>-70.972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3"/>
        <v>41028</v>
      </c>
    </row>
    <row r="306" ht="12.75" customHeight="1">
      <c r="A306" s="4">
        <v>4659.0</v>
      </c>
      <c r="B306" s="4">
        <v>33186.0</v>
      </c>
      <c r="C306" s="5">
        <f>DATE(2012,12,31)-125</f>
        <v>41149</v>
      </c>
      <c r="D306" s="4" t="s">
        <v>21</v>
      </c>
      <c r="E306" s="4">
        <v>24.0</v>
      </c>
      <c r="F306" s="4">
        <v>1350.531</v>
      </c>
      <c r="G306" s="4">
        <v>0.01</v>
      </c>
      <c r="H306" s="4" t="s">
        <v>22</v>
      </c>
      <c r="I306" s="6">
        <v>221.184</v>
      </c>
      <c r="J306" s="4">
        <v>65.99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</v>
      </c>
      <c r="U306" s="5">
        <f t="shared" si="133"/>
        <v>41151</v>
      </c>
    </row>
    <row r="307" ht="12.75" customHeight="1">
      <c r="A307" s="4">
        <v>4687.0</v>
      </c>
      <c r="B307" s="4">
        <v>33377.0</v>
      </c>
      <c r="C307" s="5">
        <f t="shared" ref="C307:C308" si="134">DATE(2012,12,31)-519</f>
        <v>40755</v>
      </c>
      <c r="D307" s="4" t="s">
        <v>30</v>
      </c>
      <c r="E307" s="4">
        <v>20.0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3"/>
        <v>40757</v>
      </c>
    </row>
    <row r="308" ht="12.75" customHeight="1">
      <c r="A308" s="4">
        <v>4688.0</v>
      </c>
      <c r="B308" s="4">
        <v>33377.0</v>
      </c>
      <c r="C308" s="5">
        <f t="shared" si="134"/>
        <v>40755</v>
      </c>
      <c r="D308" s="4" t="s">
        <v>30</v>
      </c>
      <c r="E308" s="4">
        <v>19.0</v>
      </c>
      <c r="F308" s="4">
        <v>327.15</v>
      </c>
      <c r="G308" s="4">
        <v>0.04</v>
      </c>
      <c r="H308" s="4" t="s">
        <v>22</v>
      </c>
      <c r="I308" s="6">
        <v>47.3</v>
      </c>
      <c r="J308" s="4">
        <v>17.24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</v>
      </c>
      <c r="U308" s="5">
        <f t="shared" ref="U308:U309" si="135">C308+1</f>
        <v>40756</v>
      </c>
    </row>
    <row r="309" ht="12.75" customHeight="1">
      <c r="A309" s="4">
        <v>4691.0</v>
      </c>
      <c r="B309" s="4">
        <v>33444.0</v>
      </c>
      <c r="C309" s="5">
        <f t="shared" ref="C309:C310" si="136">DATE(2012,12,31)-86</f>
        <v>41188</v>
      </c>
      <c r="D309" s="4" t="s">
        <v>63</v>
      </c>
      <c r="E309" s="4">
        <v>11.0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0.58</v>
      </c>
      <c r="U309" s="5">
        <f t="shared" si="135"/>
        <v>41189</v>
      </c>
    </row>
    <row r="310" ht="12.75" customHeight="1">
      <c r="A310" s="4">
        <v>4692.0</v>
      </c>
      <c r="B310" s="4">
        <v>33444.0</v>
      </c>
      <c r="C310" s="5">
        <f t="shared" si="136"/>
        <v>41188</v>
      </c>
      <c r="D310" s="4" t="s">
        <v>63</v>
      </c>
      <c r="E310" s="4">
        <v>8.0</v>
      </c>
      <c r="F310" s="4">
        <v>127.8</v>
      </c>
      <c r="G310" s="4">
        <v>0.07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0.57</v>
      </c>
      <c r="U310" s="5">
        <f>C310+2</f>
        <v>41190</v>
      </c>
    </row>
    <row r="311" ht="12.75" customHeight="1">
      <c r="A311" s="4">
        <v>4738.0</v>
      </c>
      <c r="B311" s="4">
        <v>33703.0</v>
      </c>
      <c r="C311" s="5">
        <f t="shared" ref="C311:C313" si="137">DATE(2012,12,31)-1059</f>
        <v>40215</v>
      </c>
      <c r="D311" s="4" t="s">
        <v>45</v>
      </c>
      <c r="E311" s="4">
        <v>4.0</v>
      </c>
      <c r="F311" s="4">
        <v>242.36</v>
      </c>
      <c r="G311" s="4">
        <v>0.08</v>
      </c>
      <c r="H311" s="4" t="s">
        <v>22</v>
      </c>
      <c r="I311" s="6">
        <v>-131.48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8">C311+1</f>
        <v>40216</v>
      </c>
    </row>
    <row r="312" ht="12.75" customHeight="1">
      <c r="A312" s="4">
        <v>4739.0</v>
      </c>
      <c r="B312" s="4">
        <v>33703.0</v>
      </c>
      <c r="C312" s="5">
        <f t="shared" si="137"/>
        <v>40215</v>
      </c>
      <c r="D312" s="4" t="s">
        <v>45</v>
      </c>
      <c r="E312" s="4">
        <v>25.0</v>
      </c>
      <c r="F312" s="4">
        <v>802.19</v>
      </c>
      <c r="G312" s="4">
        <v>0.0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8"/>
        <v>40216</v>
      </c>
    </row>
    <row r="313" ht="12.75" customHeight="1">
      <c r="A313" s="4">
        <v>4740.0</v>
      </c>
      <c r="B313" s="4">
        <v>33703.0</v>
      </c>
      <c r="C313" s="5">
        <f t="shared" si="137"/>
        <v>40215</v>
      </c>
      <c r="D313" s="4" t="s">
        <v>45</v>
      </c>
      <c r="E313" s="4">
        <v>4.0</v>
      </c>
      <c r="F313" s="4">
        <v>63.52</v>
      </c>
      <c r="G313" s="4">
        <v>0.08</v>
      </c>
      <c r="H313" s="4" t="s">
        <v>56</v>
      </c>
      <c r="I313" s="6">
        <v>-8.47</v>
      </c>
      <c r="J313" s="4">
        <v>12.21</v>
      </c>
      <c r="K313" s="4">
        <v>4.81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0.58</v>
      </c>
      <c r="U313" s="5">
        <f>C313+2</f>
        <v>40217</v>
      </c>
    </row>
    <row r="314" ht="12.75" customHeight="1">
      <c r="A314" s="4">
        <v>4746.0</v>
      </c>
      <c r="B314" s="4">
        <v>33734.0</v>
      </c>
      <c r="C314" s="5">
        <f>DATE(2012,12,31)-441</f>
        <v>40833</v>
      </c>
      <c r="D314" s="4" t="s">
        <v>45</v>
      </c>
      <c r="E314" s="4">
        <v>13.0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ht="12.75" customHeight="1">
      <c r="A315" s="4">
        <v>4763.0</v>
      </c>
      <c r="B315" s="4">
        <v>33888.0</v>
      </c>
      <c r="C315" s="5">
        <f t="shared" ref="C315:C317" si="139">DATE(2012,12,31)-1229</f>
        <v>40045</v>
      </c>
      <c r="D315" s="4" t="s">
        <v>45</v>
      </c>
      <c r="E315" s="4">
        <v>31.0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ht="12.75" customHeight="1">
      <c r="A316" s="4">
        <v>4764.0</v>
      </c>
      <c r="B316" s="4">
        <v>33888.0</v>
      </c>
      <c r="C316" s="5">
        <f t="shared" si="139"/>
        <v>40045</v>
      </c>
      <c r="D316" s="4" t="s">
        <v>45</v>
      </c>
      <c r="E316" s="4">
        <v>3.0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ht="12.75" customHeight="1">
      <c r="A317" s="4">
        <v>4765.0</v>
      </c>
      <c r="B317" s="4">
        <v>33888.0</v>
      </c>
      <c r="C317" s="5">
        <f t="shared" si="139"/>
        <v>40045</v>
      </c>
      <c r="D317" s="4" t="s">
        <v>45</v>
      </c>
      <c r="E317" s="4">
        <v>47.0</v>
      </c>
      <c r="F317" s="4">
        <v>10377.22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ht="12.75" customHeight="1">
      <c r="A318" s="4">
        <v>4772.0</v>
      </c>
      <c r="B318" s="4">
        <v>33894.0</v>
      </c>
      <c r="C318" s="5">
        <f t="shared" ref="C318:C321" si="140">DATE(2012,12,31)-931</f>
        <v>40343</v>
      </c>
      <c r="D318" s="4" t="s">
        <v>78</v>
      </c>
      <c r="E318" s="4">
        <v>14.0</v>
      </c>
      <c r="F318" s="4">
        <v>140.66</v>
      </c>
      <c r="G318" s="4">
        <v>0.0</v>
      </c>
      <c r="H318" s="4" t="s">
        <v>22</v>
      </c>
      <c r="I318" s="6">
        <v>11.34</v>
      </c>
      <c r="J318" s="4">
        <v>9.27</v>
      </c>
      <c r="K318" s="4">
        <v>4.39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ht="12.75" customHeight="1">
      <c r="A319" s="4">
        <v>4773.0</v>
      </c>
      <c r="B319" s="4">
        <v>33894.0</v>
      </c>
      <c r="C319" s="5">
        <f t="shared" si="140"/>
        <v>40343</v>
      </c>
      <c r="D319" s="4" t="s">
        <v>78</v>
      </c>
      <c r="E319" s="4">
        <v>5.0</v>
      </c>
      <c r="F319" s="4">
        <v>42.89</v>
      </c>
      <c r="G319" s="4">
        <v>0.02</v>
      </c>
      <c r="H319" s="4" t="s">
        <v>22</v>
      </c>
      <c r="I319" s="6">
        <v>-32.48</v>
      </c>
      <c r="J319" s="4">
        <v>6.84</v>
      </c>
      <c r="K319" s="4">
        <v>8.37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0.58</v>
      </c>
      <c r="U319" s="5">
        <f>C319+1</f>
        <v>40344</v>
      </c>
    </row>
    <row r="320" ht="12.75" customHeight="1">
      <c r="A320" s="4">
        <v>4774.0</v>
      </c>
      <c r="B320" s="4">
        <v>33894.0</v>
      </c>
      <c r="C320" s="5">
        <f t="shared" si="140"/>
        <v>40343</v>
      </c>
      <c r="D320" s="4" t="s">
        <v>78</v>
      </c>
      <c r="E320" s="4">
        <v>48.0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1">C320+2</f>
        <v>40345</v>
      </c>
    </row>
    <row r="321" ht="12.75" customHeight="1">
      <c r="A321" s="4">
        <v>4775.0</v>
      </c>
      <c r="B321" s="4">
        <v>33894.0</v>
      </c>
      <c r="C321" s="5">
        <f t="shared" si="140"/>
        <v>40343</v>
      </c>
      <c r="D321" s="4" t="s">
        <v>78</v>
      </c>
      <c r="E321" s="4">
        <v>13.0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32.98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1"/>
        <v>40345</v>
      </c>
    </row>
    <row r="322" ht="12.75" customHeight="1">
      <c r="A322" s="4">
        <v>4777.0</v>
      </c>
      <c r="B322" s="4">
        <v>33922.0</v>
      </c>
      <c r="C322" s="5">
        <f>DATE(2012,12,31)-1038</f>
        <v>40236</v>
      </c>
      <c r="D322" s="4" t="s">
        <v>45</v>
      </c>
      <c r="E322" s="4">
        <v>31.0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ht="12.75" customHeight="1">
      <c r="A323" s="4">
        <v>4803.0</v>
      </c>
      <c r="B323" s="4">
        <v>34177.0</v>
      </c>
      <c r="C323" s="5">
        <f t="shared" ref="C323:C325" si="142">DATE(2012,12,31)-1234</f>
        <v>40040</v>
      </c>
      <c r="D323" s="4" t="s">
        <v>30</v>
      </c>
      <c r="E323" s="4">
        <v>13.0</v>
      </c>
      <c r="F323" s="4">
        <v>34.42</v>
      </c>
      <c r="G323" s="4">
        <v>0.02</v>
      </c>
      <c r="H323" s="4" t="s">
        <v>22</v>
      </c>
      <c r="I323" s="6">
        <v>9.47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ht="12.75" customHeight="1">
      <c r="A324" s="4">
        <v>4804.0</v>
      </c>
      <c r="B324" s="4">
        <v>34177.0</v>
      </c>
      <c r="C324" s="5">
        <f t="shared" si="142"/>
        <v>40040</v>
      </c>
      <c r="D324" s="4" t="s">
        <v>30</v>
      </c>
      <c r="E324" s="4">
        <v>26.0</v>
      </c>
      <c r="F324" s="4">
        <v>172.76</v>
      </c>
      <c r="G324" s="4">
        <v>0.1</v>
      </c>
      <c r="H324" s="4" t="s">
        <v>22</v>
      </c>
      <c r="I324" s="6">
        <v>73.18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3">C324+1</f>
        <v>40041</v>
      </c>
    </row>
    <row r="325" ht="12.75" customHeight="1">
      <c r="A325" s="4">
        <v>4805.0</v>
      </c>
      <c r="B325" s="4">
        <v>34177.0</v>
      </c>
      <c r="C325" s="5">
        <f t="shared" si="142"/>
        <v>40040</v>
      </c>
      <c r="D325" s="4" t="s">
        <v>30</v>
      </c>
      <c r="E325" s="4">
        <v>50.0</v>
      </c>
      <c r="F325" s="4">
        <v>853.162</v>
      </c>
      <c r="G325" s="4">
        <v>0.1</v>
      </c>
      <c r="H325" s="4" t="s">
        <v>22</v>
      </c>
      <c r="I325" s="6">
        <v>-83.952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3"/>
        <v>40041</v>
      </c>
    </row>
    <row r="326" ht="12.75" customHeight="1">
      <c r="A326" s="4">
        <v>4812.0</v>
      </c>
      <c r="B326" s="4">
        <v>34215.0</v>
      </c>
      <c r="C326" s="5">
        <f>DATE(2012,12,31)-597</f>
        <v>40677</v>
      </c>
      <c r="D326" s="4" t="s">
        <v>30</v>
      </c>
      <c r="E326" s="4">
        <v>6.0</v>
      </c>
      <c r="F326" s="4">
        <v>35.65</v>
      </c>
      <c r="G326" s="4">
        <v>0.02</v>
      </c>
      <c r="H326" s="4" t="s">
        <v>22</v>
      </c>
      <c r="I326" s="6">
        <v>-5.9225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3"/>
        <v>40678</v>
      </c>
    </row>
    <row r="327" ht="12.75" customHeight="1">
      <c r="A327" s="4">
        <v>4820.0</v>
      </c>
      <c r="B327" s="4">
        <v>34246.0</v>
      </c>
      <c r="C327" s="5">
        <f t="shared" ref="C327:C329" si="144">DATE(2012,12,31)-816</f>
        <v>40458</v>
      </c>
      <c r="D327" s="4" t="s">
        <v>78</v>
      </c>
      <c r="E327" s="4">
        <v>49.0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3"/>
        <v>40459</v>
      </c>
    </row>
    <row r="328" ht="12.75" customHeight="1">
      <c r="A328" s="4">
        <v>4821.0</v>
      </c>
      <c r="B328" s="4">
        <v>34246.0</v>
      </c>
      <c r="C328" s="5">
        <f t="shared" si="144"/>
        <v>40458</v>
      </c>
      <c r="D328" s="4" t="s">
        <v>78</v>
      </c>
      <c r="E328" s="4">
        <v>18.0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19.99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3"/>
        <v>40459</v>
      </c>
    </row>
    <row r="329" ht="12.75" customHeight="1">
      <c r="A329" s="4">
        <v>4822.0</v>
      </c>
      <c r="B329" s="4">
        <v>34246.0</v>
      </c>
      <c r="C329" s="5">
        <f t="shared" si="144"/>
        <v>40458</v>
      </c>
      <c r="D329" s="4" t="s">
        <v>78</v>
      </c>
      <c r="E329" s="4">
        <v>27.0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ht="12.75" customHeight="1">
      <c r="A330" s="4">
        <v>4864.0</v>
      </c>
      <c r="B330" s="4">
        <v>34631.0</v>
      </c>
      <c r="C330" s="5">
        <f t="shared" ref="C330:C331" si="145">DATE(2012,12,31)-1165</f>
        <v>40109</v>
      </c>
      <c r="D330" s="4" t="s">
        <v>45</v>
      </c>
      <c r="E330" s="4">
        <v>5.0</v>
      </c>
      <c r="F330" s="4">
        <v>22.06</v>
      </c>
      <c r="G330" s="4">
        <v>0.06</v>
      </c>
      <c r="H330" s="4" t="s">
        <v>22</v>
      </c>
      <c r="I330" s="6">
        <v>-22.2755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ht="12.75" customHeight="1">
      <c r="A331" s="4">
        <v>4865.0</v>
      </c>
      <c r="B331" s="4">
        <v>34631.0</v>
      </c>
      <c r="C331" s="5">
        <f t="shared" si="145"/>
        <v>40109</v>
      </c>
      <c r="D331" s="4" t="s">
        <v>45</v>
      </c>
      <c r="E331" s="4">
        <v>19.0</v>
      </c>
      <c r="F331" s="4">
        <v>12616.2</v>
      </c>
      <c r="G331" s="4">
        <v>0.07</v>
      </c>
      <c r="H331" s="4" t="s">
        <v>22</v>
      </c>
      <c r="I331" s="6">
        <v>2808.219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6">C331+2</f>
        <v>40111</v>
      </c>
    </row>
    <row r="332" ht="12.75" customHeight="1">
      <c r="A332" s="4">
        <v>4929.0</v>
      </c>
      <c r="B332" s="4">
        <v>35047.0</v>
      </c>
      <c r="C332" s="5">
        <f>DATE(2012,12,31)-936</f>
        <v>40338</v>
      </c>
      <c r="D332" s="4" t="s">
        <v>63</v>
      </c>
      <c r="E332" s="4">
        <v>31.0</v>
      </c>
      <c r="F332" s="4">
        <v>148.17</v>
      </c>
      <c r="G332" s="4">
        <v>0.0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6"/>
        <v>40340</v>
      </c>
    </row>
    <row r="333" ht="12.75" customHeight="1">
      <c r="A333" s="4">
        <v>4957.0</v>
      </c>
      <c r="B333" s="4">
        <v>35266.0</v>
      </c>
      <c r="C333" s="5">
        <f t="shared" ref="C333:C334" si="147">DATE(2012,12,31)-721</f>
        <v>40553</v>
      </c>
      <c r="D333" s="4" t="s">
        <v>45</v>
      </c>
      <c r="E333" s="4">
        <v>39.0</v>
      </c>
      <c r="F333" s="4">
        <v>217.25</v>
      </c>
      <c r="G333" s="4">
        <v>0.07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</v>
      </c>
      <c r="U333" s="5">
        <f>C333+0</f>
        <v>40553</v>
      </c>
    </row>
    <row r="334" ht="12.75" customHeight="1">
      <c r="A334" s="4">
        <v>4958.0</v>
      </c>
      <c r="B334" s="4">
        <v>35266.0</v>
      </c>
      <c r="C334" s="5">
        <f t="shared" si="147"/>
        <v>40553</v>
      </c>
      <c r="D334" s="4" t="s">
        <v>45</v>
      </c>
      <c r="E334" s="4">
        <v>28.0</v>
      </c>
      <c r="F334" s="4">
        <v>5993.74</v>
      </c>
      <c r="G334" s="4">
        <v>0.07</v>
      </c>
      <c r="H334" s="4" t="s">
        <v>31</v>
      </c>
      <c r="I334" s="6">
        <v>-998.9370000000001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ht="12.75" customHeight="1">
      <c r="A335" s="4">
        <v>5031.0</v>
      </c>
      <c r="B335" s="4">
        <v>35847.0</v>
      </c>
      <c r="C335" s="5">
        <f>DATE(2012,12,31)-1431</f>
        <v>39843</v>
      </c>
      <c r="D335" s="4" t="s">
        <v>78</v>
      </c>
      <c r="E335" s="4">
        <v>23.0</v>
      </c>
      <c r="F335" s="4">
        <v>361.65</v>
      </c>
      <c r="G335" s="4">
        <v>0.08</v>
      </c>
      <c r="H335" s="4" t="s">
        <v>56</v>
      </c>
      <c r="I335" s="6">
        <v>-144.27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ht="12.75" customHeight="1">
      <c r="A336" s="4">
        <v>5048.0</v>
      </c>
      <c r="B336" s="4">
        <v>36001.0</v>
      </c>
      <c r="C336" s="5">
        <f t="shared" ref="C336:C337" si="148">DATE(2012,12,31)-644</f>
        <v>40630</v>
      </c>
      <c r="D336" s="4" t="s">
        <v>21</v>
      </c>
      <c r="E336" s="4">
        <v>45.0</v>
      </c>
      <c r="F336" s="4">
        <v>1038.82</v>
      </c>
      <c r="G336" s="4">
        <v>0.05</v>
      </c>
      <c r="H336" s="4" t="s">
        <v>22</v>
      </c>
      <c r="I336" s="6">
        <v>-78.361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ht="12.75" customHeight="1">
      <c r="A337" s="4">
        <v>5049.0</v>
      </c>
      <c r="B337" s="4">
        <v>36001.0</v>
      </c>
      <c r="C337" s="5">
        <f t="shared" si="148"/>
        <v>40630</v>
      </c>
      <c r="D337" s="4" t="s">
        <v>21</v>
      </c>
      <c r="E337" s="4">
        <v>47.0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ht="12.75" customHeight="1">
      <c r="A338" s="4">
        <v>5074.0</v>
      </c>
      <c r="B338" s="4">
        <v>36134.0</v>
      </c>
      <c r="C338" s="5">
        <f>DATE(2012,12,31)-770</f>
        <v>40504</v>
      </c>
      <c r="D338" s="4" t="s">
        <v>21</v>
      </c>
      <c r="E338" s="4">
        <v>6.0</v>
      </c>
      <c r="F338" s="4">
        <v>826.9735</v>
      </c>
      <c r="G338" s="4">
        <v>0.01</v>
      </c>
      <c r="H338" s="4" t="s">
        <v>22</v>
      </c>
      <c r="I338" s="6">
        <v>-413.325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</v>
      </c>
      <c r="U338" s="5">
        <f>C338+0</f>
        <v>40504</v>
      </c>
    </row>
    <row r="339" ht="12.75" customHeight="1">
      <c r="A339" s="4">
        <v>5075.0</v>
      </c>
      <c r="B339" s="4">
        <v>36135.0</v>
      </c>
      <c r="C339" s="5">
        <f>DATE(2012,12,31)-581</f>
        <v>40693</v>
      </c>
      <c r="D339" s="4" t="s">
        <v>45</v>
      </c>
      <c r="E339" s="4">
        <v>33.0</v>
      </c>
      <c r="F339" s="4">
        <v>999.2259999999999</v>
      </c>
      <c r="G339" s="4">
        <v>0.02</v>
      </c>
      <c r="H339" s="4" t="s">
        <v>22</v>
      </c>
      <c r="I339" s="6">
        <v>381.168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9">C339+1</f>
        <v>40694</v>
      </c>
    </row>
    <row r="340" ht="12.75" customHeight="1">
      <c r="A340" s="4">
        <v>5138.0</v>
      </c>
      <c r="B340" s="4">
        <v>36644.0</v>
      </c>
      <c r="C340" s="5">
        <f>DATE(2012,12,31)-232</f>
        <v>41042</v>
      </c>
      <c r="D340" s="4" t="s">
        <v>30</v>
      </c>
      <c r="E340" s="4">
        <v>24.0</v>
      </c>
      <c r="F340" s="4">
        <v>2298.32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19.99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9"/>
        <v>41043</v>
      </c>
    </row>
    <row r="341" ht="12.75" customHeight="1">
      <c r="A341" s="4">
        <v>5139.0</v>
      </c>
      <c r="B341" s="4">
        <v>36646.0</v>
      </c>
      <c r="C341" s="5">
        <f>DATE(2012,12,31)-937</f>
        <v>40337</v>
      </c>
      <c r="D341" s="4" t="s">
        <v>63</v>
      </c>
      <c r="E341" s="4">
        <v>24.0</v>
      </c>
      <c r="F341" s="4">
        <v>1168.15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35.0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9"/>
        <v>40338</v>
      </c>
    </row>
    <row r="342" ht="12.75" customHeight="1">
      <c r="A342" s="4">
        <v>5154.0</v>
      </c>
      <c r="B342" s="4">
        <v>36707.0</v>
      </c>
      <c r="C342" s="5">
        <f>DATE(2012,12,31)-1128</f>
        <v>40146</v>
      </c>
      <c r="D342" s="4" t="s">
        <v>63</v>
      </c>
      <c r="E342" s="4">
        <v>47.0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9"/>
        <v>40147</v>
      </c>
    </row>
    <row r="343" ht="12.75" customHeight="1">
      <c r="A343" s="4">
        <v>5236.0</v>
      </c>
      <c r="B343" s="4">
        <v>37253.0</v>
      </c>
      <c r="C343" s="5">
        <f>DATE(2012,12,31)-121</f>
        <v>41153</v>
      </c>
      <c r="D343" s="4" t="s">
        <v>30</v>
      </c>
      <c r="E343" s="4">
        <v>46.0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ht="12.75" customHeight="1">
      <c r="A344" s="4">
        <v>5275.0</v>
      </c>
      <c r="B344" s="4">
        <v>37541.0</v>
      </c>
      <c r="C344" s="5">
        <f t="shared" ref="C344:C346" si="150">DATE(2012,12,31)-1039</f>
        <v>40235</v>
      </c>
      <c r="D344" s="4" t="s">
        <v>63</v>
      </c>
      <c r="E344" s="4">
        <v>3.0</v>
      </c>
      <c r="F344" s="4">
        <v>71.94</v>
      </c>
      <c r="G344" s="4">
        <v>0.01</v>
      </c>
      <c r="H344" s="4" t="s">
        <v>22</v>
      </c>
      <c r="I344" s="6">
        <v>-70.68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ht="12.75" customHeight="1">
      <c r="A345" s="4">
        <v>5276.0</v>
      </c>
      <c r="B345" s="4">
        <v>37541.0</v>
      </c>
      <c r="C345" s="5">
        <f t="shared" si="150"/>
        <v>40235</v>
      </c>
      <c r="D345" s="4" t="s">
        <v>63</v>
      </c>
      <c r="E345" s="4">
        <v>10.0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ht="12.75" customHeight="1">
      <c r="A346" s="4">
        <v>5277.0</v>
      </c>
      <c r="B346" s="4">
        <v>37541.0</v>
      </c>
      <c r="C346" s="5">
        <f t="shared" si="150"/>
        <v>40235</v>
      </c>
      <c r="D346" s="4" t="s">
        <v>63</v>
      </c>
      <c r="E346" s="4">
        <v>18.0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35.0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ht="12.75" customHeight="1">
      <c r="A347" s="4">
        <v>5286.0</v>
      </c>
      <c r="B347" s="4">
        <v>37634.0</v>
      </c>
      <c r="C347" s="5">
        <f>DATE(2012,12,31)-224</f>
        <v>41050</v>
      </c>
      <c r="D347" s="4" t="s">
        <v>63</v>
      </c>
      <c r="E347" s="4">
        <v>32.0</v>
      </c>
      <c r="F347" s="4">
        <v>368.18</v>
      </c>
      <c r="G347" s="4">
        <v>0.07</v>
      </c>
      <c r="H347" s="4" t="s">
        <v>22</v>
      </c>
      <c r="I347" s="6">
        <v>-36.78</v>
      </c>
      <c r="J347" s="4">
        <v>12.21</v>
      </c>
      <c r="K347" s="4">
        <v>4.81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0.58</v>
      </c>
      <c r="U347" s="5">
        <f t="shared" ref="U347:U348" si="151">C347+1</f>
        <v>41051</v>
      </c>
    </row>
    <row r="348" ht="12.75" customHeight="1">
      <c r="A348" s="4">
        <v>5312.0</v>
      </c>
      <c r="B348" s="4">
        <v>37793.0</v>
      </c>
      <c r="C348" s="5">
        <f>DATE(2012,12,31)-1149</f>
        <v>40125</v>
      </c>
      <c r="D348" s="4" t="s">
        <v>45</v>
      </c>
      <c r="E348" s="4">
        <v>16.0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</v>
      </c>
      <c r="U348" s="5">
        <f t="shared" si="151"/>
        <v>40126</v>
      </c>
    </row>
    <row r="349" ht="12.75" customHeight="1">
      <c r="A349" s="4">
        <v>5325.0</v>
      </c>
      <c r="B349" s="4">
        <v>37860.0</v>
      </c>
      <c r="C349" s="5">
        <f>DATE(2012,12,31)-857</f>
        <v>40417</v>
      </c>
      <c r="D349" s="4" t="s">
        <v>63</v>
      </c>
      <c r="E349" s="4">
        <v>1.0</v>
      </c>
      <c r="F349" s="4">
        <v>104.85</v>
      </c>
      <c r="G349" s="4">
        <v>0.07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ht="12.75" customHeight="1">
      <c r="A350" s="4">
        <v>5472.0</v>
      </c>
      <c r="B350" s="4">
        <v>38884.0</v>
      </c>
      <c r="C350" s="5">
        <f t="shared" ref="C350:C351" si="152">DATE(2012,12,31)-136</f>
        <v>41138</v>
      </c>
      <c r="D350" s="4" t="s">
        <v>30</v>
      </c>
      <c r="E350" s="4">
        <v>47.0</v>
      </c>
      <c r="F350" s="4">
        <v>256.0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3">C350+1</f>
        <v>41139</v>
      </c>
    </row>
    <row r="351" ht="12.75" customHeight="1">
      <c r="A351" s="4">
        <v>5473.0</v>
      </c>
      <c r="B351" s="4">
        <v>38884.0</v>
      </c>
      <c r="C351" s="5">
        <f t="shared" si="152"/>
        <v>41138</v>
      </c>
      <c r="D351" s="4" t="s">
        <v>30</v>
      </c>
      <c r="E351" s="4">
        <v>20.0</v>
      </c>
      <c r="F351" s="4">
        <v>6067.76</v>
      </c>
      <c r="G351" s="4">
        <v>0.06</v>
      </c>
      <c r="H351" s="4" t="s">
        <v>31</v>
      </c>
      <c r="I351" s="6">
        <v>-98.046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3"/>
        <v>41139</v>
      </c>
    </row>
    <row r="352" ht="12.75" customHeight="1">
      <c r="A352" s="4">
        <v>5559.0</v>
      </c>
      <c r="B352" s="4">
        <v>39364.0</v>
      </c>
      <c r="C352" s="5">
        <f t="shared" ref="C352:C353" si="154">DATE(2012,12,31)-52</f>
        <v>41222</v>
      </c>
      <c r="D352" s="4" t="s">
        <v>30</v>
      </c>
      <c r="E352" s="4">
        <v>29.0</v>
      </c>
      <c r="F352" s="4">
        <v>2754.93</v>
      </c>
      <c r="G352" s="4">
        <v>0.06</v>
      </c>
      <c r="H352" s="4" t="s">
        <v>22</v>
      </c>
      <c r="I352" s="6">
        <v>-1.329999999999984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3"/>
        <v>41223</v>
      </c>
    </row>
    <row r="353" ht="12.75" customHeight="1">
      <c r="A353" s="4">
        <v>5560.0</v>
      </c>
      <c r="B353" s="4">
        <v>39364.0</v>
      </c>
      <c r="C353" s="5">
        <f t="shared" si="154"/>
        <v>41222</v>
      </c>
      <c r="D353" s="4" t="s">
        <v>30</v>
      </c>
      <c r="E353" s="4">
        <v>15.0</v>
      </c>
      <c r="F353" s="4">
        <v>19417.55</v>
      </c>
      <c r="G353" s="4">
        <v>0.03</v>
      </c>
      <c r="H353" s="4" t="s">
        <v>22</v>
      </c>
      <c r="I353" s="6">
        <v>8417.567000000001</v>
      </c>
      <c r="J353" s="4">
        <v>1270.99</v>
      </c>
      <c r="K353" s="4">
        <v>19.99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ht="12.75" customHeight="1">
      <c r="A354" s="4">
        <v>5569.0</v>
      </c>
      <c r="B354" s="4">
        <v>39457.0</v>
      </c>
      <c r="C354" s="5">
        <f>DATE(2012,12,31)-578</f>
        <v>40696</v>
      </c>
      <c r="D354" s="4" t="s">
        <v>78</v>
      </c>
      <c r="E354" s="4">
        <v>40.0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ht="12.75" customHeight="1">
      <c r="A355" s="4">
        <v>5598.0</v>
      </c>
      <c r="B355" s="4">
        <v>39683.0</v>
      </c>
      <c r="C355" s="5">
        <f t="shared" ref="C355:C358" si="155">DATE(2012,12,31)-509</f>
        <v>40765</v>
      </c>
      <c r="D355" s="4" t="s">
        <v>30</v>
      </c>
      <c r="E355" s="4">
        <v>31.0</v>
      </c>
      <c r="F355" s="4">
        <v>615.58</v>
      </c>
      <c r="G355" s="4">
        <v>0.04</v>
      </c>
      <c r="H355" s="4" t="s">
        <v>22</v>
      </c>
      <c r="I355" s="6">
        <v>168.0025</v>
      </c>
      <c r="J355" s="4">
        <v>18.99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ht="12.75" customHeight="1">
      <c r="A356" s="4">
        <v>5599.0</v>
      </c>
      <c r="B356" s="4">
        <v>39683.0</v>
      </c>
      <c r="C356" s="5">
        <f t="shared" si="155"/>
        <v>40765</v>
      </c>
      <c r="D356" s="4" t="s">
        <v>30</v>
      </c>
      <c r="E356" s="4">
        <v>41.0</v>
      </c>
      <c r="F356" s="4">
        <v>8387.1</v>
      </c>
      <c r="G356" s="4">
        <v>0.1</v>
      </c>
      <c r="H356" s="4" t="s">
        <v>22</v>
      </c>
      <c r="I356" s="6">
        <v>2113.95</v>
      </c>
      <c r="J356" s="4">
        <v>218.08</v>
      </c>
      <c r="K356" s="4">
        <v>18.06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0.57</v>
      </c>
      <c r="U356" s="5">
        <f t="shared" ref="U356:U357" si="156">C356+1</f>
        <v>40766</v>
      </c>
    </row>
    <row r="357" ht="12.75" customHeight="1">
      <c r="A357" s="4">
        <v>5600.0</v>
      </c>
      <c r="B357" s="4">
        <v>39683.0</v>
      </c>
      <c r="C357" s="5">
        <f t="shared" si="155"/>
        <v>40765</v>
      </c>
      <c r="D357" s="4" t="s">
        <v>30</v>
      </c>
      <c r="E357" s="4">
        <v>6.0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20.24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6"/>
        <v>40766</v>
      </c>
    </row>
    <row r="358" ht="12.75" customHeight="1">
      <c r="A358" s="4">
        <v>5601.0</v>
      </c>
      <c r="B358" s="4">
        <v>39683.0</v>
      </c>
      <c r="C358" s="5">
        <f t="shared" si="155"/>
        <v>40765</v>
      </c>
      <c r="D358" s="4" t="s">
        <v>30</v>
      </c>
      <c r="E358" s="4">
        <v>30.0</v>
      </c>
      <c r="F358" s="4">
        <v>68.14</v>
      </c>
      <c r="G358" s="4">
        <v>0.0</v>
      </c>
      <c r="H358" s="4" t="s">
        <v>22</v>
      </c>
      <c r="I358" s="6">
        <v>6.37</v>
      </c>
      <c r="J358" s="4">
        <v>2.18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ht="12.75" customHeight="1">
      <c r="A359" s="4">
        <v>5628.0</v>
      </c>
      <c r="B359" s="4">
        <v>39846.0</v>
      </c>
      <c r="C359" s="5">
        <f>DATE(2012,12,31)-1403</f>
        <v>39871</v>
      </c>
      <c r="D359" s="4" t="s">
        <v>21</v>
      </c>
      <c r="E359" s="4">
        <v>14.0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ht="12.75" customHeight="1">
      <c r="A360" s="4">
        <v>5659.0</v>
      </c>
      <c r="B360" s="4">
        <v>40036.0</v>
      </c>
      <c r="C360" s="5">
        <f>DATE(2012,12,31)-938</f>
        <v>40336</v>
      </c>
      <c r="D360" s="4" t="s">
        <v>45</v>
      </c>
      <c r="E360" s="4">
        <v>10.0</v>
      </c>
      <c r="F360" s="4">
        <v>568.3355</v>
      </c>
      <c r="G360" s="4">
        <v>0.02</v>
      </c>
      <c r="H360" s="4" t="s">
        <v>22</v>
      </c>
      <c r="I360" s="6">
        <v>-147.356</v>
      </c>
      <c r="J360" s="4">
        <v>65.99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0.58</v>
      </c>
      <c r="U360" s="5">
        <f>C360+1</f>
        <v>40337</v>
      </c>
    </row>
    <row r="361" ht="12.75" customHeight="1">
      <c r="A361" s="4">
        <v>5662.0</v>
      </c>
      <c r="B361" s="4">
        <v>40067.0</v>
      </c>
      <c r="C361" s="5">
        <f>DATE(2012,12,31)-318</f>
        <v>40956</v>
      </c>
      <c r="D361" s="4" t="s">
        <v>21</v>
      </c>
      <c r="E361" s="4">
        <v>38.0</v>
      </c>
      <c r="F361" s="4">
        <v>2157.3085</v>
      </c>
      <c r="G361" s="4">
        <v>0.0</v>
      </c>
      <c r="H361" s="4" t="s">
        <v>22</v>
      </c>
      <c r="I361" s="6">
        <v>519.2460000000001</v>
      </c>
      <c r="J361" s="4">
        <v>65.99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0.57</v>
      </c>
      <c r="U361" s="5">
        <f>C361+2</f>
        <v>40958</v>
      </c>
    </row>
    <row r="362" ht="12.75" customHeight="1">
      <c r="A362" s="4">
        <v>5675.0</v>
      </c>
      <c r="B362" s="4">
        <v>40132.0</v>
      </c>
      <c r="C362" s="5">
        <f t="shared" ref="C362:C364" si="157">DATE(2012,12,31)-312</f>
        <v>40962</v>
      </c>
      <c r="D362" s="4" t="s">
        <v>21</v>
      </c>
      <c r="E362" s="4">
        <v>26.0</v>
      </c>
      <c r="F362" s="4">
        <v>1363.0</v>
      </c>
      <c r="G362" s="4">
        <v>0.04</v>
      </c>
      <c r="H362" s="4" t="s">
        <v>31</v>
      </c>
      <c r="I362" s="6">
        <v>149.83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</v>
      </c>
      <c r="U362" s="5">
        <f t="shared" ref="U362:U363" si="158">C362+6</f>
        <v>40968</v>
      </c>
    </row>
    <row r="363" ht="12.75" customHeight="1">
      <c r="A363" s="4">
        <v>5676.0</v>
      </c>
      <c r="B363" s="4">
        <v>40132.0</v>
      </c>
      <c r="C363" s="5">
        <f t="shared" si="157"/>
        <v>40962</v>
      </c>
      <c r="D363" s="4" t="s">
        <v>21</v>
      </c>
      <c r="E363" s="4">
        <v>36.0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8"/>
        <v>40968</v>
      </c>
    </row>
    <row r="364" ht="12.75" customHeight="1">
      <c r="A364" s="4">
        <v>5677.0</v>
      </c>
      <c r="B364" s="4">
        <v>40132.0</v>
      </c>
      <c r="C364" s="5">
        <f t="shared" si="157"/>
        <v>40962</v>
      </c>
      <c r="D364" s="4" t="s">
        <v>21</v>
      </c>
      <c r="E364" s="4">
        <v>16.0</v>
      </c>
      <c r="F364" s="4">
        <v>347.47</v>
      </c>
      <c r="G364" s="4">
        <v>0.09</v>
      </c>
      <c r="H364" s="4" t="s">
        <v>22</v>
      </c>
      <c r="I364" s="6">
        <v>-86.204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ht="12.75" customHeight="1">
      <c r="A365" s="4">
        <v>5681.0</v>
      </c>
      <c r="B365" s="4">
        <v>40160.0</v>
      </c>
      <c r="C365" s="5">
        <f>DATE(2012,12,31)-1173</f>
        <v>40101</v>
      </c>
      <c r="D365" s="4" t="s">
        <v>78</v>
      </c>
      <c r="E365" s="4">
        <v>23.0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9">C365+1</f>
        <v>40102</v>
      </c>
    </row>
    <row r="366" ht="12.75" customHeight="1">
      <c r="A366" s="4">
        <v>5719.0</v>
      </c>
      <c r="B366" s="4">
        <v>40518.0</v>
      </c>
      <c r="C366" s="5">
        <f>DATE(2012,12,31)-1389</f>
        <v>39885</v>
      </c>
      <c r="D366" s="4" t="s">
        <v>78</v>
      </c>
      <c r="E366" s="4">
        <v>3.0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9"/>
        <v>39886</v>
      </c>
    </row>
    <row r="367" ht="12.75" customHeight="1">
      <c r="A367" s="4">
        <v>5746.0</v>
      </c>
      <c r="B367" s="4">
        <v>40804.0</v>
      </c>
      <c r="C367" s="5">
        <f>DATE(2012,12,31)-1025</f>
        <v>40249</v>
      </c>
      <c r="D367" s="4" t="s">
        <v>63</v>
      </c>
      <c r="E367" s="4">
        <v>36.0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60">C367+2</f>
        <v>40251</v>
      </c>
    </row>
    <row r="368" ht="12.75" customHeight="1">
      <c r="A368" s="4">
        <v>5764.0</v>
      </c>
      <c r="B368" s="4">
        <v>40902.0</v>
      </c>
      <c r="C368" s="5">
        <f>DATE(2012,12,31)-1273</f>
        <v>40001</v>
      </c>
      <c r="D368" s="4" t="s">
        <v>21</v>
      </c>
      <c r="E368" s="4">
        <v>25.0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60"/>
        <v>40003</v>
      </c>
    </row>
    <row r="369" ht="12.75" customHeight="1">
      <c r="A369" s="4">
        <v>5790.0</v>
      </c>
      <c r="B369" s="4">
        <v>41063.0</v>
      </c>
      <c r="C369" s="5">
        <f t="shared" ref="C369:C371" si="161">DATE(2012,12,31)-40</f>
        <v>41234</v>
      </c>
      <c r="D369" s="4" t="s">
        <v>21</v>
      </c>
      <c r="E369" s="4">
        <v>22.0</v>
      </c>
      <c r="F369" s="4">
        <v>483.96</v>
      </c>
      <c r="G369" s="4">
        <v>0.01</v>
      </c>
      <c r="H369" s="4" t="s">
        <v>22</v>
      </c>
      <c r="I369" s="6">
        <v>-34.09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60"/>
        <v>41236</v>
      </c>
    </row>
    <row r="370" ht="12.75" customHeight="1">
      <c r="A370" s="4">
        <v>5791.0</v>
      </c>
      <c r="B370" s="4">
        <v>41063.0</v>
      </c>
      <c r="C370" s="5">
        <f t="shared" si="161"/>
        <v>41234</v>
      </c>
      <c r="D370" s="4" t="s">
        <v>21</v>
      </c>
      <c r="E370" s="4">
        <v>10.0</v>
      </c>
      <c r="F370" s="4">
        <v>308.36299999999994</v>
      </c>
      <c r="G370" s="4">
        <v>0.04</v>
      </c>
      <c r="H370" s="4" t="s">
        <v>22</v>
      </c>
      <c r="I370" s="6">
        <v>42.27299999999995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2">C370+7</f>
        <v>41241</v>
      </c>
    </row>
    <row r="371" ht="12.75" customHeight="1">
      <c r="A371" s="4">
        <v>5792.0</v>
      </c>
      <c r="B371" s="4">
        <v>41063.0</v>
      </c>
      <c r="C371" s="5">
        <f t="shared" si="161"/>
        <v>41234</v>
      </c>
      <c r="D371" s="4" t="s">
        <v>21</v>
      </c>
      <c r="E371" s="4">
        <v>26.0</v>
      </c>
      <c r="F371" s="4">
        <v>1911.4035</v>
      </c>
      <c r="G371" s="4">
        <v>0.06</v>
      </c>
      <c r="H371" s="4" t="s">
        <v>22</v>
      </c>
      <c r="I371" s="6">
        <v>822.888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2"/>
        <v>41241</v>
      </c>
    </row>
    <row r="372" ht="12.75" customHeight="1">
      <c r="A372" s="4">
        <v>5802.0</v>
      </c>
      <c r="B372" s="4">
        <v>41153.0</v>
      </c>
      <c r="C372" s="5">
        <f>DATE(2012,12,31)-1400</f>
        <v>39874</v>
      </c>
      <c r="D372" s="4" t="s">
        <v>63</v>
      </c>
      <c r="E372" s="4">
        <v>29.0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4.0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ht="12.75" customHeight="1">
      <c r="A373" s="4">
        <v>5805.0</v>
      </c>
      <c r="B373" s="4">
        <v>41184.0</v>
      </c>
      <c r="C373" s="5">
        <f>DATE(2012,12,31)-466</f>
        <v>40808</v>
      </c>
      <c r="D373" s="4" t="s">
        <v>30</v>
      </c>
      <c r="E373" s="4">
        <v>7.0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3">C373+2</f>
        <v>40810</v>
      </c>
    </row>
    <row r="374" ht="12.75" customHeight="1">
      <c r="A374" s="4">
        <v>5835.0</v>
      </c>
      <c r="B374" s="4">
        <v>41409.0</v>
      </c>
      <c r="C374" s="5">
        <f>DATE(2012,12,31)-529</f>
        <v>40745</v>
      </c>
      <c r="D374" s="4" t="s">
        <v>45</v>
      </c>
      <c r="E374" s="4">
        <v>1.0</v>
      </c>
      <c r="F374" s="4">
        <v>18.92</v>
      </c>
      <c r="G374" s="4">
        <v>0.0</v>
      </c>
      <c r="H374" s="4" t="s">
        <v>22</v>
      </c>
      <c r="I374" s="6">
        <v>-18.2505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3"/>
        <v>40747</v>
      </c>
    </row>
    <row r="375" ht="12.75" customHeight="1">
      <c r="A375" s="4">
        <v>5877.0</v>
      </c>
      <c r="B375" s="4">
        <v>41696.0</v>
      </c>
      <c r="C375" s="5">
        <f>DATE(2012,12,31)-1267</f>
        <v>40007</v>
      </c>
      <c r="D375" s="4" t="s">
        <v>45</v>
      </c>
      <c r="E375" s="4">
        <v>45.0</v>
      </c>
      <c r="F375" s="4">
        <v>237.28</v>
      </c>
      <c r="G375" s="4">
        <v>0.03</v>
      </c>
      <c r="H375" s="4" t="s">
        <v>56</v>
      </c>
      <c r="I375" s="6">
        <v>-2088.68</v>
      </c>
      <c r="J375" s="4">
        <v>4.48</v>
      </c>
      <c r="K375" s="4">
        <v>49.0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3"/>
        <v>40009</v>
      </c>
    </row>
    <row r="376" ht="12.75" customHeight="1">
      <c r="A376" s="4">
        <v>5944.0</v>
      </c>
      <c r="B376" s="4">
        <v>42209.0</v>
      </c>
      <c r="C376" s="5">
        <f t="shared" ref="C376:C377" si="164">DATE(2012,12,31)-1008</f>
        <v>40266</v>
      </c>
      <c r="D376" s="4" t="s">
        <v>30</v>
      </c>
      <c r="E376" s="4">
        <v>5.0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0.58</v>
      </c>
      <c r="U376" s="5">
        <f>C376+0</f>
        <v>40266</v>
      </c>
    </row>
    <row r="377" ht="12.75" customHeight="1">
      <c r="A377" s="4">
        <v>5945.0</v>
      </c>
      <c r="B377" s="4">
        <v>42209.0</v>
      </c>
      <c r="C377" s="5">
        <f t="shared" si="164"/>
        <v>40266</v>
      </c>
      <c r="D377" s="4" t="s">
        <v>30</v>
      </c>
      <c r="E377" s="4">
        <v>31.0</v>
      </c>
      <c r="F377" s="4">
        <v>8901.78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ht="12.75" customHeight="1">
      <c r="A378" s="4">
        <v>6007.0</v>
      </c>
      <c r="B378" s="4">
        <v>42561.0</v>
      </c>
      <c r="C378" s="5">
        <f>DATE(2012,12,31)-1059</f>
        <v>40215</v>
      </c>
      <c r="D378" s="4" t="s">
        <v>21</v>
      </c>
      <c r="E378" s="4">
        <v>15.0</v>
      </c>
      <c r="F378" s="4">
        <v>1062.9589999999998</v>
      </c>
      <c r="G378" s="4">
        <v>0.07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ht="12.75" customHeight="1">
      <c r="A379" s="4">
        <v>6009.0</v>
      </c>
      <c r="B379" s="4">
        <v>42564.0</v>
      </c>
      <c r="C379" s="5">
        <f>DATE(2012,12,31)-110</f>
        <v>41164</v>
      </c>
      <c r="D379" s="4" t="s">
        <v>21</v>
      </c>
      <c r="E379" s="4">
        <v>35.0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0.58</v>
      </c>
      <c r="U379" s="5">
        <f>C379+7</f>
        <v>41171</v>
      </c>
    </row>
    <row r="380" ht="12.75" customHeight="1">
      <c r="A380" s="4">
        <v>6029.0</v>
      </c>
      <c r="B380" s="4">
        <v>42695.0</v>
      </c>
      <c r="C380" s="5">
        <f>DATE(2012,12,31)-740</f>
        <v>40534</v>
      </c>
      <c r="D380" s="4" t="s">
        <v>45</v>
      </c>
      <c r="E380" s="4">
        <v>12.0</v>
      </c>
      <c r="F380" s="4">
        <v>710.328</v>
      </c>
      <c r="G380" s="4">
        <v>0.02</v>
      </c>
      <c r="H380" s="4" t="s">
        <v>22</v>
      </c>
      <c r="I380" s="6">
        <v>-10.295999999999992</v>
      </c>
      <c r="J380" s="4">
        <v>65.99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0.57</v>
      </c>
      <c r="U380" s="5">
        <f t="shared" ref="U380:U381" si="165">C380+2</f>
        <v>40536</v>
      </c>
    </row>
    <row r="381" ht="12.75" customHeight="1">
      <c r="A381" s="4">
        <v>6067.0</v>
      </c>
      <c r="B381" s="4">
        <v>42981.0</v>
      </c>
      <c r="C381" s="5">
        <f>DATE(2012,12,31)-1311</f>
        <v>39963</v>
      </c>
      <c r="D381" s="4" t="s">
        <v>78</v>
      </c>
      <c r="E381" s="4">
        <v>4.0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19.99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5"/>
        <v>39965</v>
      </c>
    </row>
    <row r="382" ht="12.75" customHeight="1">
      <c r="A382" s="4">
        <v>6082.0</v>
      </c>
      <c r="B382" s="4">
        <v>43109.0</v>
      </c>
      <c r="C382" s="5">
        <f t="shared" ref="C382:C384" si="166">DATE(2012,12,31)-10</f>
        <v>41264</v>
      </c>
      <c r="D382" s="4" t="s">
        <v>78</v>
      </c>
      <c r="E382" s="4">
        <v>19.0</v>
      </c>
      <c r="F382" s="4">
        <v>281.84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7">C382+1</f>
        <v>41265</v>
      </c>
    </row>
    <row r="383" ht="12.75" customHeight="1">
      <c r="A383" s="4">
        <v>6083.0</v>
      </c>
      <c r="B383" s="4">
        <v>43109.0</v>
      </c>
      <c r="C383" s="5">
        <f t="shared" si="166"/>
        <v>41264</v>
      </c>
      <c r="D383" s="4" t="s">
        <v>78</v>
      </c>
      <c r="E383" s="4">
        <v>25.0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7"/>
        <v>41265</v>
      </c>
    </row>
    <row r="384" ht="12.75" customHeight="1">
      <c r="A384" s="4">
        <v>6084.0</v>
      </c>
      <c r="B384" s="4">
        <v>43109.0</v>
      </c>
      <c r="C384" s="5">
        <f t="shared" si="166"/>
        <v>41264</v>
      </c>
      <c r="D384" s="4" t="s">
        <v>78</v>
      </c>
      <c r="E384" s="4">
        <v>10.0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7"/>
        <v>41265</v>
      </c>
    </row>
    <row r="385" ht="12.75" customHeight="1">
      <c r="A385" s="4">
        <v>6097.0</v>
      </c>
      <c r="B385" s="4">
        <v>43203.0</v>
      </c>
      <c r="C385" s="5">
        <f>DATE(2012,12,31)-321</f>
        <v>40953</v>
      </c>
      <c r="D385" s="4" t="s">
        <v>45</v>
      </c>
      <c r="E385" s="4">
        <v>32.0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8">C385+2</f>
        <v>40955</v>
      </c>
    </row>
    <row r="386" ht="12.75" customHeight="1">
      <c r="A386" s="4">
        <v>6103.0</v>
      </c>
      <c r="B386" s="4">
        <v>43236.0</v>
      </c>
      <c r="C386" s="5">
        <f>DATE(2012,12,31)-912</f>
        <v>40362</v>
      </c>
      <c r="D386" s="4" t="s">
        <v>45</v>
      </c>
      <c r="E386" s="4">
        <v>20.0</v>
      </c>
      <c r="F386" s="4">
        <v>205.33</v>
      </c>
      <c r="G386" s="4">
        <v>0.0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8"/>
        <v>40364</v>
      </c>
    </row>
    <row r="387" ht="12.75" customHeight="1">
      <c r="A387" s="4">
        <v>6105.0</v>
      </c>
      <c r="B387" s="4">
        <v>43267.0</v>
      </c>
      <c r="C387" s="5">
        <f>DATE(2012,12,31)-595</f>
        <v>40679</v>
      </c>
      <c r="D387" s="4" t="s">
        <v>78</v>
      </c>
      <c r="E387" s="4">
        <v>17.0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8"/>
        <v>40681</v>
      </c>
    </row>
    <row r="388" ht="12.75" customHeight="1">
      <c r="A388" s="4">
        <v>6118.0</v>
      </c>
      <c r="B388" s="4">
        <v>43329.0</v>
      </c>
      <c r="C388" s="5">
        <f>DATE(2012,12,31)-1030</f>
        <v>40244</v>
      </c>
      <c r="D388" s="4" t="s">
        <v>63</v>
      </c>
      <c r="E388" s="4">
        <v>42.0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0.57</v>
      </c>
      <c r="U388" s="5">
        <f>C388+3</f>
        <v>40247</v>
      </c>
    </row>
    <row r="389" ht="12.75" customHeight="1">
      <c r="A389" s="4">
        <v>6119.0</v>
      </c>
      <c r="B389" s="4">
        <v>43330.0</v>
      </c>
      <c r="C389" s="5">
        <f>DATE(2012,12,31)-1344</f>
        <v>39930</v>
      </c>
      <c r="D389" s="4" t="s">
        <v>45</v>
      </c>
      <c r="E389" s="4">
        <v>40.0</v>
      </c>
      <c r="F389" s="4">
        <v>2205.7585</v>
      </c>
      <c r="G389" s="4">
        <v>0.03</v>
      </c>
      <c r="H389" s="4" t="s">
        <v>22</v>
      </c>
      <c r="I389" s="6">
        <v>337.041</v>
      </c>
      <c r="J389" s="4">
        <v>65.99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0.58</v>
      </c>
      <c r="U389" s="5">
        <f>C389+1</f>
        <v>39931</v>
      </c>
    </row>
    <row r="390" ht="12.75" customHeight="1">
      <c r="A390" s="4">
        <v>6125.0</v>
      </c>
      <c r="B390" s="4">
        <v>43364.0</v>
      </c>
      <c r="C390" s="5">
        <f>DATE(2012,12,31)-268</f>
        <v>41006</v>
      </c>
      <c r="D390" s="4" t="s">
        <v>30</v>
      </c>
      <c r="E390" s="4">
        <v>21.0</v>
      </c>
      <c r="F390" s="4">
        <v>524.2</v>
      </c>
      <c r="G390" s="4">
        <v>0.04</v>
      </c>
      <c r="H390" s="4" t="s">
        <v>22</v>
      </c>
      <c r="I390" s="6">
        <v>158.98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ht="12.75" customHeight="1">
      <c r="A391" s="4">
        <v>6129.0</v>
      </c>
      <c r="B391" s="4">
        <v>43392.0</v>
      </c>
      <c r="C391" s="5">
        <f>DATE(2012,12,31)-731</f>
        <v>40543</v>
      </c>
      <c r="D391" s="4" t="s">
        <v>63</v>
      </c>
      <c r="E391" s="4">
        <v>39.0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19.99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ht="12.75" customHeight="1">
      <c r="A392" s="4">
        <v>6176.0</v>
      </c>
      <c r="B392" s="4">
        <v>43781.0</v>
      </c>
      <c r="C392" s="5">
        <f t="shared" ref="C392:C393" si="169">DATE(2012,12,31)-1063</f>
        <v>40211</v>
      </c>
      <c r="D392" s="4" t="s">
        <v>45</v>
      </c>
      <c r="E392" s="4">
        <v>45.0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ht="12.75" customHeight="1">
      <c r="A393" s="4">
        <v>6177.0</v>
      </c>
      <c r="B393" s="4">
        <v>43781.0</v>
      </c>
      <c r="C393" s="5">
        <f t="shared" si="169"/>
        <v>40211</v>
      </c>
      <c r="D393" s="4" t="s">
        <v>45</v>
      </c>
      <c r="E393" s="4">
        <v>21.0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70">C393+1</f>
        <v>40212</v>
      </c>
    </row>
    <row r="394" ht="12.75" customHeight="1">
      <c r="A394" s="4">
        <v>6226.0</v>
      </c>
      <c r="B394" s="4">
        <v>44071.0</v>
      </c>
      <c r="C394" s="5">
        <f t="shared" ref="C394:C395" si="171">DATE(2012,12,31)-260</f>
        <v>41014</v>
      </c>
      <c r="D394" s="4" t="s">
        <v>45</v>
      </c>
      <c r="E394" s="4">
        <v>19.0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70"/>
        <v>41015</v>
      </c>
    </row>
    <row r="395" ht="12.75" customHeight="1">
      <c r="A395" s="4">
        <v>6227.0</v>
      </c>
      <c r="B395" s="4">
        <v>44071.0</v>
      </c>
      <c r="C395" s="5">
        <f t="shared" si="171"/>
        <v>41014</v>
      </c>
      <c r="D395" s="4" t="s">
        <v>45</v>
      </c>
      <c r="E395" s="4">
        <v>20.0</v>
      </c>
      <c r="F395" s="4">
        <v>1163.123</v>
      </c>
      <c r="G395" s="4">
        <v>0.0</v>
      </c>
      <c r="H395" s="4" t="s">
        <v>22</v>
      </c>
      <c r="I395" s="6">
        <v>83.835</v>
      </c>
      <c r="J395" s="4">
        <v>65.99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0.58</v>
      </c>
      <c r="U395" s="5">
        <f t="shared" si="170"/>
        <v>41015</v>
      </c>
    </row>
    <row r="396" ht="12.75" customHeight="1">
      <c r="A396" s="4">
        <v>6290.0</v>
      </c>
      <c r="B396" s="4">
        <v>44519.0</v>
      </c>
      <c r="C396" s="5">
        <f t="shared" ref="C396:C398" si="172">DATE(2012,12,31)-957</f>
        <v>40317</v>
      </c>
      <c r="D396" s="4" t="s">
        <v>30</v>
      </c>
      <c r="E396" s="4">
        <v>48.0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70"/>
        <v>40318</v>
      </c>
    </row>
    <row r="397" ht="12.75" customHeight="1">
      <c r="A397" s="4">
        <v>6291.0</v>
      </c>
      <c r="B397" s="4">
        <v>44519.0</v>
      </c>
      <c r="C397" s="5">
        <f t="shared" si="172"/>
        <v>40317</v>
      </c>
      <c r="D397" s="4" t="s">
        <v>30</v>
      </c>
      <c r="E397" s="4">
        <v>34.0</v>
      </c>
      <c r="F397" s="4">
        <v>365.77</v>
      </c>
      <c r="G397" s="4">
        <v>0.07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70"/>
        <v>40318</v>
      </c>
    </row>
    <row r="398" ht="12.75" customHeight="1">
      <c r="A398" s="4">
        <v>6292.0</v>
      </c>
      <c r="B398" s="4">
        <v>44519.0</v>
      </c>
      <c r="C398" s="5">
        <f t="shared" si="172"/>
        <v>40317</v>
      </c>
      <c r="D398" s="4" t="s">
        <v>30</v>
      </c>
      <c r="E398" s="4">
        <v>34.0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</v>
      </c>
      <c r="U398" s="5">
        <f t="shared" si="170"/>
        <v>40318</v>
      </c>
    </row>
    <row r="399" ht="12.75" customHeight="1">
      <c r="A399" s="4">
        <v>6319.0</v>
      </c>
      <c r="B399" s="4">
        <v>44708.0</v>
      </c>
      <c r="C399" s="5">
        <f>DATE(2012,12,31)-1253</f>
        <v>40021</v>
      </c>
      <c r="D399" s="4" t="s">
        <v>45</v>
      </c>
      <c r="E399" s="4">
        <v>15.0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70"/>
        <v>40022</v>
      </c>
    </row>
    <row r="400" ht="12.75" customHeight="1">
      <c r="A400" s="4">
        <v>6324.0</v>
      </c>
      <c r="B400" s="4">
        <v>44772.0</v>
      </c>
      <c r="C400" s="5">
        <f>DATE(2012,12,31)-1371</f>
        <v>39903</v>
      </c>
      <c r="D400" s="4" t="s">
        <v>45</v>
      </c>
      <c r="E400" s="4">
        <v>1.0</v>
      </c>
      <c r="F400" s="4">
        <v>54.077</v>
      </c>
      <c r="G400" s="4">
        <v>0.07</v>
      </c>
      <c r="H400" s="4" t="s">
        <v>56</v>
      </c>
      <c r="I400" s="6">
        <v>-232.991</v>
      </c>
      <c r="J400" s="4">
        <v>55.99</v>
      </c>
      <c r="K400" s="4">
        <v>5.0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3">C400+2</f>
        <v>39905</v>
      </c>
    </row>
    <row r="401" ht="12.75" customHeight="1">
      <c r="A401" s="4">
        <v>6330.0</v>
      </c>
      <c r="B401" s="4">
        <v>44839.0</v>
      </c>
      <c r="C401" s="5">
        <f>DATE(2012,12,31)-203</f>
        <v>41071</v>
      </c>
      <c r="D401" s="4" t="s">
        <v>78</v>
      </c>
      <c r="E401" s="4">
        <v>27.0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33.98</v>
      </c>
      <c r="K401" s="4">
        <v>19.99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</v>
      </c>
      <c r="U401" s="5">
        <f t="shared" si="173"/>
        <v>41073</v>
      </c>
    </row>
    <row r="402" ht="12.75" customHeight="1">
      <c r="A402" s="4">
        <v>6372.0</v>
      </c>
      <c r="B402" s="4">
        <v>45217.0</v>
      </c>
      <c r="C402" s="5">
        <f>DATE(2012,12,31)-852</f>
        <v>40422</v>
      </c>
      <c r="D402" s="4" t="s">
        <v>45</v>
      </c>
      <c r="E402" s="4">
        <v>40.0</v>
      </c>
      <c r="F402" s="4">
        <v>6789.9275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ht="12.75" customHeight="1">
      <c r="A403" s="4">
        <v>6402.0</v>
      </c>
      <c r="B403" s="4">
        <v>45440.0</v>
      </c>
      <c r="C403" s="5">
        <f>DATE(2012,12,31)-144</f>
        <v>41130</v>
      </c>
      <c r="D403" s="4" t="s">
        <v>78</v>
      </c>
      <c r="E403" s="4">
        <v>5.0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4">C403+2</f>
        <v>41132</v>
      </c>
    </row>
    <row r="404" ht="12.75" customHeight="1">
      <c r="A404" s="4">
        <v>6439.0</v>
      </c>
      <c r="B404" s="4">
        <v>45766.0</v>
      </c>
      <c r="C404" s="5">
        <f t="shared" ref="C404:C405" si="175">DATE(2012,12,31)-969</f>
        <v>40305</v>
      </c>
      <c r="D404" s="4" t="s">
        <v>30</v>
      </c>
      <c r="E404" s="4">
        <v>37.0</v>
      </c>
      <c r="F404" s="4">
        <v>2522.21</v>
      </c>
      <c r="G404" s="4">
        <v>0.0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4"/>
        <v>40307</v>
      </c>
    </row>
    <row r="405" ht="12.75" customHeight="1">
      <c r="A405" s="4">
        <v>6440.0</v>
      </c>
      <c r="B405" s="4">
        <v>45766.0</v>
      </c>
      <c r="C405" s="5">
        <f t="shared" si="175"/>
        <v>40305</v>
      </c>
      <c r="D405" s="4" t="s">
        <v>30</v>
      </c>
      <c r="E405" s="4">
        <v>28.0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ht="12.75" customHeight="1">
      <c r="A406" s="4">
        <v>6446.0</v>
      </c>
      <c r="B406" s="4">
        <v>45861.0</v>
      </c>
      <c r="C406" s="5">
        <f>DATE(2012,12,31)-494</f>
        <v>40780</v>
      </c>
      <c r="D406" s="4" t="s">
        <v>63</v>
      </c>
      <c r="E406" s="4">
        <v>39.0</v>
      </c>
      <c r="F406" s="4">
        <v>680.8584999999999</v>
      </c>
      <c r="G406" s="4">
        <v>0.05</v>
      </c>
      <c r="H406" s="4" t="s">
        <v>22</v>
      </c>
      <c r="I406" s="6">
        <v>319.104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ht="12.75" customHeight="1">
      <c r="A407" s="4">
        <v>6450.0</v>
      </c>
      <c r="B407" s="4">
        <v>45957.0</v>
      </c>
      <c r="C407" s="5">
        <f t="shared" ref="C407:C408" si="176">DATE(2012,12,31)-832</f>
        <v>40442</v>
      </c>
      <c r="D407" s="4" t="s">
        <v>78</v>
      </c>
      <c r="E407" s="4">
        <v>20.0</v>
      </c>
      <c r="F407" s="4">
        <v>759.84</v>
      </c>
      <c r="G407" s="4">
        <v>0.06</v>
      </c>
      <c r="H407" s="4" t="s">
        <v>22</v>
      </c>
      <c r="I407" s="6">
        <v>162.83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7">C407+2</f>
        <v>40444</v>
      </c>
    </row>
    <row r="408" ht="12.75" customHeight="1">
      <c r="A408" s="4">
        <v>6451.0</v>
      </c>
      <c r="B408" s="4">
        <v>45957.0</v>
      </c>
      <c r="C408" s="5">
        <f t="shared" si="176"/>
        <v>40442</v>
      </c>
      <c r="D408" s="4" t="s">
        <v>78</v>
      </c>
      <c r="E408" s="4">
        <v>19.0</v>
      </c>
      <c r="F408" s="4">
        <v>147.39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7"/>
        <v>40444</v>
      </c>
    </row>
    <row r="409" ht="12.75" customHeight="1">
      <c r="A409" s="4">
        <v>6591.0</v>
      </c>
      <c r="B409" s="4">
        <v>46912.0</v>
      </c>
      <c r="C409" s="5">
        <f>DATE(2012,12,31)-184</f>
        <v>41090</v>
      </c>
      <c r="D409" s="4" t="s">
        <v>21</v>
      </c>
      <c r="E409" s="4">
        <v>5.0</v>
      </c>
      <c r="F409" s="4">
        <v>294.0</v>
      </c>
      <c r="G409" s="4">
        <v>0.0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8">C409+0</f>
        <v>41090</v>
      </c>
    </row>
    <row r="410" ht="12.75" customHeight="1">
      <c r="A410" s="4">
        <v>6603.0</v>
      </c>
      <c r="B410" s="4">
        <v>46980.0</v>
      </c>
      <c r="C410" s="5">
        <f>DATE(2012,12,31)-714</f>
        <v>40560</v>
      </c>
      <c r="D410" s="4" t="s">
        <v>78</v>
      </c>
      <c r="E410" s="4">
        <v>34.0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8"/>
        <v>40560</v>
      </c>
    </row>
    <row r="411" ht="12.75" customHeight="1">
      <c r="A411" s="4">
        <v>6665.0</v>
      </c>
      <c r="B411" s="4">
        <v>47460.0</v>
      </c>
      <c r="C411" s="5">
        <f>DATE(2012,12,31)-813</f>
        <v>40461</v>
      </c>
      <c r="D411" s="4" t="s">
        <v>78</v>
      </c>
      <c r="E411" s="4">
        <v>12.0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9">C411+2</f>
        <v>40463</v>
      </c>
    </row>
    <row r="412" ht="12.75" customHeight="1">
      <c r="A412" s="4">
        <v>6669.0</v>
      </c>
      <c r="B412" s="4">
        <v>47462.0</v>
      </c>
      <c r="C412" s="5">
        <f t="shared" ref="C412:C414" si="180">DATE(2012,12,31)-571</f>
        <v>40703</v>
      </c>
      <c r="D412" s="4" t="s">
        <v>30</v>
      </c>
      <c r="E412" s="4">
        <v>43.0</v>
      </c>
      <c r="F412" s="4">
        <v>154.18</v>
      </c>
      <c r="G412" s="4">
        <v>0.08</v>
      </c>
      <c r="H412" s="4" t="s">
        <v>22</v>
      </c>
      <c r="I412" s="6">
        <v>-166.9225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9"/>
        <v>40705</v>
      </c>
    </row>
    <row r="413" ht="12.75" customHeight="1">
      <c r="A413" s="4">
        <v>6670.0</v>
      </c>
      <c r="B413" s="4">
        <v>47462.0</v>
      </c>
      <c r="C413" s="5">
        <f t="shared" si="180"/>
        <v>40703</v>
      </c>
      <c r="D413" s="4" t="s">
        <v>30</v>
      </c>
      <c r="E413" s="4">
        <v>18.0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</v>
      </c>
      <c r="U413" s="5">
        <f t="shared" si="179"/>
        <v>40705</v>
      </c>
    </row>
    <row r="414" ht="12.75" customHeight="1">
      <c r="A414" s="4">
        <v>6671.0</v>
      </c>
      <c r="B414" s="4">
        <v>47462.0</v>
      </c>
      <c r="C414" s="5">
        <f t="shared" si="180"/>
        <v>40703</v>
      </c>
      <c r="D414" s="4" t="s">
        <v>30</v>
      </c>
      <c r="E414" s="4">
        <v>41.0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9"/>
        <v>40705</v>
      </c>
    </row>
    <row r="415" ht="12.75" customHeight="1">
      <c r="A415" s="4">
        <v>6692.0</v>
      </c>
      <c r="B415" s="4">
        <v>47620.0</v>
      </c>
      <c r="C415" s="5">
        <f>DATE(2012,12,31)-188</f>
        <v>41086</v>
      </c>
      <c r="D415" s="4" t="s">
        <v>21</v>
      </c>
      <c r="E415" s="4">
        <v>27.0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0.57</v>
      </c>
      <c r="U415" s="5">
        <f>C415+9</f>
        <v>41095</v>
      </c>
    </row>
    <row r="416" ht="12.75" customHeight="1">
      <c r="A416" s="4">
        <v>6704.0</v>
      </c>
      <c r="B416" s="4">
        <v>47749.0</v>
      </c>
      <c r="C416" s="5">
        <f>DATE(2012,12,31)-1021</f>
        <v>40253</v>
      </c>
      <c r="D416" s="4" t="s">
        <v>63</v>
      </c>
      <c r="E416" s="4">
        <v>46.0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8.45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</v>
      </c>
      <c r="U416" s="5">
        <f>C416+0</f>
        <v>40253</v>
      </c>
    </row>
    <row r="417" ht="12.75" customHeight="1">
      <c r="A417" s="4">
        <v>6721.0</v>
      </c>
      <c r="B417" s="4">
        <v>47873.0</v>
      </c>
      <c r="C417" s="5">
        <f>DATE(2012,12,31)-779</f>
        <v>40495</v>
      </c>
      <c r="D417" s="4" t="s">
        <v>78</v>
      </c>
      <c r="E417" s="4">
        <v>8.0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ht="12.75" customHeight="1">
      <c r="A418" s="4">
        <v>6736.0</v>
      </c>
      <c r="B418" s="4">
        <v>47943.0</v>
      </c>
      <c r="C418" s="5">
        <f t="shared" ref="C418:C419" si="181">DATE(2012,12,31)-1143</f>
        <v>40131</v>
      </c>
      <c r="D418" s="4" t="s">
        <v>63</v>
      </c>
      <c r="E418" s="4">
        <v>12.0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ht="12.75" customHeight="1">
      <c r="A419" s="4">
        <v>6737.0</v>
      </c>
      <c r="B419" s="4">
        <v>47943.0</v>
      </c>
      <c r="C419" s="5">
        <f t="shared" si="181"/>
        <v>40131</v>
      </c>
      <c r="D419" s="4" t="s">
        <v>63</v>
      </c>
      <c r="E419" s="4">
        <v>48.0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</v>
      </c>
      <c r="U419" s="5">
        <f>C419+1</f>
        <v>40132</v>
      </c>
    </row>
    <row r="420" ht="12.75" customHeight="1">
      <c r="A420" s="4">
        <v>6754.0</v>
      </c>
      <c r="B420" s="4">
        <v>48101.0</v>
      </c>
      <c r="C420" s="5">
        <f>DATE(2012,12,31)-476</f>
        <v>40798</v>
      </c>
      <c r="D420" s="4" t="s">
        <v>30</v>
      </c>
      <c r="E420" s="4">
        <v>4.0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2">C420+2</f>
        <v>40800</v>
      </c>
    </row>
    <row r="421" ht="12.75" customHeight="1">
      <c r="A421" s="4">
        <v>6783.0</v>
      </c>
      <c r="B421" s="4">
        <v>48295.0</v>
      </c>
      <c r="C421" s="5">
        <f>DATE(2012,12,31)-1134</f>
        <v>40140</v>
      </c>
      <c r="D421" s="4" t="s">
        <v>63</v>
      </c>
      <c r="E421" s="4">
        <v>48.0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2"/>
        <v>40142</v>
      </c>
    </row>
    <row r="422" ht="12.75" customHeight="1">
      <c r="A422" s="4">
        <v>6858.0</v>
      </c>
      <c r="B422" s="4">
        <v>48839.0</v>
      </c>
      <c r="C422" s="5">
        <f>DATE(2012,12,31)-905</f>
        <v>40369</v>
      </c>
      <c r="D422" s="4" t="s">
        <v>78</v>
      </c>
      <c r="E422" s="4">
        <v>1.0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2"/>
        <v>40371</v>
      </c>
    </row>
    <row r="423" ht="12.75" customHeight="1">
      <c r="A423" s="4">
        <v>6894.0</v>
      </c>
      <c r="B423" s="4">
        <v>49154.0</v>
      </c>
      <c r="C423" s="5">
        <f>DATE(2012,12,31)-1396</f>
        <v>39878</v>
      </c>
      <c r="D423" s="4" t="s">
        <v>63</v>
      </c>
      <c r="E423" s="4">
        <v>26.0</v>
      </c>
      <c r="F423" s="4">
        <v>1523.5</v>
      </c>
      <c r="G423" s="4">
        <v>0.07</v>
      </c>
      <c r="H423" s="4" t="s">
        <v>22</v>
      </c>
      <c r="I423" s="6">
        <v>-807.89</v>
      </c>
      <c r="J423" s="4">
        <v>60.98</v>
      </c>
      <c r="K423" s="4">
        <v>49.0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ht="12.75" customHeight="1">
      <c r="A424" s="4">
        <v>6983.0</v>
      </c>
      <c r="B424" s="4">
        <v>49921.0</v>
      </c>
      <c r="C424" s="5">
        <f t="shared" ref="C424:C425" si="183">DATE(2012,12,31)-683</f>
        <v>40591</v>
      </c>
      <c r="D424" s="4" t="s">
        <v>21</v>
      </c>
      <c r="E424" s="4">
        <v>5.0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145.45</v>
      </c>
      <c r="K424" s="4">
        <v>17.85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</v>
      </c>
      <c r="U424" s="5">
        <f>C424+4</f>
        <v>40595</v>
      </c>
    </row>
    <row r="425" ht="12.75" customHeight="1">
      <c r="A425" s="4">
        <v>6984.0</v>
      </c>
      <c r="B425" s="4">
        <v>49921.0</v>
      </c>
      <c r="C425" s="5">
        <f t="shared" si="183"/>
        <v>40591</v>
      </c>
      <c r="D425" s="4" t="s">
        <v>21</v>
      </c>
      <c r="E425" s="4">
        <v>1.0</v>
      </c>
      <c r="F425" s="4">
        <v>18.15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0.57</v>
      </c>
      <c r="U425" s="5">
        <f>C425+2</f>
        <v>40593</v>
      </c>
    </row>
    <row r="426" ht="12.75" customHeight="1">
      <c r="A426" s="4">
        <v>6991.0</v>
      </c>
      <c r="B426" s="4">
        <v>49952.0</v>
      </c>
      <c r="C426" s="5">
        <f>DATE(2012,12,31)-408</f>
        <v>40866</v>
      </c>
      <c r="D426" s="4" t="s">
        <v>30</v>
      </c>
      <c r="E426" s="4">
        <v>12.0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ht="12.75" customHeight="1">
      <c r="A427" s="4">
        <v>7021.0</v>
      </c>
      <c r="B427" s="4">
        <v>50117.0</v>
      </c>
      <c r="C427" s="5">
        <f>DATE(2012,12,31)-577</f>
        <v>40697</v>
      </c>
      <c r="D427" s="4" t="s">
        <v>78</v>
      </c>
      <c r="E427" s="4">
        <v>17.0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ht="12.75" customHeight="1">
      <c r="A428" s="4">
        <v>7042.0</v>
      </c>
      <c r="B428" s="4">
        <v>50278.0</v>
      </c>
      <c r="C428" s="5">
        <f t="shared" ref="C428:C429" si="184">DATE(2012,12,31)-951</f>
        <v>40323</v>
      </c>
      <c r="D428" s="4" t="s">
        <v>30</v>
      </c>
      <c r="E428" s="4">
        <v>2.0</v>
      </c>
      <c r="F428" s="4">
        <v>51.21</v>
      </c>
      <c r="G428" s="4">
        <v>0.0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ht="12.75" customHeight="1">
      <c r="A429" s="4">
        <v>7043.0</v>
      </c>
      <c r="B429" s="4">
        <v>50278.0</v>
      </c>
      <c r="C429" s="5">
        <f t="shared" si="184"/>
        <v>40323</v>
      </c>
      <c r="D429" s="4" t="s">
        <v>30</v>
      </c>
      <c r="E429" s="4">
        <v>20.0</v>
      </c>
      <c r="F429" s="4">
        <v>2195.55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60.0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ht="12.75" customHeight="1">
      <c r="A430" s="4">
        <v>7060.0</v>
      </c>
      <c r="B430" s="4">
        <v>50374.0</v>
      </c>
      <c r="C430" s="5">
        <f>DATE(2012,12,31)-1311</f>
        <v>39963</v>
      </c>
      <c r="D430" s="4" t="s">
        <v>45</v>
      </c>
      <c r="E430" s="4">
        <v>30.0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ht="12.75" customHeight="1">
      <c r="A431" s="4">
        <v>7087.0</v>
      </c>
      <c r="B431" s="4">
        <v>50565.0</v>
      </c>
      <c r="C431" s="5">
        <f>DATE(2012,12,31)-123</f>
        <v>41151</v>
      </c>
      <c r="D431" s="4" t="s">
        <v>30</v>
      </c>
      <c r="E431" s="4">
        <v>43.0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ht="12.75" customHeight="1">
      <c r="A432" s="4">
        <v>7103.0</v>
      </c>
      <c r="B432" s="4">
        <v>50688.0</v>
      </c>
      <c r="C432" s="5">
        <f>DATE(2012,12,31)-381</f>
        <v>40893</v>
      </c>
      <c r="D432" s="4" t="s">
        <v>78</v>
      </c>
      <c r="E432" s="4">
        <v>50.0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5">C432+1</f>
        <v>40894</v>
      </c>
    </row>
    <row r="433" ht="12.75" customHeight="1">
      <c r="A433" s="4">
        <v>7111.0</v>
      </c>
      <c r="B433" s="4">
        <v>50754.0</v>
      </c>
      <c r="C433" s="5">
        <f>DATE(2012,12,31)-1118</f>
        <v>40156</v>
      </c>
      <c r="D433" s="4" t="s">
        <v>45</v>
      </c>
      <c r="E433" s="4">
        <v>9.0</v>
      </c>
      <c r="F433" s="4">
        <v>64.0305</v>
      </c>
      <c r="G433" s="4">
        <v>0.06</v>
      </c>
      <c r="H433" s="4" t="s">
        <v>22</v>
      </c>
      <c r="I433" s="6">
        <v>-58.344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5"/>
        <v>40157</v>
      </c>
    </row>
    <row r="434" ht="12.75" customHeight="1">
      <c r="A434" s="4">
        <v>7136.0</v>
      </c>
      <c r="B434" s="4">
        <v>50914.0</v>
      </c>
      <c r="C434" s="5">
        <f>DATE(2012,12,31)-181</f>
        <v>41093</v>
      </c>
      <c r="D434" s="4" t="s">
        <v>78</v>
      </c>
      <c r="E434" s="4">
        <v>49.0</v>
      </c>
      <c r="F434" s="4">
        <v>8551.544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0.58</v>
      </c>
      <c r="U434" s="5">
        <f>C434+0</f>
        <v>41093</v>
      </c>
    </row>
    <row r="435" ht="12.75" customHeight="1">
      <c r="A435" s="4">
        <v>7168.0</v>
      </c>
      <c r="B435" s="4">
        <v>51169.0</v>
      </c>
      <c r="C435" s="5">
        <f>DATE(2012,12,31)-738</f>
        <v>40536</v>
      </c>
      <c r="D435" s="4" t="s">
        <v>30</v>
      </c>
      <c r="E435" s="4">
        <v>2.0</v>
      </c>
      <c r="F435" s="4">
        <v>291.66</v>
      </c>
      <c r="G435" s="4">
        <v>0.08</v>
      </c>
      <c r="H435" s="4" t="s">
        <v>22</v>
      </c>
      <c r="I435" s="6">
        <v>-192.92</v>
      </c>
      <c r="J435" s="4">
        <v>136.98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ht="12.75" customHeight="1">
      <c r="A436" s="4">
        <v>7277.0</v>
      </c>
      <c r="B436" s="4">
        <v>51938.0</v>
      </c>
      <c r="C436" s="5">
        <f>DATE(2012,12,31)-594</f>
        <v>40680</v>
      </c>
      <c r="D436" s="4" t="s">
        <v>21</v>
      </c>
      <c r="E436" s="4">
        <v>5.0</v>
      </c>
      <c r="F436" s="4">
        <v>503.3275</v>
      </c>
      <c r="G436" s="4">
        <v>0.06</v>
      </c>
      <c r="H436" s="4" t="s">
        <v>22</v>
      </c>
      <c r="I436" s="6">
        <v>-488.312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ht="12.75" customHeight="1">
      <c r="A437" s="4">
        <v>7285.0</v>
      </c>
      <c r="B437" s="4">
        <v>51970.0</v>
      </c>
      <c r="C437" s="5">
        <f>DATE(2012,12,31)-355</f>
        <v>40919</v>
      </c>
      <c r="D437" s="4" t="s">
        <v>45</v>
      </c>
      <c r="E437" s="4">
        <v>1.0</v>
      </c>
      <c r="F437" s="4">
        <v>171.71</v>
      </c>
      <c r="G437" s="4">
        <v>0.06</v>
      </c>
      <c r="H437" s="4" t="s">
        <v>31</v>
      </c>
      <c r="I437" s="6">
        <v>-343.4673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6">C437+2</f>
        <v>40921</v>
      </c>
    </row>
    <row r="438" ht="12.75" customHeight="1">
      <c r="A438" s="4">
        <v>7286.0</v>
      </c>
      <c r="B438" s="4">
        <v>51971.0</v>
      </c>
      <c r="C438" s="5">
        <f t="shared" ref="C438:C439" si="187">DATE(2012,12,31)-455</f>
        <v>40819</v>
      </c>
      <c r="D438" s="4" t="s">
        <v>45</v>
      </c>
      <c r="E438" s="4">
        <v>39.0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32.48</v>
      </c>
      <c r="K438" s="4">
        <v>35.0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6"/>
        <v>40821</v>
      </c>
    </row>
    <row r="439" ht="12.75" customHeight="1">
      <c r="A439" s="4">
        <v>7287.0</v>
      </c>
      <c r="B439" s="4">
        <v>51971.0</v>
      </c>
      <c r="C439" s="5">
        <f t="shared" si="187"/>
        <v>40819</v>
      </c>
      <c r="D439" s="4" t="s">
        <v>45</v>
      </c>
      <c r="E439" s="4">
        <v>22.0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69.0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6"/>
        <v>40821</v>
      </c>
    </row>
    <row r="440" ht="12.75" customHeight="1">
      <c r="A440" s="4">
        <v>7318.0</v>
      </c>
      <c r="B440" s="4">
        <v>52193.0</v>
      </c>
      <c r="C440" s="5">
        <f t="shared" ref="C440:C441" si="188">DATE(2012,12,31)-1032</f>
        <v>40242</v>
      </c>
      <c r="D440" s="4" t="s">
        <v>45</v>
      </c>
      <c r="E440" s="4">
        <v>1.0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6"/>
        <v>40244</v>
      </c>
    </row>
    <row r="441" ht="12.75" customHeight="1">
      <c r="A441" s="4">
        <v>7319.0</v>
      </c>
      <c r="B441" s="4">
        <v>52193.0</v>
      </c>
      <c r="C441" s="5">
        <f t="shared" si="188"/>
        <v>40242</v>
      </c>
      <c r="D441" s="4" t="s">
        <v>45</v>
      </c>
      <c r="E441" s="4">
        <v>47.0</v>
      </c>
      <c r="F441" s="4">
        <v>137.18</v>
      </c>
      <c r="G441" s="4">
        <v>0.07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0.58</v>
      </c>
      <c r="U441" s="5">
        <f t="shared" si="186"/>
        <v>40244</v>
      </c>
    </row>
    <row r="442" ht="12.75" customHeight="1">
      <c r="A442" s="4">
        <v>7343.0</v>
      </c>
      <c r="B442" s="4">
        <v>52321.0</v>
      </c>
      <c r="C442" s="5">
        <f t="shared" ref="C442:C443" si="189">DATE(2012,12,31)-422</f>
        <v>40852</v>
      </c>
      <c r="D442" s="4" t="s">
        <v>30</v>
      </c>
      <c r="E442" s="4">
        <v>48.0</v>
      </c>
      <c r="F442" s="4">
        <v>617.26</v>
      </c>
      <c r="G442" s="4">
        <v>0.04</v>
      </c>
      <c r="H442" s="4" t="s">
        <v>22</v>
      </c>
      <c r="I442" s="6">
        <v>-37.52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0.57</v>
      </c>
      <c r="U442" s="5">
        <f t="shared" si="186"/>
        <v>40854</v>
      </c>
    </row>
    <row r="443" ht="12.75" customHeight="1">
      <c r="A443" s="4">
        <v>7344.0</v>
      </c>
      <c r="B443" s="4">
        <v>52321.0</v>
      </c>
      <c r="C443" s="5">
        <f t="shared" si="189"/>
        <v>40852</v>
      </c>
      <c r="D443" s="4" t="s">
        <v>30</v>
      </c>
      <c r="E443" s="4">
        <v>45.0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60.0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ht="12.75" customHeight="1">
      <c r="A444" s="4">
        <v>7352.0</v>
      </c>
      <c r="B444" s="4">
        <v>52386.0</v>
      </c>
      <c r="C444" s="5">
        <f>DATE(2012,12,31)-1456</f>
        <v>39818</v>
      </c>
      <c r="D444" s="4" t="s">
        <v>30</v>
      </c>
      <c r="E444" s="4">
        <v>6.0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90">C444+2</f>
        <v>39820</v>
      </c>
    </row>
    <row r="445" ht="12.75" customHeight="1">
      <c r="A445" s="4">
        <v>7404.0</v>
      </c>
      <c r="B445" s="4">
        <v>52807.0</v>
      </c>
      <c r="C445" s="5">
        <f>DATE(2012,12,31)-767</f>
        <v>40507</v>
      </c>
      <c r="D445" s="4" t="s">
        <v>63</v>
      </c>
      <c r="E445" s="4">
        <v>28.0</v>
      </c>
      <c r="F445" s="4">
        <v>667.55</v>
      </c>
      <c r="G445" s="4">
        <v>0.0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</v>
      </c>
      <c r="U445" s="5">
        <f t="shared" si="190"/>
        <v>40509</v>
      </c>
    </row>
    <row r="446" ht="12.75" customHeight="1">
      <c r="A446" s="4">
        <v>7419.0</v>
      </c>
      <c r="B446" s="4">
        <v>52929.0</v>
      </c>
      <c r="C446" s="5">
        <f t="shared" ref="C446:C449" si="191">DATE(2012,12,31)-633</f>
        <v>40641</v>
      </c>
      <c r="D446" s="4" t="s">
        <v>30</v>
      </c>
      <c r="E446" s="4">
        <v>43.0</v>
      </c>
      <c r="F446" s="4">
        <v>701.46</v>
      </c>
      <c r="G446" s="4">
        <v>0.04</v>
      </c>
      <c r="H446" s="4" t="s">
        <v>56</v>
      </c>
      <c r="I446" s="6">
        <v>-90.1407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2">C446+1</f>
        <v>40642</v>
      </c>
    </row>
    <row r="447" ht="12.75" customHeight="1">
      <c r="A447" s="4">
        <v>7420.0</v>
      </c>
      <c r="B447" s="4">
        <v>52929.0</v>
      </c>
      <c r="C447" s="5">
        <f t="shared" si="191"/>
        <v>40641</v>
      </c>
      <c r="D447" s="4" t="s">
        <v>30</v>
      </c>
      <c r="E447" s="4">
        <v>19.0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2"/>
        <v>40642</v>
      </c>
    </row>
    <row r="448" ht="12.75" customHeight="1">
      <c r="A448" s="4">
        <v>7421.0</v>
      </c>
      <c r="B448" s="4">
        <v>52929.0</v>
      </c>
      <c r="C448" s="5">
        <f t="shared" si="191"/>
        <v>40641</v>
      </c>
      <c r="D448" s="4" t="s">
        <v>30</v>
      </c>
      <c r="E448" s="4">
        <v>7.0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2"/>
        <v>40642</v>
      </c>
    </row>
    <row r="449" ht="12.75" customHeight="1">
      <c r="A449" s="4">
        <v>7422.0</v>
      </c>
      <c r="B449" s="4">
        <v>52929.0</v>
      </c>
      <c r="C449" s="5">
        <f t="shared" si="191"/>
        <v>40641</v>
      </c>
      <c r="D449" s="4" t="s">
        <v>30</v>
      </c>
      <c r="E449" s="4">
        <v>20.0</v>
      </c>
      <c r="F449" s="4">
        <v>77.99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2"/>
        <v>40642</v>
      </c>
    </row>
    <row r="450" ht="12.75" customHeight="1">
      <c r="A450" s="4">
        <v>7430.0</v>
      </c>
      <c r="B450" s="4">
        <v>52964.0</v>
      </c>
      <c r="C450" s="5">
        <f>DATE(2012,12,31)-1006</f>
        <v>40268</v>
      </c>
      <c r="D450" s="4" t="s">
        <v>78</v>
      </c>
      <c r="E450" s="4">
        <v>44.0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136.98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2"/>
        <v>40269</v>
      </c>
    </row>
    <row r="451" ht="12.75" customHeight="1">
      <c r="A451" s="4">
        <v>7453.0</v>
      </c>
      <c r="B451" s="4">
        <v>53156.0</v>
      </c>
      <c r="C451" s="5">
        <f>DATE(2012,12,31)-296</f>
        <v>40978</v>
      </c>
      <c r="D451" s="4" t="s">
        <v>45</v>
      </c>
      <c r="E451" s="4">
        <v>47.0</v>
      </c>
      <c r="F451" s="4">
        <v>186.93</v>
      </c>
      <c r="G451" s="4">
        <v>0.07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2"/>
        <v>40979</v>
      </c>
    </row>
    <row r="452" ht="12.75" customHeight="1">
      <c r="A452" s="4">
        <v>7500.0</v>
      </c>
      <c r="B452" s="4">
        <v>53511.0</v>
      </c>
      <c r="C452" s="5">
        <f t="shared" ref="C452:C453" si="193">DATE(2012,12,31)-1410</f>
        <v>39864</v>
      </c>
      <c r="D452" s="4" t="s">
        <v>63</v>
      </c>
      <c r="E452" s="4">
        <v>41.0</v>
      </c>
      <c r="F452" s="4">
        <v>241.1</v>
      </c>
      <c r="G452" s="4">
        <v>0.07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ht="12.75" customHeight="1">
      <c r="A453" s="4">
        <v>7501.0</v>
      </c>
      <c r="B453" s="4">
        <v>53511.0</v>
      </c>
      <c r="C453" s="5">
        <f t="shared" si="193"/>
        <v>39864</v>
      </c>
      <c r="D453" s="4" t="s">
        <v>63</v>
      </c>
      <c r="E453" s="4">
        <v>49.0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</v>
      </c>
      <c r="U453" s="5">
        <f>C453+1</f>
        <v>39865</v>
      </c>
    </row>
    <row r="454" ht="12.75" customHeight="1">
      <c r="A454" s="4">
        <v>7530.0</v>
      </c>
      <c r="B454" s="4">
        <v>53797.0</v>
      </c>
      <c r="C454" s="5">
        <f>DATE(2012,12,31)-1187</f>
        <v>40087</v>
      </c>
      <c r="D454" s="4" t="s">
        <v>78</v>
      </c>
      <c r="E454" s="4">
        <v>10.0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ht="12.75" customHeight="1">
      <c r="A455" s="4">
        <v>7548.0</v>
      </c>
      <c r="B455" s="4">
        <v>53990.0</v>
      </c>
      <c r="C455" s="5">
        <f>DATE(2012,12,31)-60</f>
        <v>41214</v>
      </c>
      <c r="D455" s="4" t="s">
        <v>45</v>
      </c>
      <c r="E455" s="4">
        <v>44.0</v>
      </c>
      <c r="F455" s="4">
        <v>4263.931500000001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0.57</v>
      </c>
      <c r="U455" s="5">
        <f>C455+1</f>
        <v>41215</v>
      </c>
    </row>
    <row r="456" ht="12.75" customHeight="1">
      <c r="A456" s="4">
        <v>7559.0</v>
      </c>
      <c r="B456" s="4">
        <v>54083.0</v>
      </c>
      <c r="C456" s="5">
        <f>DATE(2012,12,31)-529</f>
        <v>40745</v>
      </c>
      <c r="D456" s="4" t="s">
        <v>30</v>
      </c>
      <c r="E456" s="4">
        <v>10.0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4">C456+2</f>
        <v>40747</v>
      </c>
    </row>
    <row r="457" ht="12.75" customHeight="1">
      <c r="A457" s="4">
        <v>7584.0</v>
      </c>
      <c r="B457" s="4">
        <v>54274.0</v>
      </c>
      <c r="C457" s="5">
        <f>DATE(2012,12,31)-769</f>
        <v>40505</v>
      </c>
      <c r="D457" s="4" t="s">
        <v>45</v>
      </c>
      <c r="E457" s="4">
        <v>20.0</v>
      </c>
      <c r="F457" s="4">
        <v>1583.06</v>
      </c>
      <c r="G457" s="4">
        <v>0.05</v>
      </c>
      <c r="H457" s="4" t="s">
        <v>22</v>
      </c>
      <c r="I457" s="6">
        <v>328.0</v>
      </c>
      <c r="J457" s="4">
        <v>78.65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4"/>
        <v>40507</v>
      </c>
    </row>
    <row r="458" ht="12.75" customHeight="1">
      <c r="A458" s="4">
        <v>7585.0</v>
      </c>
      <c r="B458" s="4">
        <v>54276.0</v>
      </c>
      <c r="C458" s="5">
        <f>DATE(2012,12,31)-1059</f>
        <v>40215</v>
      </c>
      <c r="D458" s="4" t="s">
        <v>45</v>
      </c>
      <c r="E458" s="4">
        <v>21.0</v>
      </c>
      <c r="F458" s="4">
        <v>756.6</v>
      </c>
      <c r="G458" s="4">
        <v>0.0</v>
      </c>
      <c r="H458" s="4" t="s">
        <v>22</v>
      </c>
      <c r="I458" s="6">
        <v>299.59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ht="12.75" customHeight="1">
      <c r="A459" s="4">
        <v>7620.0</v>
      </c>
      <c r="B459" s="4">
        <v>54528.0</v>
      </c>
      <c r="C459" s="5">
        <f t="shared" ref="C459:C460" si="195">DATE(2012,12,31)-727</f>
        <v>40547</v>
      </c>
      <c r="D459" s="4" t="s">
        <v>63</v>
      </c>
      <c r="E459" s="4">
        <v>17.0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6">C459+2</f>
        <v>40549</v>
      </c>
    </row>
    <row r="460" ht="12.75" customHeight="1">
      <c r="A460" s="4">
        <v>7621.0</v>
      </c>
      <c r="B460" s="4">
        <v>54528.0</v>
      </c>
      <c r="C460" s="5">
        <f t="shared" si="195"/>
        <v>40547</v>
      </c>
      <c r="D460" s="4" t="s">
        <v>63</v>
      </c>
      <c r="E460" s="4">
        <v>8.0</v>
      </c>
      <c r="F460" s="4">
        <v>88.0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6"/>
        <v>40549</v>
      </c>
    </row>
    <row r="461" ht="12.75" customHeight="1">
      <c r="A461" s="4">
        <v>7628.0</v>
      </c>
      <c r="B461" s="4">
        <v>54567.0</v>
      </c>
      <c r="C461" s="5">
        <f>DATE(2012,12,31)-1247</f>
        <v>40027</v>
      </c>
      <c r="D461" s="4" t="s">
        <v>63</v>
      </c>
      <c r="E461" s="4">
        <v>31.0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6"/>
        <v>40029</v>
      </c>
    </row>
    <row r="462" ht="12.75" customHeight="1">
      <c r="A462" s="4">
        <v>7633.0</v>
      </c>
      <c r="B462" s="4">
        <v>54628.0</v>
      </c>
      <c r="C462" s="5">
        <f>DATE(2012,12,31)-940</f>
        <v>40334</v>
      </c>
      <c r="D462" s="4" t="s">
        <v>30</v>
      </c>
      <c r="E462" s="4">
        <v>21.0</v>
      </c>
      <c r="F462" s="4">
        <v>471.24</v>
      </c>
      <c r="G462" s="4">
        <v>0.07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7">C462+1</f>
        <v>40335</v>
      </c>
    </row>
    <row r="463" ht="12.75" customHeight="1">
      <c r="A463" s="4">
        <v>7716.0</v>
      </c>
      <c r="B463" s="4">
        <v>55298.0</v>
      </c>
      <c r="C463" s="5">
        <f>DATE(2012,12,31)-1247</f>
        <v>40027</v>
      </c>
      <c r="D463" s="4" t="s">
        <v>78</v>
      </c>
      <c r="E463" s="4">
        <v>1.0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</v>
      </c>
      <c r="U463" s="5">
        <f t="shared" si="197"/>
        <v>40028</v>
      </c>
    </row>
    <row r="464" ht="12.75" customHeight="1">
      <c r="A464" s="4">
        <v>7729.0</v>
      </c>
      <c r="B464" s="4">
        <v>55363.0</v>
      </c>
      <c r="C464" s="5">
        <f>DATE(2012,12,31)-734</f>
        <v>40540</v>
      </c>
      <c r="D464" s="4" t="s">
        <v>30</v>
      </c>
      <c r="E464" s="4">
        <v>14.0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ht="12.75" customHeight="1">
      <c r="A465" s="4">
        <v>7730.0</v>
      </c>
      <c r="B465" s="4">
        <v>55366.0</v>
      </c>
      <c r="C465" s="5">
        <f>DATE(2012,12,31)-82</f>
        <v>41192</v>
      </c>
      <c r="D465" s="4" t="s">
        <v>78</v>
      </c>
      <c r="E465" s="4">
        <v>7.0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ht="12.75" customHeight="1">
      <c r="A466" s="4">
        <v>7787.0</v>
      </c>
      <c r="B466" s="4">
        <v>55715.0</v>
      </c>
      <c r="C466" s="5">
        <f>DATE(2012,12,31)-639</f>
        <v>40635</v>
      </c>
      <c r="D466" s="4" t="s">
        <v>78</v>
      </c>
      <c r="E466" s="4">
        <v>28.0</v>
      </c>
      <c r="F466" s="4">
        <v>168.57</v>
      </c>
      <c r="G466" s="4">
        <v>0.02</v>
      </c>
      <c r="H466" s="4" t="s">
        <v>56</v>
      </c>
      <c r="I466" s="6">
        <v>16.6515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ht="12.75" customHeight="1">
      <c r="A467" s="4">
        <v>7813.0</v>
      </c>
      <c r="B467" s="4">
        <v>55875.0</v>
      </c>
      <c r="C467" s="5">
        <f t="shared" ref="C467:C468" si="198">DATE(2012,12,31)-1132</f>
        <v>40142</v>
      </c>
      <c r="D467" s="4" t="s">
        <v>78</v>
      </c>
      <c r="E467" s="4">
        <v>50.0</v>
      </c>
      <c r="F467" s="4">
        <v>413.86</v>
      </c>
      <c r="G467" s="4">
        <v>0.0</v>
      </c>
      <c r="H467" s="4" t="s">
        <v>22</v>
      </c>
      <c r="I467" s="6">
        <v>39.29</v>
      </c>
      <c r="J467" s="4">
        <v>7.59</v>
      </c>
      <c r="K467" s="4">
        <v>4.0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ht="12.75" customHeight="1">
      <c r="A468" s="4">
        <v>7814.0</v>
      </c>
      <c r="B468" s="4">
        <v>55875.0</v>
      </c>
      <c r="C468" s="5">
        <f t="shared" si="198"/>
        <v>40142</v>
      </c>
      <c r="D468" s="4" t="s">
        <v>78</v>
      </c>
      <c r="E468" s="4">
        <v>31.0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ht="12.75" customHeight="1">
      <c r="A469" s="4">
        <v>7894.0</v>
      </c>
      <c r="B469" s="4">
        <v>56453.0</v>
      </c>
      <c r="C469" s="5">
        <f>DATE(2012,12,31)-264</f>
        <v>41010</v>
      </c>
      <c r="D469" s="4" t="s">
        <v>78</v>
      </c>
      <c r="E469" s="4">
        <v>1.0</v>
      </c>
      <c r="F469" s="4">
        <v>2728.65</v>
      </c>
      <c r="G469" s="4">
        <v>0.0</v>
      </c>
      <c r="H469" s="4" t="s">
        <v>31</v>
      </c>
      <c r="I469" s="6">
        <v>-5572.3935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0.57</v>
      </c>
      <c r="U469" s="5">
        <f>C469+1</f>
        <v>41011</v>
      </c>
    </row>
    <row r="470" ht="12.75" customHeight="1">
      <c r="A470" s="4">
        <v>7993.0</v>
      </c>
      <c r="B470" s="4">
        <v>57127.0</v>
      </c>
      <c r="C470" s="5">
        <f>DATE(2012,12,31)-1049</f>
        <v>40225</v>
      </c>
      <c r="D470" s="4" t="s">
        <v>21</v>
      </c>
      <c r="E470" s="4">
        <v>13.0</v>
      </c>
      <c r="F470" s="4">
        <v>735.54</v>
      </c>
      <c r="G470" s="4">
        <v>0.0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9">C470+2</f>
        <v>40227</v>
      </c>
    </row>
    <row r="471" ht="12.75" customHeight="1">
      <c r="A471" s="4">
        <v>8024.0</v>
      </c>
      <c r="B471" s="4">
        <v>57344.0</v>
      </c>
      <c r="C471" s="5">
        <f>DATE(2012,12,31)-829</f>
        <v>40445</v>
      </c>
      <c r="D471" s="4" t="s">
        <v>30</v>
      </c>
      <c r="E471" s="4">
        <v>47.0</v>
      </c>
      <c r="F471" s="4">
        <v>1060.0605</v>
      </c>
      <c r="G471" s="4">
        <v>0.1</v>
      </c>
      <c r="H471" s="4" t="s">
        <v>22</v>
      </c>
      <c r="I471" s="6">
        <v>-71.02699999999999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</v>
      </c>
      <c r="U471" s="5">
        <f t="shared" si="199"/>
        <v>40447</v>
      </c>
    </row>
    <row r="472" ht="12.75" customHeight="1">
      <c r="A472" s="4">
        <v>8057.0</v>
      </c>
      <c r="B472" s="4">
        <v>57509.0</v>
      </c>
      <c r="C472" s="5">
        <f t="shared" ref="C472:C473" si="200">DATE(2012,12,31)-1409</f>
        <v>39865</v>
      </c>
      <c r="D472" s="4" t="s">
        <v>21</v>
      </c>
      <c r="E472" s="4">
        <v>39.0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ht="12.75" customHeight="1">
      <c r="A473" s="4">
        <v>8058.0</v>
      </c>
      <c r="B473" s="4">
        <v>57509.0</v>
      </c>
      <c r="C473" s="5">
        <f t="shared" si="200"/>
        <v>39865</v>
      </c>
      <c r="D473" s="4" t="s">
        <v>21</v>
      </c>
      <c r="E473" s="4">
        <v>11.0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259.71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ht="12.75" customHeight="1">
      <c r="A474" s="4">
        <v>8073.0</v>
      </c>
      <c r="B474" s="4">
        <v>57600.0</v>
      </c>
      <c r="C474" s="5">
        <f t="shared" ref="C474:C476" si="201">DATE(2012,12,31)-50</f>
        <v>41224</v>
      </c>
      <c r="D474" s="4" t="s">
        <v>78</v>
      </c>
      <c r="E474" s="4">
        <v>32.0</v>
      </c>
      <c r="F474" s="4">
        <v>1882.12</v>
      </c>
      <c r="G474" s="4">
        <v>0.05</v>
      </c>
      <c r="H474" s="4" t="s">
        <v>22</v>
      </c>
      <c r="I474" s="6">
        <v>584.1455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2">C474+2</f>
        <v>41226</v>
      </c>
    </row>
    <row r="475" ht="12.75" customHeight="1">
      <c r="A475" s="4">
        <v>8074.0</v>
      </c>
      <c r="B475" s="4">
        <v>57600.0</v>
      </c>
      <c r="C475" s="5">
        <f t="shared" si="201"/>
        <v>41224</v>
      </c>
      <c r="D475" s="4" t="s">
        <v>78</v>
      </c>
      <c r="E475" s="4">
        <v>44.0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2"/>
        <v>41226</v>
      </c>
    </row>
    <row r="476" ht="12.75" customHeight="1">
      <c r="A476" s="4">
        <v>8075.0</v>
      </c>
      <c r="B476" s="4">
        <v>57600.0</v>
      </c>
      <c r="C476" s="5">
        <f t="shared" si="201"/>
        <v>41224</v>
      </c>
      <c r="D476" s="4" t="s">
        <v>78</v>
      </c>
      <c r="E476" s="4">
        <v>12.0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2"/>
        <v>41226</v>
      </c>
    </row>
    <row r="477" ht="12.75" customHeight="1">
      <c r="A477" s="4">
        <v>8124.0</v>
      </c>
      <c r="B477" s="4">
        <v>58055.0</v>
      </c>
      <c r="C477" s="5">
        <f>DATE(2012,12,31)-431</f>
        <v>40843</v>
      </c>
      <c r="D477" s="4" t="s">
        <v>78</v>
      </c>
      <c r="E477" s="4">
        <v>26.0</v>
      </c>
      <c r="F477" s="4">
        <v>208.6</v>
      </c>
      <c r="G477" s="4">
        <v>0.0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</v>
      </c>
      <c r="U477" s="5">
        <f t="shared" si="202"/>
        <v>40845</v>
      </c>
    </row>
    <row r="478" ht="12.75" customHeight="1">
      <c r="A478" s="4">
        <v>8133.0</v>
      </c>
      <c r="B478" s="4">
        <v>58144.0</v>
      </c>
      <c r="C478" s="5">
        <f>DATE(2012,12,31)-1111</f>
        <v>40163</v>
      </c>
      <c r="D478" s="4" t="s">
        <v>21</v>
      </c>
      <c r="E478" s="4">
        <v>29.0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ht="12.75" customHeight="1">
      <c r="A479" s="4">
        <v>8136.0</v>
      </c>
      <c r="B479" s="4">
        <v>58150.0</v>
      </c>
      <c r="C479" s="5">
        <f>DATE(2012,12,31)-969</f>
        <v>40305</v>
      </c>
      <c r="D479" s="4" t="s">
        <v>78</v>
      </c>
      <c r="E479" s="4">
        <v>24.0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ht="12.75" customHeight="1">
      <c r="A480" s="4">
        <v>8159.0</v>
      </c>
      <c r="B480" s="4">
        <v>58340.0</v>
      </c>
      <c r="C480" s="5">
        <f>DATE(2012,12,31)-723</f>
        <v>40551</v>
      </c>
      <c r="D480" s="4" t="s">
        <v>63</v>
      </c>
      <c r="E480" s="4">
        <v>36.0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0.58</v>
      </c>
      <c r="U480" s="5">
        <f>C480+1</f>
        <v>40552</v>
      </c>
    </row>
    <row r="481" ht="12.75" customHeight="1">
      <c r="A481" s="4">
        <v>8162.0</v>
      </c>
      <c r="B481" s="4">
        <v>58368.0</v>
      </c>
      <c r="C481" s="5">
        <f t="shared" ref="C481:C483" si="203">DATE(2012,12,31)-175</f>
        <v>41099</v>
      </c>
      <c r="D481" s="4" t="s">
        <v>30</v>
      </c>
      <c r="E481" s="4">
        <v>4.0</v>
      </c>
      <c r="F481" s="4">
        <v>14.23</v>
      </c>
      <c r="G481" s="4">
        <v>0.0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ht="12.75" customHeight="1">
      <c r="A482" s="4">
        <v>8163.0</v>
      </c>
      <c r="B482" s="4">
        <v>58368.0</v>
      </c>
      <c r="C482" s="5">
        <f t="shared" si="203"/>
        <v>41099</v>
      </c>
      <c r="D482" s="4" t="s">
        <v>30</v>
      </c>
      <c r="E482" s="4">
        <v>39.0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9.54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ht="12.75" customHeight="1">
      <c r="A483" s="4">
        <v>8164.0</v>
      </c>
      <c r="B483" s="4">
        <v>58368.0</v>
      </c>
      <c r="C483" s="5">
        <f t="shared" si="203"/>
        <v>41099</v>
      </c>
      <c r="D483" s="4" t="s">
        <v>30</v>
      </c>
      <c r="E483" s="4">
        <v>5.0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ht="12.75" customHeight="1">
      <c r="A484" s="4">
        <v>8176.0</v>
      </c>
      <c r="B484" s="4">
        <v>58434.0</v>
      </c>
      <c r="C484" s="5">
        <f>DATE(2012,12,31)-1393</f>
        <v>39881</v>
      </c>
      <c r="D484" s="4" t="s">
        <v>30</v>
      </c>
      <c r="E484" s="4">
        <v>42.0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ht="12.75" customHeight="1">
      <c r="A485" s="4">
        <v>8197.0</v>
      </c>
      <c r="B485" s="4">
        <v>58626.0</v>
      </c>
      <c r="C485" s="5">
        <f t="shared" ref="C485:C487" si="204">DATE(2012,12,31)-367</f>
        <v>40907</v>
      </c>
      <c r="D485" s="4" t="s">
        <v>30</v>
      </c>
      <c r="E485" s="4">
        <v>23.0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</v>
      </c>
      <c r="U485" s="5">
        <f>C485+2</f>
        <v>40909</v>
      </c>
    </row>
    <row r="486" ht="12.75" customHeight="1">
      <c r="A486" s="4">
        <v>8198.0</v>
      </c>
      <c r="B486" s="4">
        <v>58626.0</v>
      </c>
      <c r="C486" s="5">
        <f t="shared" si="204"/>
        <v>40907</v>
      </c>
      <c r="D486" s="4" t="s">
        <v>30</v>
      </c>
      <c r="E486" s="4">
        <v>21.0</v>
      </c>
      <c r="F486" s="4">
        <v>10469.03</v>
      </c>
      <c r="G486" s="4">
        <v>0.07</v>
      </c>
      <c r="H486" s="4" t="s">
        <v>31</v>
      </c>
      <c r="I486" s="6">
        <v>2608.72</v>
      </c>
      <c r="J486" s="4">
        <v>500.98</v>
      </c>
      <c r="K486" s="4">
        <v>26.0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ht="12.75" customHeight="1">
      <c r="A487" s="4">
        <v>8199.0</v>
      </c>
      <c r="B487" s="4">
        <v>58626.0</v>
      </c>
      <c r="C487" s="5">
        <f t="shared" si="204"/>
        <v>40907</v>
      </c>
      <c r="D487" s="4" t="s">
        <v>30</v>
      </c>
      <c r="E487" s="4">
        <v>18.0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</v>
      </c>
      <c r="U487" s="5">
        <f>C487+1</f>
        <v>40908</v>
      </c>
    </row>
    <row r="488" ht="12.75" customHeight="1">
      <c r="A488" s="4">
        <v>8208.0</v>
      </c>
      <c r="B488" s="4">
        <v>58688.0</v>
      </c>
      <c r="C488" s="5">
        <f>DATE(2012,12,31)-1373</f>
        <v>39901</v>
      </c>
      <c r="D488" s="4" t="s">
        <v>45</v>
      </c>
      <c r="E488" s="4">
        <v>18.0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5">C488+2</f>
        <v>39903</v>
      </c>
    </row>
    <row r="489" ht="12.75" customHeight="1">
      <c r="A489" s="4">
        <v>8256.0</v>
      </c>
      <c r="B489" s="4">
        <v>59045.0</v>
      </c>
      <c r="C489" s="5">
        <f>DATE(2012,12,31)-687</f>
        <v>40587</v>
      </c>
      <c r="D489" s="4" t="s">
        <v>78</v>
      </c>
      <c r="E489" s="4">
        <v>30.0</v>
      </c>
      <c r="F489" s="4">
        <v>140.24</v>
      </c>
      <c r="G489" s="4">
        <v>0.05</v>
      </c>
      <c r="H489" s="4" t="s">
        <v>22</v>
      </c>
      <c r="I489" s="6">
        <v>32.8695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5"/>
        <v>40589</v>
      </c>
    </row>
    <row r="490" ht="12.75" customHeight="1">
      <c r="A490" s="4">
        <v>8257.0</v>
      </c>
      <c r="B490" s="4">
        <v>59047.0</v>
      </c>
      <c r="C490" s="5">
        <f t="shared" ref="C490:C491" si="206">DATE(2012,12,31)-703</f>
        <v>40571</v>
      </c>
      <c r="D490" s="4" t="s">
        <v>45</v>
      </c>
      <c r="E490" s="4">
        <v>10.0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ht="12.75" customHeight="1">
      <c r="A491" s="4">
        <v>8258.0</v>
      </c>
      <c r="B491" s="4">
        <v>59047.0</v>
      </c>
      <c r="C491" s="5">
        <f t="shared" si="206"/>
        <v>40571</v>
      </c>
      <c r="D491" s="4" t="s">
        <v>45</v>
      </c>
      <c r="E491" s="4">
        <v>26.0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4.14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ht="12.75" customHeight="1">
      <c r="A492" s="4">
        <v>8282.0</v>
      </c>
      <c r="B492" s="4">
        <v>59202.0</v>
      </c>
      <c r="C492" s="5">
        <f t="shared" ref="C492:C493" si="207">DATE(2012,12,31)-114</f>
        <v>41160</v>
      </c>
      <c r="D492" s="4" t="s">
        <v>63</v>
      </c>
      <c r="E492" s="4">
        <v>7.0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ht="12.75" customHeight="1">
      <c r="A493" s="4">
        <v>8283.0</v>
      </c>
      <c r="B493" s="4">
        <v>59202.0</v>
      </c>
      <c r="C493" s="5">
        <f t="shared" si="207"/>
        <v>41160</v>
      </c>
      <c r="D493" s="4" t="s">
        <v>63</v>
      </c>
      <c r="E493" s="4">
        <v>36.0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</v>
      </c>
      <c r="U493" s="5">
        <f>C493+1</f>
        <v>41161</v>
      </c>
    </row>
    <row r="494" ht="12.75" customHeight="1">
      <c r="A494" s="4">
        <v>8290.0</v>
      </c>
      <c r="B494" s="4">
        <v>59207.0</v>
      </c>
      <c r="C494" s="5">
        <f>DATE(2012,12,31)-1323</f>
        <v>39951</v>
      </c>
      <c r="D494" s="4" t="s">
        <v>78</v>
      </c>
      <c r="E494" s="4">
        <v>42.0</v>
      </c>
      <c r="F494" s="4">
        <v>9502.736</v>
      </c>
      <c r="G494" s="4">
        <v>0.02</v>
      </c>
      <c r="H494" s="4" t="s">
        <v>31</v>
      </c>
      <c r="I494" s="6">
        <v>-945.5579999999999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ht="12.75" customHeight="1">
      <c r="A495" s="4">
        <v>8294.0</v>
      </c>
      <c r="B495" s="4">
        <v>59234.0</v>
      </c>
      <c r="C495" s="5">
        <f t="shared" ref="C495:C496" si="208">DATE(2012,12,31)-155</f>
        <v>41119</v>
      </c>
      <c r="D495" s="4" t="s">
        <v>21</v>
      </c>
      <c r="E495" s="4">
        <v>32.0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</v>
      </c>
      <c r="U495" s="5">
        <f>C495+4</f>
        <v>41123</v>
      </c>
    </row>
    <row r="496" ht="12.75" customHeight="1">
      <c r="A496" s="4">
        <v>8295.0</v>
      </c>
      <c r="B496" s="4">
        <v>59234.0</v>
      </c>
      <c r="C496" s="5">
        <f t="shared" si="208"/>
        <v>41119</v>
      </c>
      <c r="D496" s="4" t="s">
        <v>21</v>
      </c>
      <c r="E496" s="4">
        <v>16.0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</v>
      </c>
      <c r="U496" s="5">
        <f>C496+5</f>
        <v>41124</v>
      </c>
    </row>
    <row r="497" ht="12.75" customHeight="1">
      <c r="A497" s="4">
        <v>8314.0</v>
      </c>
      <c r="B497" s="4">
        <v>59395.0</v>
      </c>
      <c r="C497" s="5">
        <f>DATE(2012,12,31)-253</f>
        <v>41021</v>
      </c>
      <c r="D497" s="4" t="s">
        <v>78</v>
      </c>
      <c r="E497" s="4">
        <v>20.0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ht="12.75" customHeight="1">
      <c r="A498" s="4">
        <v>8333.0</v>
      </c>
      <c r="B498" s="4">
        <v>59558.0</v>
      </c>
      <c r="C498" s="5">
        <f>DATE(2012,12,31)-168</f>
        <v>41106</v>
      </c>
      <c r="D498" s="4" t="s">
        <v>45</v>
      </c>
      <c r="E498" s="4">
        <v>34.0</v>
      </c>
      <c r="F498" s="4">
        <v>94.56</v>
      </c>
      <c r="G498" s="4">
        <v>0.0</v>
      </c>
      <c r="H498" s="4" t="s">
        <v>22</v>
      </c>
      <c r="I498" s="6">
        <v>37.73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ht="12.75" customHeight="1">
      <c r="A499" s="4">
        <v>8337.0</v>
      </c>
      <c r="B499" s="4">
        <v>59585.0</v>
      </c>
      <c r="C499" s="5">
        <f>DATE(2012,12,31)-100</f>
        <v>41174</v>
      </c>
      <c r="D499" s="4" t="s">
        <v>30</v>
      </c>
      <c r="E499" s="4">
        <v>45.0</v>
      </c>
      <c r="F499" s="4">
        <v>712.04</v>
      </c>
      <c r="G499" s="4">
        <v>0.07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ht="12.75" customHeight="1">
      <c r="A500" s="4">
        <v>8344.0</v>
      </c>
      <c r="B500" s="4">
        <v>59651.0</v>
      </c>
      <c r="C500" s="5">
        <f t="shared" ref="C500:C501" si="209">DATE(2012,12,31)-956</f>
        <v>40318</v>
      </c>
      <c r="D500" s="4" t="s">
        <v>78</v>
      </c>
      <c r="E500" s="4">
        <v>36.0</v>
      </c>
      <c r="F500" s="4">
        <v>283.21</v>
      </c>
      <c r="G500" s="4">
        <v>0.08</v>
      </c>
      <c r="H500" s="4" t="s">
        <v>22</v>
      </c>
      <c r="I500" s="6">
        <v>-196.0635</v>
      </c>
      <c r="J500" s="4">
        <v>8.04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10">C500+2</f>
        <v>40320</v>
      </c>
    </row>
    <row r="501" ht="12.75" customHeight="1">
      <c r="A501" s="4">
        <v>8345.0</v>
      </c>
      <c r="B501" s="4">
        <v>59651.0</v>
      </c>
      <c r="C501" s="5">
        <f t="shared" si="209"/>
        <v>40318</v>
      </c>
      <c r="D501" s="4" t="s">
        <v>78</v>
      </c>
      <c r="E501" s="4">
        <v>18.0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10"/>
        <v>40320</v>
      </c>
    </row>
    <row r="502" ht="12.75" customHeight="1">
      <c r="A502" s="4">
        <v>105.0</v>
      </c>
      <c r="B502" s="4">
        <v>645.0</v>
      </c>
      <c r="C502" s="5">
        <f>DATE(2012,12,31)-1125</f>
        <v>40149</v>
      </c>
      <c r="D502" s="4" t="s">
        <v>30</v>
      </c>
      <c r="E502" s="4">
        <v>42.0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10"/>
        <v>40151</v>
      </c>
    </row>
    <row r="503" ht="12.75" customHeight="1">
      <c r="A503" s="4">
        <v>115.0</v>
      </c>
      <c r="B503" s="4">
        <v>769.0</v>
      </c>
      <c r="C503" s="5">
        <f>DATE(2012,12,31)-944</f>
        <v>40330</v>
      </c>
      <c r="D503" s="4" t="s">
        <v>63</v>
      </c>
      <c r="E503" s="4">
        <v>37.0</v>
      </c>
      <c r="F503" s="4">
        <v>4261.94</v>
      </c>
      <c r="G503" s="4">
        <v>0.02</v>
      </c>
      <c r="H503" s="4" t="s">
        <v>31</v>
      </c>
      <c r="I503" s="6">
        <v>4.150000000000006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1">C503+1</f>
        <v>40331</v>
      </c>
    </row>
    <row r="504" ht="12.75" customHeight="1">
      <c r="A504" s="4">
        <v>119.0</v>
      </c>
      <c r="B504" s="4">
        <v>773.0</v>
      </c>
      <c r="C504" s="5">
        <f>DATE(2012,12,31)-828</f>
        <v>40446</v>
      </c>
      <c r="D504" s="4" t="s">
        <v>63</v>
      </c>
      <c r="E504" s="4">
        <v>38.0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65.99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</v>
      </c>
      <c r="U504" s="5">
        <f t="shared" si="211"/>
        <v>40447</v>
      </c>
    </row>
    <row r="505" ht="12.75" customHeight="1">
      <c r="A505" s="4">
        <v>180.0</v>
      </c>
      <c r="B505" s="4">
        <v>1187.0</v>
      </c>
      <c r="C505" s="5">
        <f>DATE(2012,12,31)-42</f>
        <v>41232</v>
      </c>
      <c r="D505" s="4" t="s">
        <v>63</v>
      </c>
      <c r="E505" s="4">
        <v>14.0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4.0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1"/>
        <v>41233</v>
      </c>
    </row>
    <row r="506" ht="12.75" customHeight="1">
      <c r="A506" s="4">
        <v>342.0</v>
      </c>
      <c r="B506" s="4">
        <v>2339.0</v>
      </c>
      <c r="C506" s="5">
        <f>DATE(2012,12,31)-748</f>
        <v>40526</v>
      </c>
      <c r="D506" s="4" t="s">
        <v>21</v>
      </c>
      <c r="E506" s="4">
        <v>12.0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19.99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2">C506+2</f>
        <v>40528</v>
      </c>
    </row>
    <row r="507" ht="12.75" customHeight="1">
      <c r="A507" s="4">
        <v>510.0</v>
      </c>
      <c r="B507" s="4">
        <v>3521.0</v>
      </c>
      <c r="C507" s="5">
        <f>DATE(2012,12,31)-67</f>
        <v>41207</v>
      </c>
      <c r="D507" s="4" t="s">
        <v>21</v>
      </c>
      <c r="E507" s="4">
        <v>50.0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</v>
      </c>
      <c r="U507" s="5">
        <f t="shared" si="212"/>
        <v>41209</v>
      </c>
    </row>
    <row r="508" ht="12.75" customHeight="1">
      <c r="A508" s="4">
        <v>587.0</v>
      </c>
      <c r="B508" s="4">
        <v>4007.0</v>
      </c>
      <c r="C508" s="5">
        <f t="shared" ref="C508:C509" si="213">DATE(2012,12,31)-928</f>
        <v>40346</v>
      </c>
      <c r="D508" s="4" t="s">
        <v>30</v>
      </c>
      <c r="E508" s="4">
        <v>18.0</v>
      </c>
      <c r="F508" s="4">
        <v>1038.4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</v>
      </c>
      <c r="U508" s="5">
        <f t="shared" ref="U508:U509" si="214">C508+1</f>
        <v>40347</v>
      </c>
    </row>
    <row r="509" ht="12.75" customHeight="1">
      <c r="A509" s="4">
        <v>588.0</v>
      </c>
      <c r="B509" s="4">
        <v>4007.0</v>
      </c>
      <c r="C509" s="5">
        <f t="shared" si="213"/>
        <v>40346</v>
      </c>
      <c r="D509" s="4" t="s">
        <v>30</v>
      </c>
      <c r="E509" s="4">
        <v>1.0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35.0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4"/>
        <v>40347</v>
      </c>
    </row>
    <row r="510" ht="12.75" customHeight="1">
      <c r="A510" s="4">
        <v>632.0</v>
      </c>
      <c r="B510" s="4">
        <v>4416.0</v>
      </c>
      <c r="C510" s="5">
        <f>DATE(2012,12,31)-185</f>
        <v>41089</v>
      </c>
      <c r="D510" s="4" t="s">
        <v>21</v>
      </c>
      <c r="E510" s="4">
        <v>46.0</v>
      </c>
      <c r="F510" s="4">
        <v>7441.29</v>
      </c>
      <c r="G510" s="4">
        <v>0.1</v>
      </c>
      <c r="H510" s="4" t="s">
        <v>22</v>
      </c>
      <c r="I510" s="6">
        <v>2665.396</v>
      </c>
      <c r="J510" s="4">
        <v>165.98</v>
      </c>
      <c r="K510" s="4">
        <v>19.99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ht="12.75" customHeight="1">
      <c r="A511" s="4">
        <v>636.0</v>
      </c>
      <c r="B511" s="4">
        <v>4454.0</v>
      </c>
      <c r="C511" s="5">
        <f>DATE(2012,12,31)-1429</f>
        <v>39845</v>
      </c>
      <c r="D511" s="4" t="s">
        <v>21</v>
      </c>
      <c r="E511" s="4">
        <v>17.0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ht="12.75" customHeight="1">
      <c r="A512" s="4">
        <v>719.0</v>
      </c>
      <c r="B512" s="4">
        <v>5153.0</v>
      </c>
      <c r="C512" s="5">
        <f>DATE(2012,12,31)-494</f>
        <v>40780</v>
      </c>
      <c r="D512" s="4" t="s">
        <v>78</v>
      </c>
      <c r="E512" s="4">
        <v>37.0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ht="12.75" customHeight="1">
      <c r="A513" s="4">
        <v>762.0</v>
      </c>
      <c r="B513" s="4">
        <v>5446.0</v>
      </c>
      <c r="C513" s="5">
        <f>DATE(2012,12,31)-1290</f>
        <v>39984</v>
      </c>
      <c r="D513" s="4" t="s">
        <v>21</v>
      </c>
      <c r="E513" s="4">
        <v>42.0</v>
      </c>
      <c r="F513" s="4">
        <v>433.68</v>
      </c>
      <c r="G513" s="4">
        <v>0.07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ht="12.75" customHeight="1">
      <c r="A514" s="4">
        <v>1106.0</v>
      </c>
      <c r="B514" s="4">
        <v>8131.0</v>
      </c>
      <c r="C514" s="5">
        <f>DATE(2012,12,31)-973</f>
        <v>40301</v>
      </c>
      <c r="D514" s="4" t="s">
        <v>78</v>
      </c>
      <c r="E514" s="4">
        <v>24.0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ht="12.75" customHeight="1">
      <c r="A515" s="4">
        <v>1225.0</v>
      </c>
      <c r="B515" s="4">
        <v>8994.0</v>
      </c>
      <c r="C515" s="5">
        <f>DATE(2012,12,31)-1364</f>
        <v>39910</v>
      </c>
      <c r="D515" s="4" t="s">
        <v>21</v>
      </c>
      <c r="E515" s="4">
        <v>36.0</v>
      </c>
      <c r="F515" s="4">
        <v>1423.35</v>
      </c>
      <c r="G515" s="4">
        <v>0.1</v>
      </c>
      <c r="H515" s="4" t="s">
        <v>22</v>
      </c>
      <c r="I515" s="6">
        <v>-580.32</v>
      </c>
      <c r="J515" s="4">
        <v>40.48</v>
      </c>
      <c r="K515" s="4">
        <v>19.99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ht="12.75" customHeight="1">
      <c r="A516" s="4">
        <v>1241.0</v>
      </c>
      <c r="B516" s="4">
        <v>9027.0</v>
      </c>
      <c r="C516" s="5">
        <f>DATE(2012,12,31)-486</f>
        <v>40788</v>
      </c>
      <c r="D516" s="4" t="s">
        <v>21</v>
      </c>
      <c r="E516" s="4">
        <v>30.0</v>
      </c>
      <c r="F516" s="4">
        <v>932.8919999999999</v>
      </c>
      <c r="G516" s="4">
        <v>0.05</v>
      </c>
      <c r="H516" s="4" t="s">
        <v>22</v>
      </c>
      <c r="I516" s="6">
        <v>458.982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ht="12.75" customHeight="1">
      <c r="A517" s="4">
        <v>1264.0</v>
      </c>
      <c r="B517" s="4">
        <v>9216.0</v>
      </c>
      <c r="C517" s="5">
        <f>DATE(2012,12,31)-627</f>
        <v>40647</v>
      </c>
      <c r="D517" s="4" t="s">
        <v>63</v>
      </c>
      <c r="E517" s="4">
        <v>36.0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0.57</v>
      </c>
      <c r="U517" s="5">
        <f t="shared" ref="U517:U519" si="215">C517+2</f>
        <v>40649</v>
      </c>
    </row>
    <row r="518" ht="12.75" customHeight="1">
      <c r="A518" s="4">
        <v>1302.0</v>
      </c>
      <c r="B518" s="4">
        <v>9537.0</v>
      </c>
      <c r="C518" s="5">
        <f t="shared" ref="C518:C519" si="216">DATE(2012,12,31)-687</f>
        <v>40587</v>
      </c>
      <c r="D518" s="4" t="s">
        <v>45</v>
      </c>
      <c r="E518" s="4">
        <v>6.0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150.98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5"/>
        <v>40589</v>
      </c>
    </row>
    <row r="519" ht="12.75" customHeight="1">
      <c r="A519" s="4">
        <v>1303.0</v>
      </c>
      <c r="B519" s="4">
        <v>9537.0</v>
      </c>
      <c r="C519" s="5">
        <f t="shared" si="216"/>
        <v>40587</v>
      </c>
      <c r="D519" s="4" t="s">
        <v>45</v>
      </c>
      <c r="E519" s="4">
        <v>43.0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5"/>
        <v>40589</v>
      </c>
    </row>
    <row r="520" ht="12.75" customHeight="1">
      <c r="A520" s="4">
        <v>1307.0</v>
      </c>
      <c r="B520" s="4">
        <v>9574.0</v>
      </c>
      <c r="C520" s="5">
        <f>DATE(2012,12,31)-520</f>
        <v>40754</v>
      </c>
      <c r="D520" s="4" t="s">
        <v>63</v>
      </c>
      <c r="E520" s="4">
        <v>40.0</v>
      </c>
      <c r="F520" s="4">
        <v>434.62</v>
      </c>
      <c r="G520" s="4">
        <v>0.08</v>
      </c>
      <c r="H520" s="4" t="s">
        <v>22</v>
      </c>
      <c r="I520" s="6">
        <v>-68.977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ht="12.75" customHeight="1">
      <c r="A521" s="4">
        <v>1442.0</v>
      </c>
      <c r="B521" s="4">
        <v>10435.0</v>
      </c>
      <c r="C521" s="5">
        <f t="shared" ref="C521:C522" si="217">DATE(2012,12,31)-874</f>
        <v>40400</v>
      </c>
      <c r="D521" s="4" t="s">
        <v>63</v>
      </c>
      <c r="E521" s="4">
        <v>38.0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0.57</v>
      </c>
      <c r="U521" s="5">
        <f>C521+2</f>
        <v>40402</v>
      </c>
    </row>
    <row r="522" ht="12.75" customHeight="1">
      <c r="A522" s="4">
        <v>1443.0</v>
      </c>
      <c r="B522" s="4">
        <v>10435.0</v>
      </c>
      <c r="C522" s="5">
        <f t="shared" si="217"/>
        <v>40400</v>
      </c>
      <c r="D522" s="4" t="s">
        <v>63</v>
      </c>
      <c r="E522" s="4">
        <v>46.0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0.58</v>
      </c>
      <c r="U522" s="5">
        <f>C522+1</f>
        <v>40401</v>
      </c>
    </row>
    <row r="523" ht="12.75" customHeight="1">
      <c r="A523" s="4">
        <v>1501.0</v>
      </c>
      <c r="B523" s="4">
        <v>10851.0</v>
      </c>
      <c r="C523" s="5">
        <f>DATE(2012,12,31)-1365</f>
        <v>39909</v>
      </c>
      <c r="D523" s="4" t="s">
        <v>30</v>
      </c>
      <c r="E523" s="4">
        <v>50.0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ht="12.75" customHeight="1">
      <c r="A524" s="4">
        <v>1503.0</v>
      </c>
      <c r="B524" s="4">
        <v>10852.0</v>
      </c>
      <c r="C524" s="5">
        <f t="shared" ref="C524:C525" si="218">DATE(2012,12,31)-797</f>
        <v>40477</v>
      </c>
      <c r="D524" s="4" t="s">
        <v>30</v>
      </c>
      <c r="E524" s="4">
        <v>17.0</v>
      </c>
      <c r="F524" s="4">
        <v>285.84</v>
      </c>
      <c r="G524" s="4">
        <v>0.02</v>
      </c>
      <c r="H524" s="4" t="s">
        <v>22</v>
      </c>
      <c r="I524" s="6">
        <v>-27.255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ht="12.75" customHeight="1">
      <c r="A525" s="4">
        <v>1504.0</v>
      </c>
      <c r="B525" s="4">
        <v>10852.0</v>
      </c>
      <c r="C525" s="5">
        <f t="shared" si="218"/>
        <v>40477</v>
      </c>
      <c r="D525" s="4" t="s">
        <v>30</v>
      </c>
      <c r="E525" s="4">
        <v>40.0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</v>
      </c>
      <c r="U525" s="5">
        <f>C525+1</f>
        <v>40478</v>
      </c>
    </row>
    <row r="526" ht="12.75" customHeight="1">
      <c r="A526" s="4">
        <v>1560.0</v>
      </c>
      <c r="B526" s="4">
        <v>11269.0</v>
      </c>
      <c r="C526" s="5">
        <f t="shared" ref="C526:C528" si="219">DATE(2012,12,31)-219</f>
        <v>41055</v>
      </c>
      <c r="D526" s="4" t="s">
        <v>21</v>
      </c>
      <c r="E526" s="4">
        <v>39.0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65.99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0.58</v>
      </c>
      <c r="U526" s="5">
        <f>C526+4</f>
        <v>41059</v>
      </c>
    </row>
    <row r="527" ht="12.75" customHeight="1">
      <c r="A527" s="4">
        <v>1561.0</v>
      </c>
      <c r="B527" s="4">
        <v>11269.0</v>
      </c>
      <c r="C527" s="5">
        <f t="shared" si="219"/>
        <v>41055</v>
      </c>
      <c r="D527" s="4" t="s">
        <v>21</v>
      </c>
      <c r="E527" s="4">
        <v>49.0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20">C527+7</f>
        <v>41062</v>
      </c>
    </row>
    <row r="528" ht="12.75" customHeight="1">
      <c r="A528" s="4">
        <v>1562.0</v>
      </c>
      <c r="B528" s="4">
        <v>11269.0</v>
      </c>
      <c r="C528" s="5">
        <f t="shared" si="219"/>
        <v>41055</v>
      </c>
      <c r="D528" s="4" t="s">
        <v>21</v>
      </c>
      <c r="E528" s="4">
        <v>1.0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19.99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20"/>
        <v>41062</v>
      </c>
    </row>
    <row r="529" ht="12.75" customHeight="1">
      <c r="A529" s="4">
        <v>1571.0</v>
      </c>
      <c r="B529" s="4">
        <v>11362.0</v>
      </c>
      <c r="C529" s="5">
        <f t="shared" ref="C529:C532" si="221">DATE(2012,12,31)-112</f>
        <v>41162</v>
      </c>
      <c r="D529" s="4" t="s">
        <v>21</v>
      </c>
      <c r="E529" s="4">
        <v>32.0</v>
      </c>
      <c r="F529" s="4">
        <v>3245.73</v>
      </c>
      <c r="G529" s="4">
        <v>0.09</v>
      </c>
      <c r="H529" s="4" t="s">
        <v>22</v>
      </c>
      <c r="I529" s="6">
        <v>569.57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2">C529+2</f>
        <v>41164</v>
      </c>
    </row>
    <row r="530" ht="12.75" customHeight="1">
      <c r="A530" s="4">
        <v>1572.0</v>
      </c>
      <c r="B530" s="4">
        <v>11362.0</v>
      </c>
      <c r="C530" s="5">
        <f t="shared" si="221"/>
        <v>41162</v>
      </c>
      <c r="D530" s="4" t="s">
        <v>21</v>
      </c>
      <c r="E530" s="4">
        <v>27.0</v>
      </c>
      <c r="F530" s="4">
        <v>63.02</v>
      </c>
      <c r="G530" s="4">
        <v>0.07</v>
      </c>
      <c r="H530" s="4" t="s">
        <v>22</v>
      </c>
      <c r="I530" s="6">
        <v>-119.66</v>
      </c>
      <c r="J530" s="4">
        <v>2.18</v>
      </c>
      <c r="K530" s="4">
        <v>5.0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2"/>
        <v>41164</v>
      </c>
    </row>
    <row r="531" ht="12.75" customHeight="1">
      <c r="A531" s="4">
        <v>1573.0</v>
      </c>
      <c r="B531" s="4">
        <v>11362.0</v>
      </c>
      <c r="C531" s="5">
        <f t="shared" si="221"/>
        <v>41162</v>
      </c>
      <c r="D531" s="4" t="s">
        <v>21</v>
      </c>
      <c r="E531" s="4">
        <v>9.0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ht="12.75" customHeight="1">
      <c r="A532" s="4">
        <v>1574.0</v>
      </c>
      <c r="B532" s="4">
        <v>11362.0</v>
      </c>
      <c r="C532" s="5">
        <f t="shared" si="221"/>
        <v>41162</v>
      </c>
      <c r="D532" s="4" t="s">
        <v>21</v>
      </c>
      <c r="E532" s="4">
        <v>25.0</v>
      </c>
      <c r="F532" s="4">
        <v>2407.6929999999998</v>
      </c>
      <c r="G532" s="4">
        <v>0.04</v>
      </c>
      <c r="H532" s="4" t="s">
        <v>22</v>
      </c>
      <c r="I532" s="6">
        <v>424.143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0.57</v>
      </c>
      <c r="U532" s="5">
        <f>C532+4</f>
        <v>41166</v>
      </c>
    </row>
    <row r="533" ht="12.75" customHeight="1">
      <c r="A533" s="4">
        <v>1659.0</v>
      </c>
      <c r="B533" s="4">
        <v>11968.0</v>
      </c>
      <c r="C533" s="5">
        <f>DATE(2012,12,31)-656</f>
        <v>40618</v>
      </c>
      <c r="D533" s="4" t="s">
        <v>21</v>
      </c>
      <c r="E533" s="4">
        <v>31.0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ht="12.75" customHeight="1">
      <c r="A534" s="4">
        <v>1712.0</v>
      </c>
      <c r="B534" s="4">
        <v>12293.0</v>
      </c>
      <c r="C534" s="5">
        <f>DATE(2012,12,31)-562</f>
        <v>40712</v>
      </c>
      <c r="D534" s="4" t="s">
        <v>30</v>
      </c>
      <c r="E534" s="4">
        <v>31.0</v>
      </c>
      <c r="F534" s="4">
        <v>283.17</v>
      </c>
      <c r="G534" s="4">
        <v>0.0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ht="12.75" customHeight="1">
      <c r="A535" s="4">
        <v>1783.0</v>
      </c>
      <c r="B535" s="4">
        <v>12773.0</v>
      </c>
      <c r="C535" s="5">
        <f t="shared" ref="C535:C538" si="223">DATE(2012,12,31)-720</f>
        <v>40554</v>
      </c>
      <c r="D535" s="4" t="s">
        <v>21</v>
      </c>
      <c r="E535" s="4">
        <v>6.0</v>
      </c>
      <c r="F535" s="4">
        <v>17.0</v>
      </c>
      <c r="G535" s="4">
        <v>0.07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ht="12.75" customHeight="1">
      <c r="A536" s="4">
        <v>1784.0</v>
      </c>
      <c r="B536" s="4">
        <v>12773.0</v>
      </c>
      <c r="C536" s="5">
        <f t="shared" si="223"/>
        <v>40554</v>
      </c>
      <c r="D536" s="4" t="s">
        <v>21</v>
      </c>
      <c r="E536" s="4">
        <v>15.0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4.14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ht="12.75" customHeight="1">
      <c r="A537" s="4">
        <v>1785.0</v>
      </c>
      <c r="B537" s="4">
        <v>12773.0</v>
      </c>
      <c r="C537" s="5">
        <f t="shared" si="223"/>
        <v>40554</v>
      </c>
      <c r="D537" s="4" t="s">
        <v>21</v>
      </c>
      <c r="E537" s="4">
        <v>19.0</v>
      </c>
      <c r="F537" s="4">
        <v>130.67</v>
      </c>
      <c r="G537" s="4">
        <v>0.05</v>
      </c>
      <c r="H537" s="4" t="s">
        <v>22</v>
      </c>
      <c r="I537" s="6">
        <v>-77.18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4">C537+5</f>
        <v>40559</v>
      </c>
    </row>
    <row r="538" ht="12.75" customHeight="1">
      <c r="A538" s="4">
        <v>1786.0</v>
      </c>
      <c r="B538" s="4">
        <v>12773.0</v>
      </c>
      <c r="C538" s="5">
        <f t="shared" si="223"/>
        <v>40554</v>
      </c>
      <c r="D538" s="4" t="s">
        <v>21</v>
      </c>
      <c r="E538" s="4">
        <v>21.0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</v>
      </c>
      <c r="U538" s="5">
        <f t="shared" si="224"/>
        <v>40559</v>
      </c>
    </row>
    <row r="539" ht="12.75" customHeight="1">
      <c r="A539" s="4">
        <v>1810.0</v>
      </c>
      <c r="B539" s="4">
        <v>12934.0</v>
      </c>
      <c r="C539" s="5">
        <f t="shared" ref="C539:C540" si="225">DATE(2012,12,31)-1397</f>
        <v>39877</v>
      </c>
      <c r="D539" s="4" t="s">
        <v>45</v>
      </c>
      <c r="E539" s="4">
        <v>45.0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9.78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6">C539+1</f>
        <v>39878</v>
      </c>
    </row>
    <row r="540" ht="12.75" customHeight="1">
      <c r="A540" s="4">
        <v>1811.0</v>
      </c>
      <c r="B540" s="4">
        <v>12934.0</v>
      </c>
      <c r="C540" s="5">
        <f t="shared" si="225"/>
        <v>39877</v>
      </c>
      <c r="D540" s="4" t="s">
        <v>45</v>
      </c>
      <c r="E540" s="4">
        <v>27.0</v>
      </c>
      <c r="F540" s="4">
        <v>96.99</v>
      </c>
      <c r="G540" s="4">
        <v>0.02</v>
      </c>
      <c r="H540" s="4" t="s">
        <v>56</v>
      </c>
      <c r="I540" s="6">
        <v>-66.35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</v>
      </c>
      <c r="U540" s="5">
        <f t="shared" si="226"/>
        <v>39878</v>
      </c>
    </row>
    <row r="541" ht="12.75" customHeight="1">
      <c r="A541" s="4">
        <v>1826.0</v>
      </c>
      <c r="B541" s="4">
        <v>13120.0</v>
      </c>
      <c r="C541" s="5">
        <f t="shared" ref="C541:C542" si="227">DATE(2012,12,31)-1113</f>
        <v>40161</v>
      </c>
      <c r="D541" s="4" t="s">
        <v>21</v>
      </c>
      <c r="E541" s="4">
        <v>46.0</v>
      </c>
      <c r="F541" s="4">
        <v>590.43</v>
      </c>
      <c r="G541" s="4">
        <v>0.09</v>
      </c>
      <c r="H541" s="4" t="s">
        <v>22</v>
      </c>
      <c r="I541" s="6">
        <v>82.5945</v>
      </c>
      <c r="J541" s="4">
        <v>12.95</v>
      </c>
      <c r="K541" s="4">
        <v>4.98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ht="12.75" customHeight="1">
      <c r="A542" s="4">
        <v>1827.0</v>
      </c>
      <c r="B542" s="4">
        <v>13120.0</v>
      </c>
      <c r="C542" s="5">
        <f t="shared" si="227"/>
        <v>40161</v>
      </c>
      <c r="D542" s="4" t="s">
        <v>21</v>
      </c>
      <c r="E542" s="4">
        <v>8.0</v>
      </c>
      <c r="F542" s="4">
        <v>216.33</v>
      </c>
      <c r="G542" s="4">
        <v>0.0</v>
      </c>
      <c r="H542" s="4" t="s">
        <v>22</v>
      </c>
      <c r="I542" s="6">
        <v>-17.365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ht="12.75" customHeight="1">
      <c r="A543" s="4">
        <v>1896.0</v>
      </c>
      <c r="B543" s="4">
        <v>13604.0</v>
      </c>
      <c r="C543" s="5">
        <f t="shared" ref="C543:C544" si="228">DATE(2012,12,31)-1428</f>
        <v>39846</v>
      </c>
      <c r="D543" s="4" t="s">
        <v>45</v>
      </c>
      <c r="E543" s="4">
        <v>38.0</v>
      </c>
      <c r="F543" s="4">
        <v>3152.75</v>
      </c>
      <c r="G543" s="4">
        <v>0.04</v>
      </c>
      <c r="H543" s="4" t="s">
        <v>22</v>
      </c>
      <c r="I543" s="6">
        <v>1166.4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ht="12.75" customHeight="1">
      <c r="A544" s="4">
        <v>1897.0</v>
      </c>
      <c r="B544" s="4">
        <v>13604.0</v>
      </c>
      <c r="C544" s="5">
        <f t="shared" si="228"/>
        <v>39846</v>
      </c>
      <c r="D544" s="4" t="s">
        <v>45</v>
      </c>
      <c r="E544" s="4">
        <v>42.0</v>
      </c>
      <c r="F544" s="4">
        <v>3609.88</v>
      </c>
      <c r="G544" s="4">
        <v>0.07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ht="12.75" customHeight="1">
      <c r="A545" s="4">
        <v>1947.0</v>
      </c>
      <c r="B545" s="4">
        <v>13927.0</v>
      </c>
      <c r="C545" s="5">
        <f>DATE(2012,12,31)-1223</f>
        <v>40051</v>
      </c>
      <c r="D545" s="4" t="s">
        <v>21</v>
      </c>
      <c r="E545" s="4">
        <v>26.0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ht="12.75" customHeight="1">
      <c r="A546" s="4">
        <v>2104.0</v>
      </c>
      <c r="B546" s="4">
        <v>15044.0</v>
      </c>
      <c r="C546" s="5">
        <f>DATE(2012,12,31)-300</f>
        <v>40974</v>
      </c>
      <c r="D546" s="4" t="s">
        <v>21</v>
      </c>
      <c r="E546" s="4">
        <v>42.0</v>
      </c>
      <c r="F546" s="4">
        <v>1681.6</v>
      </c>
      <c r="G546" s="4">
        <v>0.07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</v>
      </c>
      <c r="U546" s="5">
        <f>C546+4</f>
        <v>40978</v>
      </c>
    </row>
    <row r="547" ht="12.75" customHeight="1">
      <c r="A547" s="4">
        <v>2124.0</v>
      </c>
      <c r="B547" s="4">
        <v>15139.0</v>
      </c>
      <c r="C547" s="5">
        <f t="shared" ref="C547:C548" si="229">DATE(2012,12,31)-1138</f>
        <v>40136</v>
      </c>
      <c r="D547" s="4" t="s">
        <v>30</v>
      </c>
      <c r="E547" s="4">
        <v>17.0</v>
      </c>
      <c r="F547" s="4">
        <v>5203.9</v>
      </c>
      <c r="G547" s="4">
        <v>0.07</v>
      </c>
      <c r="H547" s="4" t="s">
        <v>31</v>
      </c>
      <c r="I547" s="6">
        <v>636.2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</v>
      </c>
      <c r="U547" s="5">
        <f>C547+2</f>
        <v>40138</v>
      </c>
    </row>
    <row r="548" ht="12.75" customHeight="1">
      <c r="A548" s="4">
        <v>2125.0</v>
      </c>
      <c r="B548" s="4">
        <v>15139.0</v>
      </c>
      <c r="C548" s="5">
        <f t="shared" si="229"/>
        <v>40136</v>
      </c>
      <c r="D548" s="4" t="s">
        <v>30</v>
      </c>
      <c r="E548" s="4">
        <v>33.0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45.0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ht="12.75" customHeight="1">
      <c r="A549" s="4">
        <v>2158.0</v>
      </c>
      <c r="B549" s="4">
        <v>15463.0</v>
      </c>
      <c r="C549" s="5">
        <f>DATE(2012,12,31)-891</f>
        <v>40383</v>
      </c>
      <c r="D549" s="4" t="s">
        <v>21</v>
      </c>
      <c r="E549" s="4">
        <v>48.0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ht="12.75" customHeight="1">
      <c r="A550" s="4">
        <v>2164.0</v>
      </c>
      <c r="B550" s="4">
        <v>15618.0</v>
      </c>
      <c r="C550" s="5">
        <f t="shared" ref="C550:C552" si="230">DATE(2012,12,31)-880</f>
        <v>40394</v>
      </c>
      <c r="D550" s="4" t="s">
        <v>63</v>
      </c>
      <c r="E550" s="4">
        <v>9.0</v>
      </c>
      <c r="F550" s="4">
        <v>50.93</v>
      </c>
      <c r="G550" s="4">
        <v>0.06</v>
      </c>
      <c r="H550" s="4" t="s">
        <v>22</v>
      </c>
      <c r="I550" s="6">
        <v>-34.98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ht="12.75" customHeight="1">
      <c r="A551" s="4">
        <v>2165.0</v>
      </c>
      <c r="B551" s="4">
        <v>15618.0</v>
      </c>
      <c r="C551" s="5">
        <f t="shared" si="230"/>
        <v>40394</v>
      </c>
      <c r="D551" s="4" t="s">
        <v>63</v>
      </c>
      <c r="E551" s="4">
        <v>44.0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9.54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1">C551+2</f>
        <v>40396</v>
      </c>
    </row>
    <row r="552" ht="12.75" customHeight="1">
      <c r="A552" s="4">
        <v>2166.0</v>
      </c>
      <c r="B552" s="4">
        <v>15618.0</v>
      </c>
      <c r="C552" s="5">
        <f t="shared" si="230"/>
        <v>40394</v>
      </c>
      <c r="D552" s="4" t="s">
        <v>63</v>
      </c>
      <c r="E552" s="4">
        <v>14.0</v>
      </c>
      <c r="F552" s="4">
        <v>782.4504999999999</v>
      </c>
      <c r="G552" s="4">
        <v>0.06</v>
      </c>
      <c r="H552" s="4" t="s">
        <v>22</v>
      </c>
      <c r="I552" s="6">
        <v>-11.395999999999999</v>
      </c>
      <c r="J552" s="4">
        <v>65.99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1"/>
        <v>40396</v>
      </c>
    </row>
    <row r="553" ht="12.75" customHeight="1">
      <c r="A553" s="4">
        <v>2227.0</v>
      </c>
      <c r="B553" s="4">
        <v>16100.0</v>
      </c>
      <c r="C553" s="5">
        <f>DATE(2012,12,31)-665</f>
        <v>40609</v>
      </c>
      <c r="D553" s="4" t="s">
        <v>63</v>
      </c>
      <c r="E553" s="4">
        <v>44.0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ht="12.75" customHeight="1">
      <c r="A554" s="4">
        <v>2269.0</v>
      </c>
      <c r="B554" s="4">
        <v>16320.0</v>
      </c>
      <c r="C554" s="5">
        <f>DATE(2012,12,31)-438</f>
        <v>40836</v>
      </c>
      <c r="D554" s="4" t="s">
        <v>45</v>
      </c>
      <c r="E554" s="4">
        <v>17.0</v>
      </c>
      <c r="F554" s="4">
        <v>1856.9695</v>
      </c>
      <c r="G554" s="4">
        <v>0.0</v>
      </c>
      <c r="H554" s="4" t="s">
        <v>22</v>
      </c>
      <c r="I554" s="6">
        <v>176.868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0.57</v>
      </c>
      <c r="U554" s="5">
        <f>C554+2</f>
        <v>40838</v>
      </c>
    </row>
    <row r="555" ht="12.75" customHeight="1">
      <c r="A555" s="4">
        <v>2278.0</v>
      </c>
      <c r="B555" s="4">
        <v>16419.0</v>
      </c>
      <c r="C555" s="5">
        <f>DATE(2012,12,31)-1245</f>
        <v>40029</v>
      </c>
      <c r="D555" s="4" t="s">
        <v>45</v>
      </c>
      <c r="E555" s="4">
        <v>43.0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ht="12.75" customHeight="1">
      <c r="A556" s="4">
        <v>2362.0</v>
      </c>
      <c r="B556" s="4">
        <v>17090.0</v>
      </c>
      <c r="C556" s="5">
        <f t="shared" ref="C556:C557" si="232">DATE(2012,12,31)-978</f>
        <v>40296</v>
      </c>
      <c r="D556" s="4" t="s">
        <v>21</v>
      </c>
      <c r="E556" s="4">
        <v>30.0</v>
      </c>
      <c r="F556" s="4">
        <v>4177.52</v>
      </c>
      <c r="G556" s="4">
        <v>0.04</v>
      </c>
      <c r="H556" s="4" t="s">
        <v>31</v>
      </c>
      <c r="I556" s="6">
        <v>-443.78</v>
      </c>
      <c r="J556" s="4">
        <v>140.98</v>
      </c>
      <c r="K556" s="4">
        <v>36.09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ht="12.75" customHeight="1">
      <c r="A557" s="4">
        <v>2363.0</v>
      </c>
      <c r="B557" s="4">
        <v>17090.0</v>
      </c>
      <c r="C557" s="5">
        <f t="shared" si="232"/>
        <v>40296</v>
      </c>
      <c r="D557" s="4" t="s">
        <v>21</v>
      </c>
      <c r="E557" s="4">
        <v>26.0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ht="12.75" customHeight="1">
      <c r="A558" s="4">
        <v>2391.0</v>
      </c>
      <c r="B558" s="4">
        <v>17315.0</v>
      </c>
      <c r="C558" s="5">
        <f>DATE(2012,12,31)-1349</f>
        <v>39925</v>
      </c>
      <c r="D558" s="4" t="s">
        <v>21</v>
      </c>
      <c r="E558" s="4">
        <v>29.0</v>
      </c>
      <c r="F558" s="4">
        <v>159.11</v>
      </c>
      <c r="G558" s="4">
        <v>0.07</v>
      </c>
      <c r="H558" s="4" t="s">
        <v>22</v>
      </c>
      <c r="I558" s="6">
        <v>64.01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ht="12.75" customHeight="1">
      <c r="A559" s="4">
        <v>2395.0</v>
      </c>
      <c r="B559" s="4">
        <v>17376.0</v>
      </c>
      <c r="C559" s="5">
        <f>DATE(2012,12,31)-393</f>
        <v>40881</v>
      </c>
      <c r="D559" s="4" t="s">
        <v>30</v>
      </c>
      <c r="E559" s="4">
        <v>44.0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ht="12.75" customHeight="1">
      <c r="A560" s="4">
        <v>2506.0</v>
      </c>
      <c r="B560" s="4">
        <v>18210.0</v>
      </c>
      <c r="C560" s="5">
        <f t="shared" ref="C560:C561" si="233">DATE(2012,12,31)-878</f>
        <v>40396</v>
      </c>
      <c r="D560" s="4" t="s">
        <v>45</v>
      </c>
      <c r="E560" s="4">
        <v>27.0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19.99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0.57</v>
      </c>
      <c r="U560" s="5">
        <f t="shared" ref="U560:U561" si="234">C560+1</f>
        <v>40397</v>
      </c>
    </row>
    <row r="561" ht="12.75" customHeight="1">
      <c r="A561" s="4">
        <v>2507.0</v>
      </c>
      <c r="B561" s="4">
        <v>18210.0</v>
      </c>
      <c r="C561" s="5">
        <f t="shared" si="233"/>
        <v>40396</v>
      </c>
      <c r="D561" s="4" t="s">
        <v>45</v>
      </c>
      <c r="E561" s="4">
        <v>27.0</v>
      </c>
      <c r="F561" s="4">
        <v>80.79</v>
      </c>
      <c r="G561" s="4">
        <v>0.0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</v>
      </c>
      <c r="U561" s="5">
        <f t="shared" si="234"/>
        <v>40397</v>
      </c>
    </row>
    <row r="562" ht="12.75" customHeight="1">
      <c r="A562" s="4">
        <v>2514.0</v>
      </c>
      <c r="B562" s="4">
        <v>18273.0</v>
      </c>
      <c r="C562" s="5">
        <f>DATE(2012,12,31)-473</f>
        <v>40801</v>
      </c>
      <c r="D562" s="4" t="s">
        <v>21</v>
      </c>
      <c r="E562" s="4">
        <v>18.0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19.99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ht="12.75" customHeight="1">
      <c r="A563" s="4">
        <v>2600.0</v>
      </c>
      <c r="B563" s="4">
        <v>18788.0</v>
      </c>
      <c r="C563" s="5">
        <f>DATE(2012,12,31)-1186</f>
        <v>40088</v>
      </c>
      <c r="D563" s="4" t="s">
        <v>45</v>
      </c>
      <c r="E563" s="4">
        <v>27.0</v>
      </c>
      <c r="F563" s="4">
        <v>566.12</v>
      </c>
      <c r="G563" s="4">
        <v>0.03</v>
      </c>
      <c r="H563" s="4" t="s">
        <v>22</v>
      </c>
      <c r="I563" s="6">
        <v>-19.33</v>
      </c>
      <c r="J563" s="4">
        <v>19.99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5">C563+1</f>
        <v>40089</v>
      </c>
    </row>
    <row r="564" ht="12.75" customHeight="1">
      <c r="A564" s="4">
        <v>2628.0</v>
      </c>
      <c r="B564" s="4">
        <v>19042.0</v>
      </c>
      <c r="C564" s="5">
        <f>DATE(2012,12,31)-1401</f>
        <v>39873</v>
      </c>
      <c r="D564" s="4" t="s">
        <v>78</v>
      </c>
      <c r="E564" s="4">
        <v>8.0</v>
      </c>
      <c r="F564" s="4">
        <v>327.61</v>
      </c>
      <c r="G564" s="4">
        <v>0.07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5"/>
        <v>39874</v>
      </c>
    </row>
    <row r="565" ht="12.75" customHeight="1">
      <c r="A565" s="4">
        <v>2633.0</v>
      </c>
      <c r="B565" s="4">
        <v>19073.0</v>
      </c>
      <c r="C565" s="5">
        <f t="shared" ref="C565:C566" si="236">DATE(2012,12,31)-1286</f>
        <v>39988</v>
      </c>
      <c r="D565" s="4" t="s">
        <v>45</v>
      </c>
      <c r="E565" s="4">
        <v>16.0</v>
      </c>
      <c r="F565" s="4">
        <v>178.4</v>
      </c>
      <c r="G565" s="4">
        <v>0.04</v>
      </c>
      <c r="H565" s="4" t="s">
        <v>22</v>
      </c>
      <c r="I565" s="6">
        <v>20.08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0.57</v>
      </c>
      <c r="U565" s="5">
        <f t="shared" si="235"/>
        <v>39989</v>
      </c>
    </row>
    <row r="566" ht="12.75" customHeight="1">
      <c r="A566" s="4">
        <v>2634.0</v>
      </c>
      <c r="B566" s="4">
        <v>19073.0</v>
      </c>
      <c r="C566" s="5">
        <f t="shared" si="236"/>
        <v>39988</v>
      </c>
      <c r="D566" s="4" t="s">
        <v>45</v>
      </c>
      <c r="E566" s="4">
        <v>40.0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ht="12.75" customHeight="1">
      <c r="A567" s="4">
        <v>2678.0</v>
      </c>
      <c r="B567" s="4">
        <v>19365.0</v>
      </c>
      <c r="C567" s="5">
        <f>DATE(2012,12,31)-715</f>
        <v>40559</v>
      </c>
      <c r="D567" s="4" t="s">
        <v>63</v>
      </c>
      <c r="E567" s="4">
        <v>29.0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ht="12.75" customHeight="1">
      <c r="A568" s="4">
        <v>2716.0</v>
      </c>
      <c r="B568" s="4">
        <v>19617.0</v>
      </c>
      <c r="C568" s="5">
        <f t="shared" ref="C568:C569" si="237">DATE(2012,12,31)-346</f>
        <v>40928</v>
      </c>
      <c r="D568" s="4" t="s">
        <v>21</v>
      </c>
      <c r="E568" s="4">
        <v>38.0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ht="12.75" customHeight="1">
      <c r="A569" s="4">
        <v>2717.0</v>
      </c>
      <c r="B569" s="4">
        <v>19617.0</v>
      </c>
      <c r="C569" s="5">
        <f t="shared" si="237"/>
        <v>40928</v>
      </c>
      <c r="D569" s="4" t="s">
        <v>21</v>
      </c>
      <c r="E569" s="4">
        <v>3.0</v>
      </c>
      <c r="F569" s="4">
        <v>171.9635</v>
      </c>
      <c r="G569" s="4">
        <v>0.07</v>
      </c>
      <c r="H569" s="4" t="s">
        <v>22</v>
      </c>
      <c r="I569" s="6">
        <v>-296.373</v>
      </c>
      <c r="J569" s="4">
        <v>65.99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0.58</v>
      </c>
      <c r="U569" s="5">
        <f>C569+0</f>
        <v>40928</v>
      </c>
    </row>
    <row r="570" ht="12.75" customHeight="1">
      <c r="A570" s="4">
        <v>2770.0</v>
      </c>
      <c r="B570" s="4">
        <v>20033.0</v>
      </c>
      <c r="C570" s="5">
        <f>DATE(2012,12,31)-955</f>
        <v>40319</v>
      </c>
      <c r="D570" s="4" t="s">
        <v>78</v>
      </c>
      <c r="E570" s="4">
        <v>5.0</v>
      </c>
      <c r="F570" s="4">
        <v>2543.95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ht="12.75" customHeight="1">
      <c r="A571" s="4">
        <v>2930.0</v>
      </c>
      <c r="B571" s="4">
        <v>21223.0</v>
      </c>
      <c r="C571" s="5">
        <f t="shared" ref="C571:C572" si="238">DATE(2012,12,31)-291</f>
        <v>40983</v>
      </c>
      <c r="D571" s="4" t="s">
        <v>45</v>
      </c>
      <c r="E571" s="4">
        <v>3.0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9">C571+1</f>
        <v>40984</v>
      </c>
    </row>
    <row r="572" ht="12.75" customHeight="1">
      <c r="A572" s="4">
        <v>2931.0</v>
      </c>
      <c r="B572" s="4">
        <v>21223.0</v>
      </c>
      <c r="C572" s="5">
        <f t="shared" si="238"/>
        <v>40983</v>
      </c>
      <c r="D572" s="4" t="s">
        <v>45</v>
      </c>
      <c r="E572" s="4">
        <v>8.0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9"/>
        <v>40984</v>
      </c>
    </row>
    <row r="573" ht="12.75" customHeight="1">
      <c r="A573" s="4">
        <v>2950.0</v>
      </c>
      <c r="B573" s="4">
        <v>21378.0</v>
      </c>
      <c r="C573" s="5">
        <f t="shared" ref="C573:C574" si="240">DATE(2012,12,31)-512</f>
        <v>40762</v>
      </c>
      <c r="D573" s="4" t="s">
        <v>63</v>
      </c>
      <c r="E573" s="4">
        <v>34.0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9"/>
        <v>40763</v>
      </c>
    </row>
    <row r="574" ht="12.75" customHeight="1">
      <c r="A574" s="4">
        <v>2951.0</v>
      </c>
      <c r="B574" s="4">
        <v>21378.0</v>
      </c>
      <c r="C574" s="5">
        <f t="shared" si="240"/>
        <v>40762</v>
      </c>
      <c r="D574" s="4" t="s">
        <v>63</v>
      </c>
      <c r="E574" s="4">
        <v>17.0</v>
      </c>
      <c r="F574" s="4">
        <v>1616.64</v>
      </c>
      <c r="G574" s="4">
        <v>0.07</v>
      </c>
      <c r="H574" s="4" t="s">
        <v>22</v>
      </c>
      <c r="I574" s="6">
        <v>26.94</v>
      </c>
      <c r="J574" s="4">
        <v>99.99</v>
      </c>
      <c r="K574" s="4">
        <v>19.99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ht="12.75" customHeight="1">
      <c r="A575" s="4">
        <v>2984.0</v>
      </c>
      <c r="B575" s="4">
        <v>21542.0</v>
      </c>
      <c r="C575" s="5">
        <f t="shared" ref="C575:C576" si="241">DATE(2012,12,31)-590</f>
        <v>40684</v>
      </c>
      <c r="D575" s="4" t="s">
        <v>30</v>
      </c>
      <c r="E575" s="4">
        <v>18.0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2">C575+1</f>
        <v>40685</v>
      </c>
    </row>
    <row r="576" ht="12.75" customHeight="1">
      <c r="A576" s="4">
        <v>2985.0</v>
      </c>
      <c r="B576" s="4">
        <v>21542.0</v>
      </c>
      <c r="C576" s="5">
        <f t="shared" si="241"/>
        <v>40684</v>
      </c>
      <c r="D576" s="4" t="s">
        <v>30</v>
      </c>
      <c r="E576" s="4">
        <v>43.0</v>
      </c>
      <c r="F576" s="4">
        <v>11674.968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2"/>
        <v>40685</v>
      </c>
    </row>
    <row r="577" ht="12.75" customHeight="1">
      <c r="A577" s="4">
        <v>3133.0</v>
      </c>
      <c r="B577" s="4">
        <v>22469.0</v>
      </c>
      <c r="C577" s="5">
        <f t="shared" ref="C577:C578" si="243">DATE(2012,12,31)-812</f>
        <v>40462</v>
      </c>
      <c r="D577" s="4" t="s">
        <v>30</v>
      </c>
      <c r="E577" s="4">
        <v>24.0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49.0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4">C577+2</f>
        <v>40464</v>
      </c>
    </row>
    <row r="578" ht="12.75" customHeight="1">
      <c r="A578" s="4">
        <v>3134.0</v>
      </c>
      <c r="B578" s="4">
        <v>22469.0</v>
      </c>
      <c r="C578" s="5">
        <f t="shared" si="243"/>
        <v>40462</v>
      </c>
      <c r="D578" s="4" t="s">
        <v>30</v>
      </c>
      <c r="E578" s="4">
        <v>23.0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69.0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4"/>
        <v>40464</v>
      </c>
    </row>
    <row r="579" ht="12.75" customHeight="1">
      <c r="A579" s="4">
        <v>3155.0</v>
      </c>
      <c r="B579" s="4">
        <v>22656.0</v>
      </c>
      <c r="C579" s="5">
        <f>DATE(2012,12,31)-740</f>
        <v>40534</v>
      </c>
      <c r="D579" s="4" t="s">
        <v>45</v>
      </c>
      <c r="E579" s="4">
        <v>10.0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4"/>
        <v>40536</v>
      </c>
    </row>
    <row r="580" ht="12.75" customHeight="1">
      <c r="A580" s="4">
        <v>3163.0</v>
      </c>
      <c r="B580" s="4">
        <v>22695.0</v>
      </c>
      <c r="C580" s="5">
        <f>DATE(2012,12,31)-1277</f>
        <v>39997</v>
      </c>
      <c r="D580" s="4" t="s">
        <v>21</v>
      </c>
      <c r="E580" s="4">
        <v>44.0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ht="12.75" customHeight="1">
      <c r="A581" s="4">
        <v>3214.0</v>
      </c>
      <c r="B581" s="4">
        <v>23076.0</v>
      </c>
      <c r="C581" s="5">
        <f>DATE(2012,12,31)-1314</f>
        <v>39960</v>
      </c>
      <c r="D581" s="4" t="s">
        <v>78</v>
      </c>
      <c r="E581" s="4">
        <v>50.0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ht="12.75" customHeight="1">
      <c r="A582" s="4">
        <v>3360.0</v>
      </c>
      <c r="B582" s="4">
        <v>24038.0</v>
      </c>
      <c r="C582" s="5">
        <f>DATE(2012,12,31)-560</f>
        <v>40714</v>
      </c>
      <c r="D582" s="4" t="s">
        <v>30</v>
      </c>
      <c r="E582" s="4">
        <v>15.0</v>
      </c>
      <c r="F582" s="4">
        <v>896.1804999999999</v>
      </c>
      <c r="G582" s="4">
        <v>0.0</v>
      </c>
      <c r="H582" s="4" t="s">
        <v>56</v>
      </c>
      <c r="I582" s="6">
        <v>82.044</v>
      </c>
      <c r="J582" s="4">
        <v>65.99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</v>
      </c>
      <c r="U582" s="5">
        <f>C582+2</f>
        <v>40716</v>
      </c>
    </row>
    <row r="583" ht="12.75" customHeight="1">
      <c r="A583" s="4">
        <v>3365.0</v>
      </c>
      <c r="B583" s="4">
        <v>24067.0</v>
      </c>
      <c r="C583" s="5">
        <f t="shared" ref="C583:C584" si="245">DATE(2012,12,31)-131</f>
        <v>41143</v>
      </c>
      <c r="D583" s="4" t="s">
        <v>30</v>
      </c>
      <c r="E583" s="4">
        <v>19.0</v>
      </c>
      <c r="F583" s="4">
        <v>120.56</v>
      </c>
      <c r="G583" s="4">
        <v>0.07</v>
      </c>
      <c r="H583" s="4" t="s">
        <v>22</v>
      </c>
      <c r="I583" s="6">
        <v>-79.35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6">C583+1</f>
        <v>41144</v>
      </c>
    </row>
    <row r="584" ht="12.75" customHeight="1">
      <c r="A584" s="4">
        <v>3366.0</v>
      </c>
      <c r="B584" s="4">
        <v>24067.0</v>
      </c>
      <c r="C584" s="5">
        <f t="shared" si="245"/>
        <v>41143</v>
      </c>
      <c r="D584" s="4" t="s">
        <v>30</v>
      </c>
      <c r="E584" s="4">
        <v>46.0</v>
      </c>
      <c r="F584" s="4">
        <v>2640.6865</v>
      </c>
      <c r="G584" s="4">
        <v>0.03</v>
      </c>
      <c r="H584" s="4" t="s">
        <v>56</v>
      </c>
      <c r="I584" s="6">
        <v>751.383</v>
      </c>
      <c r="J584" s="4">
        <v>65.99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</v>
      </c>
      <c r="U584" s="5">
        <f t="shared" si="246"/>
        <v>41144</v>
      </c>
    </row>
    <row r="585" ht="12.75" customHeight="1">
      <c r="A585" s="4">
        <v>3420.0</v>
      </c>
      <c r="B585" s="4">
        <v>24388.0</v>
      </c>
      <c r="C585" s="5">
        <f>DATE(2012,12,31)-705</f>
        <v>40569</v>
      </c>
      <c r="D585" s="4" t="s">
        <v>78</v>
      </c>
      <c r="E585" s="4">
        <v>15.0</v>
      </c>
      <c r="F585" s="4">
        <v>8662.34</v>
      </c>
      <c r="G585" s="4">
        <v>0.0</v>
      </c>
      <c r="H585" s="4" t="s">
        <v>31</v>
      </c>
      <c r="I585" s="6">
        <v>-704.66</v>
      </c>
      <c r="J585" s="4">
        <v>549.99</v>
      </c>
      <c r="K585" s="4">
        <v>49.0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6"/>
        <v>40570</v>
      </c>
    </row>
    <row r="586" ht="12.75" customHeight="1">
      <c r="A586" s="4">
        <v>3428.0</v>
      </c>
      <c r="B586" s="4">
        <v>24451.0</v>
      </c>
      <c r="C586" s="5">
        <f>DATE(2012,12,31)-28</f>
        <v>41246</v>
      </c>
      <c r="D586" s="4" t="s">
        <v>78</v>
      </c>
      <c r="E586" s="4">
        <v>24.0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60.0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6"/>
        <v>41247</v>
      </c>
    </row>
    <row r="587" ht="12.75" customHeight="1">
      <c r="A587" s="4">
        <v>3487.0</v>
      </c>
      <c r="B587" s="4">
        <v>24806.0</v>
      </c>
      <c r="C587" s="5">
        <f>DATE(2012,12,31)-847</f>
        <v>40427</v>
      </c>
      <c r="D587" s="4" t="s">
        <v>45</v>
      </c>
      <c r="E587" s="4">
        <v>20.0</v>
      </c>
      <c r="F587" s="4">
        <v>112.03</v>
      </c>
      <c r="G587" s="4">
        <v>0.05</v>
      </c>
      <c r="H587" s="4" t="s">
        <v>22</v>
      </c>
      <c r="I587" s="6">
        <v>-57.9945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ht="12.75" customHeight="1">
      <c r="A588" s="4">
        <v>3505.0</v>
      </c>
      <c r="B588" s="4">
        <v>24965.0</v>
      </c>
      <c r="C588" s="5">
        <f t="shared" ref="C588:C589" si="247">DATE(2012,12,31)-643</f>
        <v>40631</v>
      </c>
      <c r="D588" s="4" t="s">
        <v>21</v>
      </c>
      <c r="E588" s="4">
        <v>6.0</v>
      </c>
      <c r="F588" s="4">
        <v>2528.49</v>
      </c>
      <c r="G588" s="4">
        <v>0.07</v>
      </c>
      <c r="H588" s="4" t="s">
        <v>56</v>
      </c>
      <c r="I588" s="6">
        <v>580.1505</v>
      </c>
      <c r="J588" s="4">
        <v>420.98</v>
      </c>
      <c r="K588" s="4">
        <v>19.99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ht="12.75" customHeight="1">
      <c r="A589" s="4">
        <v>3506.0</v>
      </c>
      <c r="B589" s="4">
        <v>24965.0</v>
      </c>
      <c r="C589" s="5">
        <f t="shared" si="247"/>
        <v>40631</v>
      </c>
      <c r="D589" s="4" t="s">
        <v>21</v>
      </c>
      <c r="E589" s="4">
        <v>42.0</v>
      </c>
      <c r="F589" s="4">
        <v>1146.11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ht="12.75" customHeight="1">
      <c r="A590" s="4">
        <v>3533.0</v>
      </c>
      <c r="B590" s="4">
        <v>25154.0</v>
      </c>
      <c r="C590" s="5">
        <f>DATE(2012,12,31)-864</f>
        <v>40410</v>
      </c>
      <c r="D590" s="4" t="s">
        <v>30</v>
      </c>
      <c r="E590" s="4">
        <v>16.0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ht="12.75" customHeight="1">
      <c r="A591" s="4">
        <v>3549.0</v>
      </c>
      <c r="B591" s="4">
        <v>25315.0</v>
      </c>
      <c r="C591" s="5">
        <f t="shared" ref="C591:C593" si="248">DATE(2012,12,31)-760</f>
        <v>40514</v>
      </c>
      <c r="D591" s="4" t="s">
        <v>21</v>
      </c>
      <c r="E591" s="4">
        <v>36.0</v>
      </c>
      <c r="F591" s="4">
        <v>7783.36</v>
      </c>
      <c r="G591" s="4">
        <v>0.07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9">C591+0</f>
        <v>40514</v>
      </c>
    </row>
    <row r="592" ht="12.75" customHeight="1">
      <c r="A592" s="4">
        <v>3550.0</v>
      </c>
      <c r="B592" s="4">
        <v>25315.0</v>
      </c>
      <c r="C592" s="5">
        <f t="shared" si="248"/>
        <v>40514</v>
      </c>
      <c r="D592" s="4" t="s">
        <v>21</v>
      </c>
      <c r="E592" s="4">
        <v>21.0</v>
      </c>
      <c r="F592" s="4">
        <v>61.76</v>
      </c>
      <c r="G592" s="4">
        <v>0.0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9"/>
        <v>40514</v>
      </c>
    </row>
    <row r="593" ht="12.75" customHeight="1">
      <c r="A593" s="4">
        <v>3551.0</v>
      </c>
      <c r="B593" s="4">
        <v>25315.0</v>
      </c>
      <c r="C593" s="5">
        <f t="shared" si="248"/>
        <v>40514</v>
      </c>
      <c r="D593" s="4" t="s">
        <v>21</v>
      </c>
      <c r="E593" s="4">
        <v>36.0</v>
      </c>
      <c r="F593" s="4">
        <v>1280.34</v>
      </c>
      <c r="G593" s="4">
        <v>0.0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ht="12.75" customHeight="1">
      <c r="A594" s="4">
        <v>3559.0</v>
      </c>
      <c r="B594" s="4">
        <v>25376.0</v>
      </c>
      <c r="C594" s="5">
        <f>DATE(2012,12,31)-646</f>
        <v>40628</v>
      </c>
      <c r="D594" s="4" t="s">
        <v>78</v>
      </c>
      <c r="E594" s="4">
        <v>12.0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ht="12.75" customHeight="1">
      <c r="A595" s="4">
        <v>3662.0</v>
      </c>
      <c r="B595" s="4">
        <v>26240.0</v>
      </c>
      <c r="C595" s="5">
        <f t="shared" ref="C595:C596" si="250">DATE(2012,12,31)-1108</f>
        <v>40166</v>
      </c>
      <c r="D595" s="4" t="s">
        <v>78</v>
      </c>
      <c r="E595" s="4">
        <v>38.0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39.48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ht="12.75" customHeight="1">
      <c r="A596" s="4">
        <v>3663.0</v>
      </c>
      <c r="B596" s="4">
        <v>26240.0</v>
      </c>
      <c r="C596" s="5">
        <f t="shared" si="250"/>
        <v>40166</v>
      </c>
      <c r="D596" s="4" t="s">
        <v>78</v>
      </c>
      <c r="E596" s="4">
        <v>39.0</v>
      </c>
      <c r="F596" s="4">
        <v>145.68</v>
      </c>
      <c r="G596" s="4">
        <v>0.04</v>
      </c>
      <c r="H596" s="4" t="s">
        <v>22</v>
      </c>
      <c r="I596" s="6">
        <v>12.0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ht="12.75" customHeight="1">
      <c r="A597" s="4">
        <v>3753.0</v>
      </c>
      <c r="B597" s="4">
        <v>26791.0</v>
      </c>
      <c r="C597" s="5">
        <f>DATE(2012,12,31)-612</f>
        <v>40662</v>
      </c>
      <c r="D597" s="4" t="s">
        <v>21</v>
      </c>
      <c r="E597" s="4">
        <v>45.0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ht="12.75" customHeight="1">
      <c r="A598" s="4">
        <v>4042.0</v>
      </c>
      <c r="B598" s="4">
        <v>28836.0</v>
      </c>
      <c r="C598" s="5">
        <f t="shared" ref="C598:C599" si="251">DATE(2012,12,31)-799</f>
        <v>40475</v>
      </c>
      <c r="D598" s="4" t="s">
        <v>30</v>
      </c>
      <c r="E598" s="4">
        <v>50.0</v>
      </c>
      <c r="F598" s="4">
        <v>8221.2935</v>
      </c>
      <c r="G598" s="4">
        <v>0.06</v>
      </c>
      <c r="H598" s="4" t="s">
        <v>22</v>
      </c>
      <c r="I598" s="6">
        <v>2342.214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ht="12.75" customHeight="1">
      <c r="A599" s="4">
        <v>4043.0</v>
      </c>
      <c r="B599" s="4">
        <v>28836.0</v>
      </c>
      <c r="C599" s="5">
        <f t="shared" si="251"/>
        <v>40475</v>
      </c>
      <c r="D599" s="4" t="s">
        <v>30</v>
      </c>
      <c r="E599" s="4">
        <v>7.0</v>
      </c>
      <c r="F599" s="4">
        <v>1158.26</v>
      </c>
      <c r="G599" s="4">
        <v>0.06</v>
      </c>
      <c r="H599" s="4" t="s">
        <v>22</v>
      </c>
      <c r="I599" s="6">
        <v>170.0765</v>
      </c>
      <c r="J599" s="4">
        <v>172.99</v>
      </c>
      <c r="K599" s="4">
        <v>19.99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ht="12.75" customHeight="1">
      <c r="A600" s="4">
        <v>4071.0</v>
      </c>
      <c r="B600" s="4">
        <v>28995.0</v>
      </c>
      <c r="C600" s="5">
        <f t="shared" ref="C600:C601" si="252">DATE(2012,12,31)-964</f>
        <v>40310</v>
      </c>
      <c r="D600" s="4" t="s">
        <v>30</v>
      </c>
      <c r="E600" s="4">
        <v>9.0</v>
      </c>
      <c r="F600" s="4">
        <v>298.52</v>
      </c>
      <c r="G600" s="4">
        <v>0.0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3">C600+1</f>
        <v>40311</v>
      </c>
    </row>
    <row r="601" ht="12.75" customHeight="1">
      <c r="A601" s="4">
        <v>4072.0</v>
      </c>
      <c r="B601" s="4">
        <v>28995.0</v>
      </c>
      <c r="C601" s="5">
        <f t="shared" si="252"/>
        <v>40310</v>
      </c>
      <c r="D601" s="4" t="s">
        <v>30</v>
      </c>
      <c r="E601" s="4">
        <v>34.0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3"/>
        <v>40311</v>
      </c>
    </row>
    <row r="602" ht="12.75" customHeight="1">
      <c r="A602" s="4">
        <v>4085.0</v>
      </c>
      <c r="B602" s="4">
        <v>29121.0</v>
      </c>
      <c r="C602" s="5">
        <f>DATE(2012,12,31)-995</f>
        <v>40279</v>
      </c>
      <c r="D602" s="4" t="s">
        <v>63</v>
      </c>
      <c r="E602" s="4">
        <v>31.0</v>
      </c>
      <c r="F602" s="4">
        <v>3206.965</v>
      </c>
      <c r="G602" s="4">
        <v>0.08</v>
      </c>
      <c r="H602" s="4" t="s">
        <v>22</v>
      </c>
      <c r="I602" s="6">
        <v>575.334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0.58</v>
      </c>
      <c r="U602" s="5">
        <f t="shared" ref="U602:U604" si="254">C602+2</f>
        <v>40281</v>
      </c>
    </row>
    <row r="603" ht="12.75" customHeight="1">
      <c r="A603" s="4">
        <v>4125.0</v>
      </c>
      <c r="B603" s="4">
        <v>29319.0</v>
      </c>
      <c r="C603" s="5">
        <f t="shared" ref="C603:C604" si="255">DATE(2012,12,31)-1437</f>
        <v>39837</v>
      </c>
      <c r="D603" s="4" t="s">
        <v>21</v>
      </c>
      <c r="E603" s="4">
        <v>30.0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4"/>
        <v>39839</v>
      </c>
    </row>
    <row r="604" ht="12.75" customHeight="1">
      <c r="A604" s="4">
        <v>4126.0</v>
      </c>
      <c r="B604" s="4">
        <v>29319.0</v>
      </c>
      <c r="C604" s="5">
        <f t="shared" si="255"/>
        <v>39837</v>
      </c>
      <c r="D604" s="4" t="s">
        <v>21</v>
      </c>
      <c r="E604" s="4">
        <v>21.0</v>
      </c>
      <c r="F604" s="4">
        <v>4429.69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4"/>
        <v>39839</v>
      </c>
    </row>
    <row r="605" ht="12.75" customHeight="1">
      <c r="A605" s="4">
        <v>4137.0</v>
      </c>
      <c r="B605" s="4">
        <v>29382.0</v>
      </c>
      <c r="C605" s="5">
        <f t="shared" ref="C605:C606" si="256">DATE(2012,12,31)-775</f>
        <v>40499</v>
      </c>
      <c r="D605" s="4" t="s">
        <v>30</v>
      </c>
      <c r="E605" s="4">
        <v>42.0</v>
      </c>
      <c r="F605" s="4">
        <v>239.35</v>
      </c>
      <c r="G605" s="4">
        <v>0.05</v>
      </c>
      <c r="H605" s="4" t="s">
        <v>22</v>
      </c>
      <c r="I605" s="6">
        <v>78.96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ht="12.75" customHeight="1">
      <c r="A606" s="4">
        <v>4138.0</v>
      </c>
      <c r="B606" s="4">
        <v>29382.0</v>
      </c>
      <c r="C606" s="5">
        <f t="shared" si="256"/>
        <v>40499</v>
      </c>
      <c r="D606" s="4" t="s">
        <v>30</v>
      </c>
      <c r="E606" s="4">
        <v>34.0</v>
      </c>
      <c r="F606" s="4">
        <v>684.66</v>
      </c>
      <c r="G606" s="4">
        <v>0.07</v>
      </c>
      <c r="H606" s="4" t="s">
        <v>56</v>
      </c>
      <c r="I606" s="6">
        <v>35.09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7">C606+2</f>
        <v>40501</v>
      </c>
    </row>
    <row r="607" ht="12.75" customHeight="1">
      <c r="A607" s="4">
        <v>4151.0</v>
      </c>
      <c r="B607" s="4">
        <v>29445.0</v>
      </c>
      <c r="C607" s="5">
        <f>DATE(2012,12,31)-824</f>
        <v>40450</v>
      </c>
      <c r="D607" s="4" t="s">
        <v>30</v>
      </c>
      <c r="E607" s="4">
        <v>28.0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28.0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7"/>
        <v>40452</v>
      </c>
    </row>
    <row r="608" ht="12.75" customHeight="1">
      <c r="A608" s="4">
        <v>4187.0</v>
      </c>
      <c r="B608" s="4">
        <v>29762.0</v>
      </c>
      <c r="C608" s="5">
        <f>DATE(2012,12,31)-881</f>
        <v>40393</v>
      </c>
      <c r="D608" s="4" t="s">
        <v>78</v>
      </c>
      <c r="E608" s="4">
        <v>15.0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7"/>
        <v>40395</v>
      </c>
    </row>
    <row r="609" ht="12.75" customHeight="1">
      <c r="A609" s="4">
        <v>4229.0</v>
      </c>
      <c r="B609" s="4">
        <v>30048.0</v>
      </c>
      <c r="C609" s="5">
        <f>DATE(2012,12,31)-567</f>
        <v>40707</v>
      </c>
      <c r="D609" s="4" t="s">
        <v>63</v>
      </c>
      <c r="E609" s="4">
        <v>44.0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0.57</v>
      </c>
      <c r="U609" s="5">
        <f t="shared" si="257"/>
        <v>40709</v>
      </c>
    </row>
    <row r="610" ht="12.75" customHeight="1">
      <c r="A610" s="4">
        <v>4249.0</v>
      </c>
      <c r="B610" s="4">
        <v>30243.0</v>
      </c>
      <c r="C610" s="5">
        <f t="shared" ref="C610:C611" si="258">DATE(2012,12,31)-971</f>
        <v>40303</v>
      </c>
      <c r="D610" s="4" t="s">
        <v>78</v>
      </c>
      <c r="E610" s="4">
        <v>44.0</v>
      </c>
      <c r="F610" s="4">
        <v>2435.32</v>
      </c>
      <c r="G610" s="4">
        <v>0.09</v>
      </c>
      <c r="H610" s="4" t="s">
        <v>22</v>
      </c>
      <c r="I610" s="6">
        <v>650.56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0.57</v>
      </c>
      <c r="U610" s="5">
        <f t="shared" si="257"/>
        <v>40305</v>
      </c>
    </row>
    <row r="611" ht="12.75" customHeight="1">
      <c r="A611" s="4">
        <v>4250.0</v>
      </c>
      <c r="B611" s="4">
        <v>30243.0</v>
      </c>
      <c r="C611" s="5">
        <f t="shared" si="258"/>
        <v>40303</v>
      </c>
      <c r="D611" s="4" t="s">
        <v>78</v>
      </c>
      <c r="E611" s="4">
        <v>21.0</v>
      </c>
      <c r="F611" s="4">
        <v>4242.76</v>
      </c>
      <c r="G611" s="4">
        <v>0.07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7"/>
        <v>40305</v>
      </c>
    </row>
    <row r="612" ht="12.75" customHeight="1">
      <c r="A612" s="4">
        <v>4267.0</v>
      </c>
      <c r="B612" s="4">
        <v>30372.0</v>
      </c>
      <c r="C612" s="5">
        <f>DATE(2012,12,31)-854</f>
        <v>40420</v>
      </c>
      <c r="D612" s="4" t="s">
        <v>30</v>
      </c>
      <c r="E612" s="4">
        <v>1.0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</v>
      </c>
      <c r="U612" s="5">
        <f t="shared" si="257"/>
        <v>40422</v>
      </c>
    </row>
    <row r="613" ht="12.75" customHeight="1">
      <c r="A613" s="4">
        <v>4282.0</v>
      </c>
      <c r="B613" s="4">
        <v>30499.0</v>
      </c>
      <c r="C613" s="5">
        <f t="shared" ref="C613:C614" si="259">DATE(2012,12,31)-62</f>
        <v>41212</v>
      </c>
      <c r="D613" s="4" t="s">
        <v>30</v>
      </c>
      <c r="E613" s="4">
        <v>16.0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7"/>
        <v>41214</v>
      </c>
    </row>
    <row r="614" ht="12.75" customHeight="1">
      <c r="A614" s="4">
        <v>4283.0</v>
      </c>
      <c r="B614" s="4">
        <v>30499.0</v>
      </c>
      <c r="C614" s="5">
        <f t="shared" si="259"/>
        <v>41212</v>
      </c>
      <c r="D614" s="4" t="s">
        <v>30</v>
      </c>
      <c r="E614" s="4">
        <v>33.0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</v>
      </c>
      <c r="U614" s="5">
        <f t="shared" si="257"/>
        <v>41214</v>
      </c>
    </row>
    <row r="615" ht="12.75" customHeight="1">
      <c r="A615" s="4">
        <v>4528.0</v>
      </c>
      <c r="B615" s="4">
        <v>32199.0</v>
      </c>
      <c r="C615" s="5">
        <f t="shared" ref="C615:C617" si="260">DATE(2012,12,31)-1265</f>
        <v>40009</v>
      </c>
      <c r="D615" s="4" t="s">
        <v>30</v>
      </c>
      <c r="E615" s="4">
        <v>40.0</v>
      </c>
      <c r="F615" s="4">
        <v>196.5</v>
      </c>
      <c r="G615" s="4">
        <v>0.08</v>
      </c>
      <c r="H615" s="4" t="s">
        <v>22</v>
      </c>
      <c r="I615" s="6">
        <v>-99.7625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1">C615+1</f>
        <v>40010</v>
      </c>
    </row>
    <row r="616" ht="12.75" customHeight="1">
      <c r="A616" s="4">
        <v>4529.0</v>
      </c>
      <c r="B616" s="4">
        <v>32199.0</v>
      </c>
      <c r="C616" s="5">
        <f t="shared" si="260"/>
        <v>40009</v>
      </c>
      <c r="D616" s="4" t="s">
        <v>30</v>
      </c>
      <c r="E616" s="4">
        <v>1.0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1"/>
        <v>40010</v>
      </c>
    </row>
    <row r="617" ht="12.75" customHeight="1">
      <c r="A617" s="4">
        <v>4530.0</v>
      </c>
      <c r="B617" s="4">
        <v>32199.0</v>
      </c>
      <c r="C617" s="5">
        <f t="shared" si="260"/>
        <v>40009</v>
      </c>
      <c r="D617" s="4" t="s">
        <v>30</v>
      </c>
      <c r="E617" s="4">
        <v>8.0</v>
      </c>
      <c r="F617" s="4">
        <v>46.97</v>
      </c>
      <c r="G617" s="4">
        <v>0.03</v>
      </c>
      <c r="H617" s="4" t="s">
        <v>22</v>
      </c>
      <c r="I617" s="6">
        <v>-0.009999999999999787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</v>
      </c>
      <c r="U617" s="5">
        <f>C617+2</f>
        <v>40011</v>
      </c>
    </row>
    <row r="618" ht="12.75" customHeight="1">
      <c r="A618" s="4">
        <v>4546.0</v>
      </c>
      <c r="B618" s="4">
        <v>32327.0</v>
      </c>
      <c r="C618" s="5">
        <f>DATE(2012,12,31)-146</f>
        <v>41128</v>
      </c>
      <c r="D618" s="4" t="s">
        <v>21</v>
      </c>
      <c r="E618" s="4">
        <v>45.0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ht="12.75" customHeight="1">
      <c r="A619" s="4">
        <v>4594.0</v>
      </c>
      <c r="B619" s="4">
        <v>32676.0</v>
      </c>
      <c r="C619" s="5">
        <f>DATE(2012,12,31)-1429</f>
        <v>39845</v>
      </c>
      <c r="D619" s="4" t="s">
        <v>78</v>
      </c>
      <c r="E619" s="4">
        <v>37.0</v>
      </c>
      <c r="F619" s="4">
        <v>1697.44</v>
      </c>
      <c r="G619" s="4">
        <v>0.06</v>
      </c>
      <c r="H619" s="4" t="s">
        <v>22</v>
      </c>
      <c r="I619" s="6">
        <v>523.43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</v>
      </c>
      <c r="U619" s="5">
        <f>C619+3</f>
        <v>39848</v>
      </c>
    </row>
    <row r="620" ht="12.75" customHeight="1">
      <c r="A620" s="4">
        <v>4611.0</v>
      </c>
      <c r="B620" s="4">
        <v>32835.0</v>
      </c>
      <c r="C620" s="5">
        <f>DATE(2012,12,31)-177</f>
        <v>41097</v>
      </c>
      <c r="D620" s="4" t="s">
        <v>63</v>
      </c>
      <c r="E620" s="4">
        <v>15.0</v>
      </c>
      <c r="F620" s="4">
        <v>572.4325</v>
      </c>
      <c r="G620" s="4">
        <v>0.05</v>
      </c>
      <c r="H620" s="4" t="s">
        <v>22</v>
      </c>
      <c r="I620" s="6">
        <v>-19.437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</v>
      </c>
      <c r="U620" s="5">
        <f>C620+2</f>
        <v>41099</v>
      </c>
    </row>
    <row r="621" ht="12.75" customHeight="1">
      <c r="A621" s="4">
        <v>4613.0</v>
      </c>
      <c r="B621" s="4">
        <v>32869.0</v>
      </c>
      <c r="C621" s="5">
        <f t="shared" ref="C621:C624" si="262">DATE(2012,12,31)-1375</f>
        <v>39899</v>
      </c>
      <c r="D621" s="4" t="s">
        <v>63</v>
      </c>
      <c r="E621" s="4">
        <v>41.0</v>
      </c>
      <c r="F621" s="4">
        <v>322.03</v>
      </c>
      <c r="G621" s="4">
        <v>0.06</v>
      </c>
      <c r="H621" s="4" t="s">
        <v>22</v>
      </c>
      <c r="I621" s="6">
        <v>-82.83</v>
      </c>
      <c r="J621" s="4">
        <v>8.12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3">C621+1</f>
        <v>39900</v>
      </c>
    </row>
    <row r="622" ht="12.75" customHeight="1">
      <c r="A622" s="4">
        <v>4614.0</v>
      </c>
      <c r="B622" s="4">
        <v>32869.0</v>
      </c>
      <c r="C622" s="5">
        <f t="shared" si="262"/>
        <v>39899</v>
      </c>
      <c r="D622" s="4" t="s">
        <v>63</v>
      </c>
      <c r="E622" s="4">
        <v>49.0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3"/>
        <v>39900</v>
      </c>
    </row>
    <row r="623" ht="12.75" customHeight="1">
      <c r="A623" s="4">
        <v>4615.0</v>
      </c>
      <c r="B623" s="4">
        <v>32869.0</v>
      </c>
      <c r="C623" s="5">
        <f t="shared" si="262"/>
        <v>39899</v>
      </c>
      <c r="D623" s="4" t="s">
        <v>63</v>
      </c>
      <c r="E623" s="4">
        <v>2.0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3"/>
        <v>39900</v>
      </c>
    </row>
    <row r="624" ht="12.75" customHeight="1">
      <c r="A624" s="4">
        <v>4616.0</v>
      </c>
      <c r="B624" s="4">
        <v>32869.0</v>
      </c>
      <c r="C624" s="5">
        <f t="shared" si="262"/>
        <v>39899</v>
      </c>
      <c r="D624" s="4" t="s">
        <v>63</v>
      </c>
      <c r="E624" s="4">
        <v>39.0</v>
      </c>
      <c r="F624" s="4">
        <v>5250.662499999999</v>
      </c>
      <c r="G624" s="4">
        <v>0.1</v>
      </c>
      <c r="H624" s="4" t="s">
        <v>22</v>
      </c>
      <c r="I624" s="6">
        <v>930.9870000000001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0.57</v>
      </c>
      <c r="U624" s="5">
        <f t="shared" si="263"/>
        <v>39900</v>
      </c>
    </row>
    <row r="625" ht="12.75" customHeight="1">
      <c r="A625" s="4">
        <v>4748.0</v>
      </c>
      <c r="B625" s="4">
        <v>33763.0</v>
      </c>
      <c r="C625" s="5">
        <f>DATE(2012,12,31)-830</f>
        <v>40444</v>
      </c>
      <c r="D625" s="4" t="s">
        <v>45</v>
      </c>
      <c r="E625" s="4">
        <v>23.0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4">C625+2</f>
        <v>40446</v>
      </c>
    </row>
    <row r="626" ht="12.75" customHeight="1">
      <c r="A626" s="4">
        <v>4792.0</v>
      </c>
      <c r="B626" s="4">
        <v>34048.0</v>
      </c>
      <c r="C626" s="5">
        <f>DATE(2012,12,31)-644</f>
        <v>40630</v>
      </c>
      <c r="D626" s="4" t="s">
        <v>21</v>
      </c>
      <c r="E626" s="4">
        <v>1.0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4"/>
        <v>40632</v>
      </c>
    </row>
    <row r="627" ht="12.75" customHeight="1">
      <c r="A627" s="4">
        <v>4823.0</v>
      </c>
      <c r="B627" s="4">
        <v>34275.0</v>
      </c>
      <c r="C627" s="5">
        <f>DATE(2012,12,31)-1279</f>
        <v>39995</v>
      </c>
      <c r="D627" s="4" t="s">
        <v>21</v>
      </c>
      <c r="E627" s="4">
        <v>27.0</v>
      </c>
      <c r="F627" s="4">
        <v>123.46</v>
      </c>
      <c r="G627" s="4">
        <v>0.07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4"/>
        <v>39997</v>
      </c>
    </row>
    <row r="628" ht="12.75" customHeight="1">
      <c r="A628" s="4">
        <v>4844.0</v>
      </c>
      <c r="B628" s="4">
        <v>34438.0</v>
      </c>
      <c r="C628" s="5">
        <f>DATE(2012,12,31)-751</f>
        <v>40523</v>
      </c>
      <c r="D628" s="4" t="s">
        <v>30</v>
      </c>
      <c r="E628" s="4">
        <v>28.0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20.15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0.58</v>
      </c>
      <c r="U628" s="5">
        <f t="shared" ref="U628:U629" si="265">C628+1</f>
        <v>40524</v>
      </c>
    </row>
    <row r="629" ht="12.75" customHeight="1">
      <c r="A629" s="4">
        <v>4901.0</v>
      </c>
      <c r="B629" s="4">
        <v>34880.0</v>
      </c>
      <c r="C629" s="5">
        <f>DATE(2012,12,31)-1202</f>
        <v>40072</v>
      </c>
      <c r="D629" s="4" t="s">
        <v>30</v>
      </c>
      <c r="E629" s="4">
        <v>44.0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5"/>
        <v>40073</v>
      </c>
    </row>
    <row r="630" ht="12.75" customHeight="1">
      <c r="A630" s="4">
        <v>4912.0</v>
      </c>
      <c r="B630" s="4">
        <v>34978.0</v>
      </c>
      <c r="C630" s="5">
        <f>DATE(2012,12,31)-696</f>
        <v>40578</v>
      </c>
      <c r="D630" s="4" t="s">
        <v>30</v>
      </c>
      <c r="E630" s="4">
        <v>49.0</v>
      </c>
      <c r="F630" s="4">
        <v>165.51</v>
      </c>
      <c r="G630" s="4">
        <v>0.08</v>
      </c>
      <c r="H630" s="4" t="s">
        <v>22</v>
      </c>
      <c r="I630" s="6">
        <v>-269.905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ht="12.75" customHeight="1">
      <c r="A631" s="4">
        <v>4945.0</v>
      </c>
      <c r="B631" s="4">
        <v>35141.0</v>
      </c>
      <c r="C631" s="5">
        <f>DATE(2012,12,31)-842</f>
        <v>40432</v>
      </c>
      <c r="D631" s="4" t="s">
        <v>63</v>
      </c>
      <c r="E631" s="4">
        <v>29.0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19.99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6">C631+1</f>
        <v>40433</v>
      </c>
    </row>
    <row r="632" ht="12.75" customHeight="1">
      <c r="A632" s="4">
        <v>4962.0</v>
      </c>
      <c r="B632" s="4">
        <v>35300.0</v>
      </c>
      <c r="C632" s="5">
        <f t="shared" ref="C632:C634" si="267">DATE(2012,12,31)-1035</f>
        <v>40239</v>
      </c>
      <c r="D632" s="4" t="s">
        <v>63</v>
      </c>
      <c r="E632" s="4">
        <v>10.0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6"/>
        <v>40240</v>
      </c>
    </row>
    <row r="633" ht="12.75" customHeight="1">
      <c r="A633" s="4">
        <v>4963.0</v>
      </c>
      <c r="B633" s="4">
        <v>35300.0</v>
      </c>
      <c r="C633" s="5">
        <f t="shared" si="267"/>
        <v>40239</v>
      </c>
      <c r="D633" s="4" t="s">
        <v>63</v>
      </c>
      <c r="E633" s="4">
        <v>35.0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ht="12.75" customHeight="1">
      <c r="A634" s="4">
        <v>4964.0</v>
      </c>
      <c r="B634" s="4">
        <v>35300.0</v>
      </c>
      <c r="C634" s="5">
        <f t="shared" si="267"/>
        <v>40239</v>
      </c>
      <c r="D634" s="4" t="s">
        <v>63</v>
      </c>
      <c r="E634" s="4">
        <v>13.0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8.95</v>
      </c>
      <c r="K634" s="4">
        <v>2.01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ht="12.75" customHeight="1">
      <c r="A635" s="4">
        <v>4996.0</v>
      </c>
      <c r="B635" s="4">
        <v>35558.0</v>
      </c>
      <c r="C635" s="5">
        <f>DATE(2012,12,31)-1203</f>
        <v>40071</v>
      </c>
      <c r="D635" s="4" t="s">
        <v>78</v>
      </c>
      <c r="E635" s="4">
        <v>2.0</v>
      </c>
      <c r="F635" s="4">
        <v>34.88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8.78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ht="12.75" customHeight="1">
      <c r="A636" s="4">
        <v>5091.0</v>
      </c>
      <c r="B636" s="4">
        <v>36293.0</v>
      </c>
      <c r="C636" s="5">
        <f t="shared" ref="C636:C637" si="268">DATE(2012,12,31)-732</f>
        <v>40542</v>
      </c>
      <c r="D636" s="4" t="s">
        <v>63</v>
      </c>
      <c r="E636" s="4">
        <v>13.0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ht="12.75" customHeight="1">
      <c r="A637" s="4">
        <v>5092.0</v>
      </c>
      <c r="B637" s="4">
        <v>36293.0</v>
      </c>
      <c r="C637" s="5">
        <f t="shared" si="268"/>
        <v>40542</v>
      </c>
      <c r="D637" s="4" t="s">
        <v>63</v>
      </c>
      <c r="E637" s="4">
        <v>25.0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ht="12.75" customHeight="1">
      <c r="A638" s="4">
        <v>5128.0</v>
      </c>
      <c r="B638" s="4">
        <v>36516.0</v>
      </c>
      <c r="C638" s="5">
        <f>DATE(2012,12,31)-525</f>
        <v>40749</v>
      </c>
      <c r="D638" s="4" t="s">
        <v>63</v>
      </c>
      <c r="E638" s="4">
        <v>9.0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ht="12.75" customHeight="1">
      <c r="A639" s="4">
        <v>5147.0</v>
      </c>
      <c r="B639" s="4">
        <v>36677.0</v>
      </c>
      <c r="C639" s="5">
        <f>DATE(2012,12,31)-1104</f>
        <v>40170</v>
      </c>
      <c r="D639" s="4" t="s">
        <v>21</v>
      </c>
      <c r="E639" s="4">
        <v>38.0</v>
      </c>
      <c r="F639" s="4">
        <v>23255.61</v>
      </c>
      <c r="G639" s="4">
        <v>0.0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ht="12.75" customHeight="1">
      <c r="A640" s="4">
        <v>5223.0</v>
      </c>
      <c r="B640" s="4">
        <v>37185.0</v>
      </c>
      <c r="C640" s="5">
        <f>DATE(2012,12,31)-61</f>
        <v>41213</v>
      </c>
      <c r="D640" s="4" t="s">
        <v>30</v>
      </c>
      <c r="E640" s="4">
        <v>8.0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0.58</v>
      </c>
      <c r="U640" s="5">
        <f>C640+1</f>
        <v>41214</v>
      </c>
    </row>
    <row r="641" ht="12.75" customHeight="1">
      <c r="A641" s="4">
        <v>5329.0</v>
      </c>
      <c r="B641" s="4">
        <v>37888.0</v>
      </c>
      <c r="C641" s="5">
        <f>DATE(2012,12,31)-1105</f>
        <v>40169</v>
      </c>
      <c r="D641" s="4" t="s">
        <v>78</v>
      </c>
      <c r="E641" s="4">
        <v>31.0</v>
      </c>
      <c r="F641" s="4">
        <v>639.19</v>
      </c>
      <c r="G641" s="4">
        <v>0.09</v>
      </c>
      <c r="H641" s="4" t="s">
        <v>22</v>
      </c>
      <c r="I641" s="6">
        <v>274.8985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ht="12.75" customHeight="1">
      <c r="A642" s="4">
        <v>5387.0</v>
      </c>
      <c r="B642" s="4">
        <v>38310.0</v>
      </c>
      <c r="C642" s="5">
        <f>DATE(2012,12,31)-261</f>
        <v>41013</v>
      </c>
      <c r="D642" s="4" t="s">
        <v>30</v>
      </c>
      <c r="E642" s="4">
        <v>4.0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49.0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ht="12.75" customHeight="1">
      <c r="A643" s="4">
        <v>5702.0</v>
      </c>
      <c r="B643" s="4">
        <v>40327.0</v>
      </c>
      <c r="C643" s="5">
        <f t="shared" ref="C643:C644" si="269">DATE(2012,12,31)-598</f>
        <v>40676</v>
      </c>
      <c r="D643" s="4" t="s">
        <v>63</v>
      </c>
      <c r="E643" s="4">
        <v>42.0</v>
      </c>
      <c r="F643" s="4">
        <v>152.55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70">C643+2</f>
        <v>40678</v>
      </c>
    </row>
    <row r="644" ht="12.75" customHeight="1">
      <c r="A644" s="4">
        <v>5703.0</v>
      </c>
      <c r="B644" s="4">
        <v>40327.0</v>
      </c>
      <c r="C644" s="5">
        <f t="shared" si="269"/>
        <v>40676</v>
      </c>
      <c r="D644" s="4" t="s">
        <v>63</v>
      </c>
      <c r="E644" s="4">
        <v>36.0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70"/>
        <v>40678</v>
      </c>
    </row>
    <row r="645" ht="12.75" customHeight="1">
      <c r="A645" s="4">
        <v>5714.0</v>
      </c>
      <c r="B645" s="4">
        <v>40480.0</v>
      </c>
      <c r="C645" s="5">
        <f t="shared" ref="C645:C646" si="271">DATE(2012,12,31)-390</f>
        <v>40884</v>
      </c>
      <c r="D645" s="4" t="s">
        <v>78</v>
      </c>
      <c r="E645" s="4">
        <v>19.0</v>
      </c>
      <c r="F645" s="4">
        <v>7608.88</v>
      </c>
      <c r="G645" s="4">
        <v>0.06</v>
      </c>
      <c r="H645" s="4" t="s">
        <v>56</v>
      </c>
      <c r="I645" s="6">
        <v>3049.4515</v>
      </c>
      <c r="J645" s="4">
        <v>420.98</v>
      </c>
      <c r="K645" s="4">
        <v>19.99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ht="12.75" customHeight="1">
      <c r="A646" s="4">
        <v>5715.0</v>
      </c>
      <c r="B646" s="4">
        <v>40480.0</v>
      </c>
      <c r="C646" s="5">
        <f t="shared" si="271"/>
        <v>40884</v>
      </c>
      <c r="D646" s="4" t="s">
        <v>78</v>
      </c>
      <c r="E646" s="4">
        <v>50.0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2">C646+2</f>
        <v>40886</v>
      </c>
    </row>
    <row r="647" ht="12.75" customHeight="1">
      <c r="A647" s="4">
        <v>5741.0</v>
      </c>
      <c r="B647" s="4">
        <v>40800.0</v>
      </c>
      <c r="C647" s="5">
        <f>DATE(2012,12,31)-758</f>
        <v>40516</v>
      </c>
      <c r="D647" s="4" t="s">
        <v>45</v>
      </c>
      <c r="E647" s="4">
        <v>18.0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2"/>
        <v>40518</v>
      </c>
    </row>
    <row r="648" ht="12.75" customHeight="1">
      <c r="A648" s="4">
        <v>5750.0</v>
      </c>
      <c r="B648" s="4">
        <v>40835.0</v>
      </c>
      <c r="C648" s="5">
        <f t="shared" ref="C648:C650" si="273">DATE(2012,12,31)-1133</f>
        <v>40141</v>
      </c>
      <c r="D648" s="4" t="s">
        <v>30</v>
      </c>
      <c r="E648" s="4">
        <v>26.0</v>
      </c>
      <c r="F648" s="4">
        <v>393.59</v>
      </c>
      <c r="G648" s="4">
        <v>0.06</v>
      </c>
      <c r="H648" s="4" t="s">
        <v>22</v>
      </c>
      <c r="I648" s="6">
        <v>-8.0845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2"/>
        <v>40143</v>
      </c>
    </row>
    <row r="649" ht="12.75" customHeight="1">
      <c r="A649" s="4">
        <v>5751.0</v>
      </c>
      <c r="B649" s="4">
        <v>40835.0</v>
      </c>
      <c r="C649" s="5">
        <f t="shared" si="273"/>
        <v>40141</v>
      </c>
      <c r="D649" s="4" t="s">
        <v>30</v>
      </c>
      <c r="E649" s="4">
        <v>14.0</v>
      </c>
      <c r="F649" s="4">
        <v>551.18</v>
      </c>
      <c r="G649" s="4">
        <v>0.09</v>
      </c>
      <c r="H649" s="4" t="s">
        <v>22</v>
      </c>
      <c r="I649" s="6">
        <v>-326.97</v>
      </c>
      <c r="J649" s="4">
        <v>40.48</v>
      </c>
      <c r="K649" s="4">
        <v>19.99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2"/>
        <v>40143</v>
      </c>
    </row>
    <row r="650" ht="12.75" customHeight="1">
      <c r="A650" s="4">
        <v>5752.0</v>
      </c>
      <c r="B650" s="4">
        <v>40835.0</v>
      </c>
      <c r="C650" s="5">
        <f t="shared" si="273"/>
        <v>40141</v>
      </c>
      <c r="D650" s="4" t="s">
        <v>30</v>
      </c>
      <c r="E650" s="4">
        <v>1.0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0.57</v>
      </c>
      <c r="U650" s="5">
        <f>C650+1</f>
        <v>40142</v>
      </c>
    </row>
    <row r="651" ht="12.75" customHeight="1">
      <c r="A651" s="4">
        <v>5759.0</v>
      </c>
      <c r="B651" s="4">
        <v>40871.0</v>
      </c>
      <c r="C651" s="5">
        <f t="shared" ref="C651:C652" si="274">DATE(2012,12,31)-475</f>
        <v>40799</v>
      </c>
      <c r="D651" s="4" t="s">
        <v>45</v>
      </c>
      <c r="E651" s="4">
        <v>32.0</v>
      </c>
      <c r="F651" s="4">
        <v>294.04</v>
      </c>
      <c r="G651" s="4">
        <v>0.03</v>
      </c>
      <c r="H651" s="4" t="s">
        <v>22</v>
      </c>
      <c r="I651" s="6">
        <v>-5.531499999999999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5">C651+2</f>
        <v>40801</v>
      </c>
    </row>
    <row r="652" ht="12.75" customHeight="1">
      <c r="A652" s="4">
        <v>5760.0</v>
      </c>
      <c r="B652" s="4">
        <v>40871.0</v>
      </c>
      <c r="C652" s="5">
        <f t="shared" si="274"/>
        <v>40799</v>
      </c>
      <c r="D652" s="4" t="s">
        <v>45</v>
      </c>
      <c r="E652" s="4">
        <v>18.0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30.0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5"/>
        <v>40801</v>
      </c>
    </row>
    <row r="653" ht="12.75" customHeight="1">
      <c r="A653" s="4">
        <v>5857.0</v>
      </c>
      <c r="B653" s="4">
        <v>41570.0</v>
      </c>
      <c r="C653" s="5">
        <f>DATE(2012,12,31)-759</f>
        <v>40515</v>
      </c>
      <c r="D653" s="4" t="s">
        <v>45</v>
      </c>
      <c r="E653" s="4">
        <v>24.0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5"/>
        <v>40517</v>
      </c>
    </row>
    <row r="654" ht="12.75" customHeight="1">
      <c r="A654" s="4">
        <v>5922.0</v>
      </c>
      <c r="B654" s="4">
        <v>41991.0</v>
      </c>
      <c r="C654" s="5">
        <f t="shared" ref="C654:C656" si="276">DATE(2012,12,31)-379</f>
        <v>40895</v>
      </c>
      <c r="D654" s="4" t="s">
        <v>21</v>
      </c>
      <c r="E654" s="4">
        <v>36.0</v>
      </c>
      <c r="F654" s="4">
        <v>1773.86</v>
      </c>
      <c r="G654" s="4">
        <v>0.06</v>
      </c>
      <c r="H654" s="4" t="s">
        <v>31</v>
      </c>
      <c r="I654" s="6">
        <v>133.3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</v>
      </c>
      <c r="U654" s="5">
        <f>C654+5</f>
        <v>40900</v>
      </c>
    </row>
    <row r="655" ht="12.75" customHeight="1">
      <c r="A655" s="4">
        <v>5923.0</v>
      </c>
      <c r="B655" s="4">
        <v>41991.0</v>
      </c>
      <c r="C655" s="5">
        <f t="shared" si="276"/>
        <v>40895</v>
      </c>
      <c r="D655" s="4" t="s">
        <v>21</v>
      </c>
      <c r="E655" s="4">
        <v>35.0</v>
      </c>
      <c r="F655" s="4">
        <v>543.22</v>
      </c>
      <c r="G655" s="4">
        <v>0.0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7">C655+4</f>
        <v>40899</v>
      </c>
    </row>
    <row r="656" ht="12.75" customHeight="1">
      <c r="A656" s="4">
        <v>5924.0</v>
      </c>
      <c r="B656" s="4">
        <v>41991.0</v>
      </c>
      <c r="C656" s="5">
        <f t="shared" si="276"/>
        <v>40895</v>
      </c>
      <c r="D656" s="4" t="s">
        <v>21</v>
      </c>
      <c r="E656" s="4">
        <v>18.0</v>
      </c>
      <c r="F656" s="4">
        <v>813.9</v>
      </c>
      <c r="G656" s="4">
        <v>0.06</v>
      </c>
      <c r="H656" s="4" t="s">
        <v>22</v>
      </c>
      <c r="I656" s="6">
        <v>256.66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7"/>
        <v>40899</v>
      </c>
    </row>
    <row r="657" ht="12.75" customHeight="1">
      <c r="A657" s="4">
        <v>5981.0</v>
      </c>
      <c r="B657" s="4">
        <v>42400.0</v>
      </c>
      <c r="C657" s="5">
        <f t="shared" ref="C657:C658" si="278">DATE(2012,12,31)-144</f>
        <v>41130</v>
      </c>
      <c r="D657" s="4" t="s">
        <v>21</v>
      </c>
      <c r="E657" s="4">
        <v>44.0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4.0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ht="12.75" customHeight="1">
      <c r="A658" s="4">
        <v>5982.0</v>
      </c>
      <c r="B658" s="4">
        <v>42400.0</v>
      </c>
      <c r="C658" s="5">
        <f t="shared" si="278"/>
        <v>41130</v>
      </c>
      <c r="D658" s="4" t="s">
        <v>21</v>
      </c>
      <c r="E658" s="4">
        <v>41.0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ht="12.75" customHeight="1">
      <c r="A659" s="4">
        <v>6036.0</v>
      </c>
      <c r="B659" s="4">
        <v>42754.0</v>
      </c>
      <c r="C659" s="5">
        <f>DATE(2012,12,31)-860</f>
        <v>40414</v>
      </c>
      <c r="D659" s="4" t="s">
        <v>78</v>
      </c>
      <c r="E659" s="4">
        <v>31.0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ht="12.75" customHeight="1">
      <c r="A660" s="4">
        <v>6055.0</v>
      </c>
      <c r="B660" s="4">
        <v>42918.0</v>
      </c>
      <c r="C660" s="5">
        <f t="shared" ref="C660:C661" si="279">DATE(2012,12,31)-589</f>
        <v>40685</v>
      </c>
      <c r="D660" s="4" t="s">
        <v>30</v>
      </c>
      <c r="E660" s="4">
        <v>46.0</v>
      </c>
      <c r="F660" s="4">
        <v>648.26</v>
      </c>
      <c r="G660" s="4">
        <v>0.07</v>
      </c>
      <c r="H660" s="4" t="s">
        <v>22</v>
      </c>
      <c r="I660" s="6">
        <v>30.481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80">C660+2</f>
        <v>40687</v>
      </c>
    </row>
    <row r="661" ht="12.75" customHeight="1">
      <c r="A661" s="4">
        <v>6056.0</v>
      </c>
      <c r="B661" s="4">
        <v>42918.0</v>
      </c>
      <c r="C661" s="5">
        <f t="shared" si="279"/>
        <v>40685</v>
      </c>
      <c r="D661" s="4" t="s">
        <v>30</v>
      </c>
      <c r="E661" s="4">
        <v>46.0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80"/>
        <v>40687</v>
      </c>
    </row>
    <row r="662" ht="12.75" customHeight="1">
      <c r="A662" s="4">
        <v>6059.0</v>
      </c>
      <c r="B662" s="4">
        <v>42944.0</v>
      </c>
      <c r="C662" s="5">
        <f>DATE(2012,12,31)-43</f>
        <v>41231</v>
      </c>
      <c r="D662" s="4" t="s">
        <v>78</v>
      </c>
      <c r="E662" s="4">
        <v>43.0</v>
      </c>
      <c r="F662" s="4">
        <v>9750.55</v>
      </c>
      <c r="G662" s="4">
        <v>0.0</v>
      </c>
      <c r="H662" s="4" t="s">
        <v>31</v>
      </c>
      <c r="I662" s="6">
        <v>1061.61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ht="12.75" customHeight="1">
      <c r="A663" s="4">
        <v>6219.0</v>
      </c>
      <c r="B663" s="4">
        <v>44037.0</v>
      </c>
      <c r="C663" s="5">
        <f t="shared" ref="C663:C664" si="281">DATE(2012,12,31)-186</f>
        <v>41088</v>
      </c>
      <c r="D663" s="4" t="s">
        <v>30</v>
      </c>
      <c r="E663" s="4">
        <v>39.0</v>
      </c>
      <c r="F663" s="4">
        <v>835.55</v>
      </c>
      <c r="G663" s="4">
        <v>0.07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2">C663+2</f>
        <v>41090</v>
      </c>
    </row>
    <row r="664" ht="12.75" customHeight="1">
      <c r="A664" s="4">
        <v>6220.0</v>
      </c>
      <c r="B664" s="4">
        <v>44037.0</v>
      </c>
      <c r="C664" s="5">
        <f t="shared" si="281"/>
        <v>41088</v>
      </c>
      <c r="D664" s="4" t="s">
        <v>30</v>
      </c>
      <c r="E664" s="4">
        <v>38.0</v>
      </c>
      <c r="F664" s="4">
        <v>1799.6115</v>
      </c>
      <c r="G664" s="4">
        <v>0.07</v>
      </c>
      <c r="H664" s="4" t="s">
        <v>22</v>
      </c>
      <c r="I664" s="6">
        <v>557.595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</v>
      </c>
      <c r="U664" s="5">
        <f t="shared" si="282"/>
        <v>41090</v>
      </c>
    </row>
    <row r="665" ht="12.75" customHeight="1">
      <c r="A665" s="4">
        <v>6270.0</v>
      </c>
      <c r="B665" s="4">
        <v>44387.0</v>
      </c>
      <c r="C665" s="5">
        <f t="shared" ref="C665:C666" si="283">DATE(2012,12,31)-1426</f>
        <v>39848</v>
      </c>
      <c r="D665" s="4" t="s">
        <v>21</v>
      </c>
      <c r="E665" s="4">
        <v>50.0</v>
      </c>
      <c r="F665" s="4">
        <v>1441.57</v>
      </c>
      <c r="G665" s="4">
        <v>0.07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ht="12.75" customHeight="1">
      <c r="A666" s="4">
        <v>6271.0</v>
      </c>
      <c r="B666" s="4">
        <v>44387.0</v>
      </c>
      <c r="C666" s="5">
        <f t="shared" si="283"/>
        <v>39848</v>
      </c>
      <c r="D666" s="4" t="s">
        <v>21</v>
      </c>
      <c r="E666" s="4">
        <v>20.0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ht="12.75" customHeight="1">
      <c r="A667" s="4">
        <v>6295.0</v>
      </c>
      <c r="B667" s="4">
        <v>44576.0</v>
      </c>
      <c r="C667" s="5">
        <f>DATE(2012,12,31)-1102</f>
        <v>40172</v>
      </c>
      <c r="D667" s="4" t="s">
        <v>45</v>
      </c>
      <c r="E667" s="4">
        <v>38.0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ht="12.75" customHeight="1">
      <c r="A668" s="4">
        <v>6417.0</v>
      </c>
      <c r="B668" s="4">
        <v>45601.0</v>
      </c>
      <c r="C668" s="5">
        <f>DATE(2012,12,31)-462</f>
        <v>40812</v>
      </c>
      <c r="D668" s="4" t="s">
        <v>30</v>
      </c>
      <c r="E668" s="4">
        <v>47.0</v>
      </c>
      <c r="F668" s="4">
        <v>945.03</v>
      </c>
      <c r="G668" s="4">
        <v>0.0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4">C668+2</f>
        <v>40814</v>
      </c>
    </row>
    <row r="669" ht="12.75" customHeight="1">
      <c r="A669" s="4">
        <v>6419.0</v>
      </c>
      <c r="B669" s="4">
        <v>45606.0</v>
      </c>
      <c r="C669" s="5">
        <f t="shared" ref="C669:C670" si="285">DATE(2012,12,31)-466</f>
        <v>40808</v>
      </c>
      <c r="D669" s="4" t="s">
        <v>63</v>
      </c>
      <c r="E669" s="4">
        <v>38.0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8.54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4"/>
        <v>40810</v>
      </c>
    </row>
    <row r="670" ht="12.75" customHeight="1">
      <c r="A670" s="4">
        <v>6420.0</v>
      </c>
      <c r="B670" s="4">
        <v>45606.0</v>
      </c>
      <c r="C670" s="5">
        <f t="shared" si="285"/>
        <v>40808</v>
      </c>
      <c r="D670" s="4" t="s">
        <v>63</v>
      </c>
      <c r="E670" s="4">
        <v>24.0</v>
      </c>
      <c r="F670" s="4">
        <v>136.42</v>
      </c>
      <c r="G670" s="4">
        <v>0.09</v>
      </c>
      <c r="H670" s="4" t="s">
        <v>22</v>
      </c>
      <c r="I670" s="6">
        <v>-8.38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</v>
      </c>
      <c r="U670" s="5">
        <f>C670+1</f>
        <v>40809</v>
      </c>
    </row>
    <row r="671" ht="12.75" customHeight="1">
      <c r="A671" s="4">
        <v>6480.0</v>
      </c>
      <c r="B671" s="4">
        <v>46119.0</v>
      </c>
      <c r="C671" s="5">
        <f t="shared" ref="C671:C673" si="286">DATE(2012,12,31)-1415</f>
        <v>39859</v>
      </c>
      <c r="D671" s="4" t="s">
        <v>78</v>
      </c>
      <c r="E671" s="4">
        <v>23.0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7">C671+2</f>
        <v>39861</v>
      </c>
    </row>
    <row r="672" ht="12.75" customHeight="1">
      <c r="A672" s="4">
        <v>6481.0</v>
      </c>
      <c r="B672" s="4">
        <v>46119.0</v>
      </c>
      <c r="C672" s="5">
        <f t="shared" si="286"/>
        <v>39859</v>
      </c>
      <c r="D672" s="4" t="s">
        <v>78</v>
      </c>
      <c r="E672" s="4">
        <v>20.0</v>
      </c>
      <c r="F672" s="4">
        <v>154.13</v>
      </c>
      <c r="G672" s="4">
        <v>0.07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7"/>
        <v>39861</v>
      </c>
    </row>
    <row r="673" ht="12.75" customHeight="1">
      <c r="A673" s="4">
        <v>6482.0</v>
      </c>
      <c r="B673" s="4">
        <v>46119.0</v>
      </c>
      <c r="C673" s="5">
        <f t="shared" si="286"/>
        <v>39859</v>
      </c>
      <c r="D673" s="4" t="s">
        <v>78</v>
      </c>
      <c r="E673" s="4">
        <v>46.0</v>
      </c>
      <c r="F673" s="4">
        <v>18824.42</v>
      </c>
      <c r="G673" s="4">
        <v>0.07</v>
      </c>
      <c r="H673" s="4" t="s">
        <v>31</v>
      </c>
      <c r="I673" s="6">
        <v>-575.352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ht="12.75" customHeight="1">
      <c r="A674" s="4">
        <v>6574.0</v>
      </c>
      <c r="B674" s="4">
        <v>46756.0</v>
      </c>
      <c r="C674" s="5">
        <f>DATE(2012,12,31)-1177</f>
        <v>40097</v>
      </c>
      <c r="D674" s="4" t="s">
        <v>63</v>
      </c>
      <c r="E674" s="4">
        <v>3.0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ht="12.75" customHeight="1">
      <c r="A675" s="4">
        <v>6700.0</v>
      </c>
      <c r="B675" s="4">
        <v>47714.0</v>
      </c>
      <c r="C675" s="5">
        <f>DATE(2012,12,31)-662</f>
        <v>40612</v>
      </c>
      <c r="D675" s="4" t="s">
        <v>63</v>
      </c>
      <c r="E675" s="4">
        <v>30.0</v>
      </c>
      <c r="F675" s="4">
        <v>176.15</v>
      </c>
      <c r="G675" s="4">
        <v>0.01</v>
      </c>
      <c r="H675" s="4" t="s">
        <v>22</v>
      </c>
      <c r="I675" s="6">
        <v>-125.3615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ht="12.75" customHeight="1">
      <c r="A676" s="4">
        <v>6715.0</v>
      </c>
      <c r="B676" s="4">
        <v>47846.0</v>
      </c>
      <c r="C676" s="5">
        <f t="shared" ref="C676:C679" si="288">DATE(2012,12,31)-142</f>
        <v>41132</v>
      </c>
      <c r="D676" s="4" t="s">
        <v>30</v>
      </c>
      <c r="E676" s="4">
        <v>5.0</v>
      </c>
      <c r="F676" s="4">
        <v>66.43</v>
      </c>
      <c r="G676" s="4">
        <v>0.01</v>
      </c>
      <c r="H676" s="4" t="s">
        <v>22</v>
      </c>
      <c r="I676" s="6">
        <v>-9.45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9">C676+2</f>
        <v>41134</v>
      </c>
    </row>
    <row r="677" ht="12.75" customHeight="1">
      <c r="A677" s="4">
        <v>6716.0</v>
      </c>
      <c r="B677" s="4">
        <v>47846.0</v>
      </c>
      <c r="C677" s="5">
        <f t="shared" si="288"/>
        <v>41132</v>
      </c>
      <c r="D677" s="4" t="s">
        <v>30</v>
      </c>
      <c r="E677" s="4">
        <v>25.0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9"/>
        <v>41134</v>
      </c>
    </row>
    <row r="678" ht="12.75" customHeight="1">
      <c r="A678" s="4">
        <v>6717.0</v>
      </c>
      <c r="B678" s="4">
        <v>47846.0</v>
      </c>
      <c r="C678" s="5">
        <f t="shared" si="288"/>
        <v>41132</v>
      </c>
      <c r="D678" s="4" t="s">
        <v>30</v>
      </c>
      <c r="E678" s="4">
        <v>50.0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90">C678+1</f>
        <v>41133</v>
      </c>
    </row>
    <row r="679" ht="12.75" customHeight="1">
      <c r="A679" s="4">
        <v>6718.0</v>
      </c>
      <c r="B679" s="4">
        <v>47846.0</v>
      </c>
      <c r="C679" s="5">
        <f t="shared" si="288"/>
        <v>41132</v>
      </c>
      <c r="D679" s="4" t="s">
        <v>30</v>
      </c>
      <c r="E679" s="4">
        <v>37.0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90"/>
        <v>41133</v>
      </c>
    </row>
    <row r="680" ht="12.75" customHeight="1">
      <c r="A680" s="4">
        <v>6722.0</v>
      </c>
      <c r="B680" s="4">
        <v>47876.0</v>
      </c>
      <c r="C680" s="5">
        <f>DATE(2012,12,31)-1102</f>
        <v>40172</v>
      </c>
      <c r="D680" s="4" t="s">
        <v>30</v>
      </c>
      <c r="E680" s="4">
        <v>8.0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5.1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1">C680+2</f>
        <v>40174</v>
      </c>
    </row>
    <row r="681" ht="12.75" customHeight="1">
      <c r="A681" s="4">
        <v>6749.0</v>
      </c>
      <c r="B681" s="4">
        <v>48067.0</v>
      </c>
      <c r="C681" s="5">
        <f t="shared" ref="C681:C682" si="292">DATE(2012,12,31)-185</f>
        <v>41089</v>
      </c>
      <c r="D681" s="4" t="s">
        <v>21</v>
      </c>
      <c r="E681" s="4">
        <v>31.0</v>
      </c>
      <c r="F681" s="4">
        <v>3229.66</v>
      </c>
      <c r="G681" s="4">
        <v>0.05</v>
      </c>
      <c r="H681" s="4" t="s">
        <v>56</v>
      </c>
      <c r="I681" s="6">
        <v>695.0609999999999</v>
      </c>
      <c r="J681" s="4">
        <v>125.99</v>
      </c>
      <c r="K681" s="4">
        <v>3.0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1"/>
        <v>41091</v>
      </c>
    </row>
    <row r="682" ht="12.75" customHeight="1">
      <c r="A682" s="4">
        <v>6750.0</v>
      </c>
      <c r="B682" s="4">
        <v>48067.0</v>
      </c>
      <c r="C682" s="5">
        <f t="shared" si="292"/>
        <v>41089</v>
      </c>
      <c r="D682" s="4" t="s">
        <v>21</v>
      </c>
      <c r="E682" s="4">
        <v>24.0</v>
      </c>
      <c r="F682" s="4">
        <v>4010.9375</v>
      </c>
      <c r="G682" s="4">
        <v>0.0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ht="12.75" customHeight="1">
      <c r="A683" s="4">
        <v>6772.0</v>
      </c>
      <c r="B683" s="4">
        <v>48199.0</v>
      </c>
      <c r="C683" s="5">
        <f>DATE(2012,12,31)-1443</f>
        <v>39831</v>
      </c>
      <c r="D683" s="4" t="s">
        <v>45</v>
      </c>
      <c r="E683" s="4">
        <v>47.0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ht="12.75" customHeight="1">
      <c r="A684" s="4">
        <v>6879.0</v>
      </c>
      <c r="B684" s="4">
        <v>49029.0</v>
      </c>
      <c r="C684" s="5">
        <f>DATE(2012,12,31)-225</f>
        <v>41049</v>
      </c>
      <c r="D684" s="4" t="s">
        <v>30</v>
      </c>
      <c r="E684" s="4">
        <v>49.0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ht="12.75" customHeight="1">
      <c r="A685" s="4">
        <v>6899.0</v>
      </c>
      <c r="B685" s="4">
        <v>49216.0</v>
      </c>
      <c r="C685" s="5">
        <f t="shared" ref="C685:C687" si="293">DATE(2012,12,31)-1383</f>
        <v>39891</v>
      </c>
      <c r="D685" s="4" t="s">
        <v>30</v>
      </c>
      <c r="E685" s="4">
        <v>11.0</v>
      </c>
      <c r="F685" s="4">
        <v>259.69</v>
      </c>
      <c r="G685" s="4">
        <v>0.1</v>
      </c>
      <c r="H685" s="4" t="s">
        <v>22</v>
      </c>
      <c r="I685" s="6">
        <v>-45.816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4">C685+0</f>
        <v>39891</v>
      </c>
    </row>
    <row r="686" ht="12.75" customHeight="1">
      <c r="A686" s="4">
        <v>6900.0</v>
      </c>
      <c r="B686" s="4">
        <v>49216.0</v>
      </c>
      <c r="C686" s="5">
        <f t="shared" si="293"/>
        <v>39891</v>
      </c>
      <c r="D686" s="4" t="s">
        <v>30</v>
      </c>
      <c r="E686" s="4">
        <v>9.0</v>
      </c>
      <c r="F686" s="4">
        <v>2503.86</v>
      </c>
      <c r="G686" s="4">
        <v>0.06</v>
      </c>
      <c r="H686" s="4" t="s">
        <v>31</v>
      </c>
      <c r="I686" s="6">
        <v>-172.4775</v>
      </c>
      <c r="J686" s="4">
        <v>270.97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</v>
      </c>
      <c r="U686" s="5">
        <f t="shared" si="294"/>
        <v>39891</v>
      </c>
    </row>
    <row r="687" ht="12.75" customHeight="1">
      <c r="A687" s="4">
        <v>6901.0</v>
      </c>
      <c r="B687" s="4">
        <v>49216.0</v>
      </c>
      <c r="C687" s="5">
        <f t="shared" si="293"/>
        <v>39891</v>
      </c>
      <c r="D687" s="4" t="s">
        <v>30</v>
      </c>
      <c r="E687" s="4">
        <v>29.0</v>
      </c>
      <c r="F687" s="4">
        <v>374.67</v>
      </c>
      <c r="G687" s="4">
        <v>0.0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ht="12.75" customHeight="1">
      <c r="A688" s="4">
        <v>7005.0</v>
      </c>
      <c r="B688" s="4">
        <v>49990.0</v>
      </c>
      <c r="C688" s="5">
        <f>DATE(2012,12,31)-1213</f>
        <v>40061</v>
      </c>
      <c r="D688" s="4" t="s">
        <v>45</v>
      </c>
      <c r="E688" s="4">
        <v>11.0</v>
      </c>
      <c r="F688" s="4">
        <v>5155.35</v>
      </c>
      <c r="G688" s="4">
        <v>0.0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</v>
      </c>
      <c r="U688" s="5">
        <f>C688+0</f>
        <v>40061</v>
      </c>
    </row>
    <row r="689" ht="12.75" customHeight="1">
      <c r="A689" s="4">
        <v>7018.0</v>
      </c>
      <c r="B689" s="4">
        <v>50081.0</v>
      </c>
      <c r="C689" s="5">
        <f>DATE(2012,12,31)-1154</f>
        <v>40120</v>
      </c>
      <c r="D689" s="4" t="s">
        <v>45</v>
      </c>
      <c r="E689" s="4">
        <v>7.0</v>
      </c>
      <c r="F689" s="4">
        <v>538.51</v>
      </c>
      <c r="G689" s="4">
        <v>0.0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5">C689+1</f>
        <v>40121</v>
      </c>
    </row>
    <row r="690" ht="12.75" customHeight="1">
      <c r="A690" s="4">
        <v>7063.0</v>
      </c>
      <c r="B690" s="4">
        <v>50404.0</v>
      </c>
      <c r="C690" s="5">
        <f t="shared" ref="C690:C691" si="296">DATE(2012,12,31)-646</f>
        <v>40628</v>
      </c>
      <c r="D690" s="4" t="s">
        <v>30</v>
      </c>
      <c r="E690" s="4">
        <v>18.0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5"/>
        <v>40629</v>
      </c>
    </row>
    <row r="691" ht="12.75" customHeight="1">
      <c r="A691" s="4">
        <v>7064.0</v>
      </c>
      <c r="B691" s="4">
        <v>50404.0</v>
      </c>
      <c r="C691" s="5">
        <f t="shared" si="296"/>
        <v>40628</v>
      </c>
      <c r="D691" s="4" t="s">
        <v>30</v>
      </c>
      <c r="E691" s="4">
        <v>10.0</v>
      </c>
      <c r="F691" s="4">
        <v>1961.68</v>
      </c>
      <c r="G691" s="4">
        <v>0.04</v>
      </c>
      <c r="H691" s="4" t="s">
        <v>22</v>
      </c>
      <c r="I691" s="6">
        <v>-367.002</v>
      </c>
      <c r="J691" s="4">
        <v>182.55</v>
      </c>
      <c r="K691" s="4">
        <v>69.0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ht="12.75" customHeight="1">
      <c r="A692" s="4">
        <v>7116.0</v>
      </c>
      <c r="B692" s="4">
        <v>50784.0</v>
      </c>
      <c r="C692" s="5">
        <f>DATE(2012,12,31)-325</f>
        <v>40949</v>
      </c>
      <c r="D692" s="4" t="s">
        <v>30</v>
      </c>
      <c r="E692" s="4">
        <v>20.0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32.98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ht="12.75" customHeight="1">
      <c r="A693" s="4">
        <v>7128.0</v>
      </c>
      <c r="B693" s="4">
        <v>50850.0</v>
      </c>
      <c r="C693" s="5">
        <f t="shared" ref="C693:C694" si="297">DATE(2012,12,31)-1335</f>
        <v>39939</v>
      </c>
      <c r="D693" s="4" t="s">
        <v>78</v>
      </c>
      <c r="E693" s="4">
        <v>37.0</v>
      </c>
      <c r="F693" s="4">
        <v>1599.54</v>
      </c>
      <c r="G693" s="4">
        <v>0.0</v>
      </c>
      <c r="H693" s="4" t="s">
        <v>22</v>
      </c>
      <c r="I693" s="6">
        <v>578.1445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ht="12.75" customHeight="1">
      <c r="A694" s="4">
        <v>7129.0</v>
      </c>
      <c r="B694" s="4">
        <v>50850.0</v>
      </c>
      <c r="C694" s="5">
        <f t="shared" si="297"/>
        <v>39939</v>
      </c>
      <c r="D694" s="4" t="s">
        <v>78</v>
      </c>
      <c r="E694" s="4">
        <v>2.0</v>
      </c>
      <c r="F694" s="4">
        <v>942.42</v>
      </c>
      <c r="G694" s="4">
        <v>0.02</v>
      </c>
      <c r="H694" s="4" t="s">
        <v>31</v>
      </c>
      <c r="I694" s="6">
        <v>-634.8654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ht="12.75" customHeight="1">
      <c r="A695" s="4">
        <v>7161.0</v>
      </c>
      <c r="B695" s="4">
        <v>51075.0</v>
      </c>
      <c r="C695" s="5">
        <f>DATE(2012,12,31)-769</f>
        <v>40505</v>
      </c>
      <c r="D695" s="4" t="s">
        <v>45</v>
      </c>
      <c r="E695" s="4">
        <v>43.0</v>
      </c>
      <c r="F695" s="4">
        <v>1290.2065</v>
      </c>
      <c r="G695" s="4">
        <v>0.06</v>
      </c>
      <c r="H695" s="4" t="s">
        <v>56</v>
      </c>
      <c r="I695" s="6">
        <v>-160.677</v>
      </c>
      <c r="J695" s="4">
        <v>35.99</v>
      </c>
      <c r="K695" s="4">
        <v>5.0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8">C695+2</f>
        <v>40507</v>
      </c>
    </row>
    <row r="696" ht="12.75" customHeight="1">
      <c r="A696" s="4">
        <v>7209.0</v>
      </c>
      <c r="B696" s="4">
        <v>51461.0</v>
      </c>
      <c r="C696" s="5">
        <f>DATE(2012,12,31)-690</f>
        <v>40584</v>
      </c>
      <c r="D696" s="4" t="s">
        <v>45</v>
      </c>
      <c r="E696" s="4">
        <v>43.0</v>
      </c>
      <c r="F696" s="4">
        <v>858.53</v>
      </c>
      <c r="G696" s="4">
        <v>0.07</v>
      </c>
      <c r="H696" s="4" t="s">
        <v>22</v>
      </c>
      <c r="I696" s="6">
        <v>-97.54</v>
      </c>
      <c r="J696" s="4">
        <v>19.99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8"/>
        <v>40586</v>
      </c>
    </row>
    <row r="697" ht="12.75" customHeight="1">
      <c r="A697" s="4">
        <v>7232.0</v>
      </c>
      <c r="B697" s="4">
        <v>51558.0</v>
      </c>
      <c r="C697" s="5">
        <f t="shared" ref="C697:C698" si="299">DATE(2012,12,31)-1008</f>
        <v>40266</v>
      </c>
      <c r="D697" s="4" t="s">
        <v>45</v>
      </c>
      <c r="E697" s="4">
        <v>34.0</v>
      </c>
      <c r="F697" s="4">
        <v>245.4</v>
      </c>
      <c r="G697" s="4">
        <v>0.0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300">C697+0</f>
        <v>40266</v>
      </c>
    </row>
    <row r="698" ht="12.75" customHeight="1">
      <c r="A698" s="4">
        <v>7233.0</v>
      </c>
      <c r="B698" s="4">
        <v>51558.0</v>
      </c>
      <c r="C698" s="5">
        <f t="shared" si="299"/>
        <v>40266</v>
      </c>
      <c r="D698" s="4" t="s">
        <v>45</v>
      </c>
      <c r="E698" s="4">
        <v>47.0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60.0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</v>
      </c>
      <c r="U698" s="5">
        <f t="shared" si="300"/>
        <v>40266</v>
      </c>
    </row>
    <row r="699" ht="12.75" customHeight="1">
      <c r="A699" s="4">
        <v>7310.0</v>
      </c>
      <c r="B699" s="4">
        <v>52130.0</v>
      </c>
      <c r="C699" s="5">
        <f t="shared" ref="C699:C700" si="301">DATE(2012,12,31)-117</f>
        <v>41157</v>
      </c>
      <c r="D699" s="4" t="s">
        <v>21</v>
      </c>
      <c r="E699" s="4">
        <v>13.0</v>
      </c>
      <c r="F699" s="4">
        <v>63.33</v>
      </c>
      <c r="G699" s="4">
        <v>0.0</v>
      </c>
      <c r="H699" s="4" t="s">
        <v>22</v>
      </c>
      <c r="I699" s="6">
        <v>-39.9625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2">C699+2</f>
        <v>41159</v>
      </c>
    </row>
    <row r="700" ht="12.75" customHeight="1">
      <c r="A700" s="4">
        <v>7311.0</v>
      </c>
      <c r="B700" s="4">
        <v>52130.0</v>
      </c>
      <c r="C700" s="5">
        <f t="shared" si="301"/>
        <v>41157</v>
      </c>
      <c r="D700" s="4" t="s">
        <v>21</v>
      </c>
      <c r="E700" s="4">
        <v>36.0</v>
      </c>
      <c r="F700" s="4">
        <v>1436.55</v>
      </c>
      <c r="G700" s="4">
        <v>0.1</v>
      </c>
      <c r="H700" s="4" t="s">
        <v>22</v>
      </c>
      <c r="I700" s="6">
        <v>-4.009999999999991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0.57</v>
      </c>
      <c r="U700" s="5">
        <f t="shared" si="302"/>
        <v>41159</v>
      </c>
    </row>
    <row r="701" ht="12.75" customHeight="1">
      <c r="A701" s="4">
        <v>7363.0</v>
      </c>
      <c r="B701" s="4">
        <v>52482.0</v>
      </c>
      <c r="C701" s="5">
        <f t="shared" ref="C701:C702" si="303">DATE(2012,12,31)-700</f>
        <v>40574</v>
      </c>
      <c r="D701" s="4" t="s">
        <v>78</v>
      </c>
      <c r="E701" s="4">
        <v>21.0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0.57</v>
      </c>
      <c r="U701" s="5">
        <f>C701+0</f>
        <v>40574</v>
      </c>
    </row>
    <row r="702" ht="12.75" customHeight="1">
      <c r="A702" s="4">
        <v>7364.0</v>
      </c>
      <c r="B702" s="4">
        <v>52482.0</v>
      </c>
      <c r="C702" s="5">
        <f t="shared" si="303"/>
        <v>40574</v>
      </c>
      <c r="D702" s="4" t="s">
        <v>78</v>
      </c>
      <c r="E702" s="4">
        <v>30.0</v>
      </c>
      <c r="F702" s="4">
        <v>717.21</v>
      </c>
      <c r="G702" s="4">
        <v>0.0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4">C702+2</f>
        <v>40576</v>
      </c>
    </row>
    <row r="703" ht="12.75" customHeight="1">
      <c r="A703" s="4">
        <v>7480.0</v>
      </c>
      <c r="B703" s="4">
        <v>53410.0</v>
      </c>
      <c r="C703" s="5">
        <f>DATE(2012,12,31)-1242</f>
        <v>40032</v>
      </c>
      <c r="D703" s="4" t="s">
        <v>78</v>
      </c>
      <c r="E703" s="4">
        <v>44.0</v>
      </c>
      <c r="F703" s="4">
        <v>642.8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4"/>
        <v>40034</v>
      </c>
    </row>
    <row r="704" ht="12.75" customHeight="1">
      <c r="A704" s="4">
        <v>7493.0</v>
      </c>
      <c r="B704" s="4">
        <v>53477.0</v>
      </c>
      <c r="C704" s="5">
        <f t="shared" ref="C704:C707" si="305">DATE(2012,12,31)-240</f>
        <v>41034</v>
      </c>
      <c r="D704" s="4" t="s">
        <v>30</v>
      </c>
      <c r="E704" s="4">
        <v>32.0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74.35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0.57</v>
      </c>
      <c r="U704" s="5">
        <f t="shared" si="304"/>
        <v>41036</v>
      </c>
    </row>
    <row r="705" ht="12.75" customHeight="1">
      <c r="A705" s="4">
        <v>7494.0</v>
      </c>
      <c r="B705" s="4">
        <v>53477.0</v>
      </c>
      <c r="C705" s="5">
        <f t="shared" si="305"/>
        <v>41034</v>
      </c>
      <c r="D705" s="4" t="s">
        <v>30</v>
      </c>
      <c r="E705" s="4">
        <v>27.0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</v>
      </c>
      <c r="U705" s="5">
        <f>C705+1</f>
        <v>41035</v>
      </c>
    </row>
    <row r="706" ht="12.75" customHeight="1">
      <c r="A706" s="4">
        <v>7495.0</v>
      </c>
      <c r="B706" s="4">
        <v>53477.0</v>
      </c>
      <c r="C706" s="5">
        <f t="shared" si="305"/>
        <v>41034</v>
      </c>
      <c r="D706" s="4" t="s">
        <v>30</v>
      </c>
      <c r="E706" s="4">
        <v>36.0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6">C706+2</f>
        <v>41036</v>
      </c>
    </row>
    <row r="707" ht="12.75" customHeight="1">
      <c r="A707" s="4">
        <v>7496.0</v>
      </c>
      <c r="B707" s="4">
        <v>53477.0</v>
      </c>
      <c r="C707" s="5">
        <f t="shared" si="305"/>
        <v>41034</v>
      </c>
      <c r="D707" s="4" t="s">
        <v>30</v>
      </c>
      <c r="E707" s="4">
        <v>28.0</v>
      </c>
      <c r="F707" s="4">
        <v>4479.16</v>
      </c>
      <c r="G707" s="4">
        <v>0.07</v>
      </c>
      <c r="H707" s="4" t="s">
        <v>22</v>
      </c>
      <c r="I707" s="6">
        <v>610.9</v>
      </c>
      <c r="J707" s="4">
        <v>161.55</v>
      </c>
      <c r="K707" s="4">
        <v>19.99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6"/>
        <v>41036</v>
      </c>
    </row>
    <row r="708" ht="12.75" customHeight="1">
      <c r="A708" s="4">
        <v>7497.0</v>
      </c>
      <c r="B708" s="4">
        <v>53508.0</v>
      </c>
      <c r="C708" s="5">
        <f t="shared" ref="C708:C710" si="307">DATE(2012,12,31)-1147</f>
        <v>40127</v>
      </c>
      <c r="D708" s="4" t="s">
        <v>30</v>
      </c>
      <c r="E708" s="4">
        <v>13.0</v>
      </c>
      <c r="F708" s="4">
        <v>1072.22</v>
      </c>
      <c r="G708" s="4">
        <v>0.03</v>
      </c>
      <c r="H708" s="4" t="s">
        <v>22</v>
      </c>
      <c r="I708" s="6">
        <v>149.64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6"/>
        <v>40129</v>
      </c>
    </row>
    <row r="709" ht="12.75" customHeight="1">
      <c r="A709" s="4">
        <v>7498.0</v>
      </c>
      <c r="B709" s="4">
        <v>53508.0</v>
      </c>
      <c r="C709" s="5">
        <f t="shared" si="307"/>
        <v>40127</v>
      </c>
      <c r="D709" s="4" t="s">
        <v>30</v>
      </c>
      <c r="E709" s="4">
        <v>25.0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6"/>
        <v>40129</v>
      </c>
    </row>
    <row r="710" ht="12.75" customHeight="1">
      <c r="A710" s="4">
        <v>7499.0</v>
      </c>
      <c r="B710" s="4">
        <v>53508.0</v>
      </c>
      <c r="C710" s="5">
        <f t="shared" si="307"/>
        <v>40127</v>
      </c>
      <c r="D710" s="4" t="s">
        <v>30</v>
      </c>
      <c r="E710" s="4">
        <v>4.0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ht="12.75" customHeight="1">
      <c r="A711" s="4">
        <v>7522.0</v>
      </c>
      <c r="B711" s="4">
        <v>53703.0</v>
      </c>
      <c r="C711" s="5">
        <f>DATE(2012,12,31)-931</f>
        <v>40343</v>
      </c>
      <c r="D711" s="4" t="s">
        <v>45</v>
      </c>
      <c r="E711" s="4">
        <v>14.0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19.99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ht="12.75" customHeight="1">
      <c r="A712" s="4">
        <v>7562.0</v>
      </c>
      <c r="B712" s="4">
        <v>54115.0</v>
      </c>
      <c r="C712" s="5">
        <f t="shared" ref="C712:C713" si="308">DATE(2012,12,31)-359</f>
        <v>40915</v>
      </c>
      <c r="D712" s="4" t="s">
        <v>21</v>
      </c>
      <c r="E712" s="4">
        <v>24.0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9">C712+5</f>
        <v>40920</v>
      </c>
    </row>
    <row r="713" ht="12.75" customHeight="1">
      <c r="A713" s="4">
        <v>7563.0</v>
      </c>
      <c r="B713" s="4">
        <v>54115.0</v>
      </c>
      <c r="C713" s="5">
        <f t="shared" si="308"/>
        <v>40915</v>
      </c>
      <c r="D713" s="4" t="s">
        <v>21</v>
      </c>
      <c r="E713" s="4">
        <v>39.0</v>
      </c>
      <c r="F713" s="4">
        <v>197.11</v>
      </c>
      <c r="G713" s="4">
        <v>0.03</v>
      </c>
      <c r="H713" s="4" t="s">
        <v>22</v>
      </c>
      <c r="I713" s="6">
        <v>-89.424</v>
      </c>
      <c r="J713" s="4">
        <v>4.98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9"/>
        <v>40920</v>
      </c>
    </row>
    <row r="714" ht="12.75" customHeight="1">
      <c r="A714" s="4">
        <v>7607.0</v>
      </c>
      <c r="B714" s="4">
        <v>54437.0</v>
      </c>
      <c r="C714" s="5">
        <f>DATE(2012,12,31)-743</f>
        <v>40531</v>
      </c>
      <c r="D714" s="4" t="s">
        <v>30</v>
      </c>
      <c r="E714" s="4">
        <v>15.0</v>
      </c>
      <c r="F714" s="4">
        <v>653.871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5.0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ht="12.75" customHeight="1">
      <c r="A715" s="4">
        <v>7616.0</v>
      </c>
      <c r="B715" s="4">
        <v>54501.0</v>
      </c>
      <c r="C715" s="5">
        <f t="shared" ref="C715:C717" si="310">DATE(2012,12,31)-32</f>
        <v>41242</v>
      </c>
      <c r="D715" s="4" t="s">
        <v>78</v>
      </c>
      <c r="E715" s="4">
        <v>36.0</v>
      </c>
      <c r="F715" s="4">
        <v>2039.082</v>
      </c>
      <c r="G715" s="4">
        <v>0.01</v>
      </c>
      <c r="H715" s="4" t="s">
        <v>22</v>
      </c>
      <c r="I715" s="6">
        <v>481.69800000000004</v>
      </c>
      <c r="J715" s="4">
        <v>65.99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0.57</v>
      </c>
      <c r="U715" s="5">
        <f>C715+1</f>
        <v>41243</v>
      </c>
    </row>
    <row r="716" ht="12.75" customHeight="1">
      <c r="A716" s="4">
        <v>7617.0</v>
      </c>
      <c r="B716" s="4">
        <v>54501.0</v>
      </c>
      <c r="C716" s="5">
        <f t="shared" si="310"/>
        <v>41242</v>
      </c>
      <c r="D716" s="4" t="s">
        <v>78</v>
      </c>
      <c r="E716" s="4">
        <v>16.0</v>
      </c>
      <c r="F716" s="4">
        <v>225.46</v>
      </c>
      <c r="G716" s="4">
        <v>0.09</v>
      </c>
      <c r="H716" s="4" t="s">
        <v>22</v>
      </c>
      <c r="I716" s="6">
        <v>-33.0252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1">C716+2</f>
        <v>41244</v>
      </c>
    </row>
    <row r="717" ht="12.75" customHeight="1">
      <c r="A717" s="4">
        <v>7618.0</v>
      </c>
      <c r="B717" s="4">
        <v>54501.0</v>
      </c>
      <c r="C717" s="5">
        <f t="shared" si="310"/>
        <v>41242</v>
      </c>
      <c r="D717" s="4" t="s">
        <v>78</v>
      </c>
      <c r="E717" s="4">
        <v>38.0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35.0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1"/>
        <v>41244</v>
      </c>
    </row>
    <row r="718" ht="12.75" customHeight="1">
      <c r="A718" s="4">
        <v>7642.0</v>
      </c>
      <c r="B718" s="4">
        <v>54753.0</v>
      </c>
      <c r="C718" s="5">
        <f>DATE(2012,12,31)-1353</f>
        <v>39921</v>
      </c>
      <c r="D718" s="4" t="s">
        <v>63</v>
      </c>
      <c r="E718" s="4">
        <v>36.0</v>
      </c>
      <c r="F718" s="4">
        <v>4711.244000000001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</v>
      </c>
      <c r="U718" s="5">
        <f t="shared" ref="U718:U719" si="312">C718+1</f>
        <v>39922</v>
      </c>
    </row>
    <row r="719" ht="12.75" customHeight="1">
      <c r="A719" s="4">
        <v>7690.0</v>
      </c>
      <c r="B719" s="4">
        <v>55138.0</v>
      </c>
      <c r="C719" s="5">
        <f>DATE(2012,12,31)-1194</f>
        <v>40080</v>
      </c>
      <c r="D719" s="4" t="s">
        <v>30</v>
      </c>
      <c r="E719" s="4">
        <v>22.0</v>
      </c>
      <c r="F719" s="4">
        <v>1132.54</v>
      </c>
      <c r="G719" s="4">
        <v>0.0</v>
      </c>
      <c r="H719" s="4" t="s">
        <v>22</v>
      </c>
      <c r="I719" s="6">
        <v>-628.38</v>
      </c>
      <c r="J719" s="4">
        <v>48.91</v>
      </c>
      <c r="K719" s="4">
        <v>35.0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2"/>
        <v>40081</v>
      </c>
    </row>
    <row r="720" ht="12.75" customHeight="1">
      <c r="A720" s="4">
        <v>7713.0</v>
      </c>
      <c r="B720" s="4">
        <v>55271.0</v>
      </c>
      <c r="C720" s="5">
        <f>DATE(2012,12,31)-661</f>
        <v>40613</v>
      </c>
      <c r="D720" s="4" t="s">
        <v>63</v>
      </c>
      <c r="E720" s="4">
        <v>16.0</v>
      </c>
      <c r="F720" s="4">
        <v>1648.33</v>
      </c>
      <c r="G720" s="4">
        <v>0.07</v>
      </c>
      <c r="H720" s="4" t="s">
        <v>31</v>
      </c>
      <c r="I720" s="6">
        <v>-210.14</v>
      </c>
      <c r="J720" s="4">
        <v>100.89</v>
      </c>
      <c r="K720" s="4">
        <v>42.0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3">C720+2</f>
        <v>40615</v>
      </c>
    </row>
    <row r="721" ht="12.75" customHeight="1">
      <c r="A721" s="4">
        <v>7722.0</v>
      </c>
      <c r="B721" s="4">
        <v>55331.0</v>
      </c>
      <c r="C721" s="5">
        <f>DATE(2012,12,31)-749</f>
        <v>40525</v>
      </c>
      <c r="D721" s="4" t="s">
        <v>30</v>
      </c>
      <c r="E721" s="4">
        <v>13.0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3"/>
        <v>40527</v>
      </c>
    </row>
    <row r="722" ht="12.75" customHeight="1">
      <c r="A722" s="4">
        <v>7769.0</v>
      </c>
      <c r="B722" s="4">
        <v>55618.0</v>
      </c>
      <c r="C722" s="5">
        <f>DATE(2012,12,31)-345</f>
        <v>40929</v>
      </c>
      <c r="D722" s="4" t="s">
        <v>63</v>
      </c>
      <c r="E722" s="4">
        <v>48.0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0.57</v>
      </c>
      <c r="U722" s="5">
        <f>C722+1</f>
        <v>40930</v>
      </c>
    </row>
    <row r="723" ht="12.75" customHeight="1">
      <c r="A723" s="4">
        <v>7924.0</v>
      </c>
      <c r="B723" s="4">
        <v>56645.0</v>
      </c>
      <c r="C723" s="5">
        <f t="shared" ref="C723:C724" si="314">DATE(2012,12,31)-360</f>
        <v>40914</v>
      </c>
      <c r="D723" s="4" t="s">
        <v>21</v>
      </c>
      <c r="E723" s="4">
        <v>46.0</v>
      </c>
      <c r="F723" s="4">
        <v>1483.49</v>
      </c>
      <c r="G723" s="4">
        <v>0.02</v>
      </c>
      <c r="H723" s="4" t="s">
        <v>22</v>
      </c>
      <c r="I723" s="6">
        <v>65.82</v>
      </c>
      <c r="J723" s="4">
        <v>30.98</v>
      </c>
      <c r="K723" s="4">
        <v>17.08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ht="12.75" customHeight="1">
      <c r="A724" s="4">
        <v>7925.0</v>
      </c>
      <c r="B724" s="4">
        <v>56645.0</v>
      </c>
      <c r="C724" s="5">
        <f t="shared" si="314"/>
        <v>40914</v>
      </c>
      <c r="D724" s="4" t="s">
        <v>21</v>
      </c>
      <c r="E724" s="4">
        <v>42.0</v>
      </c>
      <c r="F724" s="4">
        <v>14729.36</v>
      </c>
      <c r="G724" s="4">
        <v>0.07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ht="12.75" customHeight="1">
      <c r="A725" s="4">
        <v>7949.0</v>
      </c>
      <c r="B725" s="4">
        <v>56803.0</v>
      </c>
      <c r="C725" s="5">
        <f>DATE(2012,12,31)-1117</f>
        <v>40157</v>
      </c>
      <c r="D725" s="4" t="s">
        <v>45</v>
      </c>
      <c r="E725" s="4">
        <v>42.0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ht="12.75" customHeight="1">
      <c r="A726" s="4">
        <v>8001.0</v>
      </c>
      <c r="B726" s="4">
        <v>57159.0</v>
      </c>
      <c r="C726" s="5">
        <f t="shared" ref="C726:C727" si="315">DATE(2012,12,31)-1053</f>
        <v>40221</v>
      </c>
      <c r="D726" s="4" t="s">
        <v>78</v>
      </c>
      <c r="E726" s="4">
        <v>17.0</v>
      </c>
      <c r="F726" s="4">
        <v>4621.1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57.0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ht="12.75" customHeight="1">
      <c r="A727" s="4">
        <v>8002.0</v>
      </c>
      <c r="B727" s="4">
        <v>57159.0</v>
      </c>
      <c r="C727" s="5">
        <f t="shared" si="315"/>
        <v>40221</v>
      </c>
      <c r="D727" s="4" t="s">
        <v>78</v>
      </c>
      <c r="E727" s="4">
        <v>42.0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ht="12.75" customHeight="1">
      <c r="A728" s="4">
        <v>8056.0</v>
      </c>
      <c r="B728" s="4">
        <v>57507.0</v>
      </c>
      <c r="C728" s="5">
        <f>DATE(2012,12,31)-1284</f>
        <v>39990</v>
      </c>
      <c r="D728" s="4" t="s">
        <v>78</v>
      </c>
      <c r="E728" s="4">
        <v>10.0</v>
      </c>
      <c r="F728" s="4">
        <v>155.45</v>
      </c>
      <c r="G728" s="4">
        <v>0.03</v>
      </c>
      <c r="H728" s="4" t="s">
        <v>22</v>
      </c>
      <c r="I728" s="6">
        <v>-19.6765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ht="12.75" customHeight="1">
      <c r="A729" s="4">
        <v>8114.0</v>
      </c>
      <c r="B729" s="4">
        <v>57922.0</v>
      </c>
      <c r="C729" s="5">
        <f>DATE(2012,12,31)-692</f>
        <v>40582</v>
      </c>
      <c r="D729" s="4" t="s">
        <v>78</v>
      </c>
      <c r="E729" s="4">
        <v>50.0</v>
      </c>
      <c r="F729" s="4">
        <v>343.26</v>
      </c>
      <c r="G729" s="4">
        <v>0.04</v>
      </c>
      <c r="H729" s="4" t="s">
        <v>22</v>
      </c>
      <c r="I729" s="6">
        <v>-287.28</v>
      </c>
      <c r="J729" s="4">
        <v>6.84</v>
      </c>
      <c r="K729" s="4">
        <v>8.37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0.58</v>
      </c>
      <c r="U729" s="5">
        <f>C729+0</f>
        <v>40582</v>
      </c>
    </row>
    <row r="730" ht="12.75" customHeight="1">
      <c r="A730" s="4">
        <v>8132.0</v>
      </c>
      <c r="B730" s="4">
        <v>58117.0</v>
      </c>
      <c r="C730" s="5">
        <f>DATE(2012,12,31)-680</f>
        <v>40594</v>
      </c>
      <c r="D730" s="4" t="s">
        <v>78</v>
      </c>
      <c r="E730" s="4">
        <v>42.0</v>
      </c>
      <c r="F730" s="4">
        <v>134.86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ht="12.75" customHeight="1">
      <c r="A731" s="4">
        <v>8149.0</v>
      </c>
      <c r="B731" s="4">
        <v>58278.0</v>
      </c>
      <c r="C731" s="5">
        <f t="shared" ref="C731:C732" si="316">DATE(2012,12,31)-112</f>
        <v>41162</v>
      </c>
      <c r="D731" s="4" t="s">
        <v>30</v>
      </c>
      <c r="E731" s="4">
        <v>37.0</v>
      </c>
      <c r="F731" s="4">
        <v>3512.9</v>
      </c>
      <c r="G731" s="4">
        <v>0.08</v>
      </c>
      <c r="H731" s="4" t="s">
        <v>22</v>
      </c>
      <c r="I731" s="6">
        <v>2093.7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ht="12.75" customHeight="1">
      <c r="A732" s="4">
        <v>8150.0</v>
      </c>
      <c r="B732" s="4">
        <v>58278.0</v>
      </c>
      <c r="C732" s="5">
        <f t="shared" si="316"/>
        <v>41162</v>
      </c>
      <c r="D732" s="4" t="s">
        <v>30</v>
      </c>
      <c r="E732" s="4">
        <v>4.0</v>
      </c>
      <c r="F732" s="4">
        <v>281.5455</v>
      </c>
      <c r="G732" s="4">
        <v>0.1</v>
      </c>
      <c r="H732" s="4" t="s">
        <v>22</v>
      </c>
      <c r="I732" s="6">
        <v>-434.555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ht="12.75" customHeight="1">
      <c r="A733" s="4">
        <v>8185.0</v>
      </c>
      <c r="B733" s="4">
        <v>58502.0</v>
      </c>
      <c r="C733" s="5">
        <f>DATE(2012,12,31)-1053</f>
        <v>40221</v>
      </c>
      <c r="D733" s="4" t="s">
        <v>78</v>
      </c>
      <c r="E733" s="4">
        <v>23.0</v>
      </c>
      <c r="F733" s="4">
        <v>5186.31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7">C733+2</f>
        <v>40223</v>
      </c>
    </row>
    <row r="734" ht="12.75" customHeight="1">
      <c r="A734" s="4">
        <v>8225.0</v>
      </c>
      <c r="B734" s="4">
        <v>58788.0</v>
      </c>
      <c r="C734" s="5">
        <f>DATE(2012,12,31)-1064</f>
        <v>40210</v>
      </c>
      <c r="D734" s="4" t="s">
        <v>21</v>
      </c>
      <c r="E734" s="4">
        <v>31.0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7"/>
        <v>40212</v>
      </c>
    </row>
    <row r="735" ht="12.75" customHeight="1">
      <c r="A735" s="4">
        <v>8245.0</v>
      </c>
      <c r="B735" s="4">
        <v>58947.0</v>
      </c>
      <c r="C735" s="5">
        <f t="shared" ref="C735:C736" si="318">DATE(2012,12,31)-462</f>
        <v>40812</v>
      </c>
      <c r="D735" s="4" t="s">
        <v>45</v>
      </c>
      <c r="E735" s="4">
        <v>48.0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ht="12.75" customHeight="1">
      <c r="A736" s="4">
        <v>8246.0</v>
      </c>
      <c r="B736" s="4">
        <v>58947.0</v>
      </c>
      <c r="C736" s="5">
        <f t="shared" si="318"/>
        <v>40812</v>
      </c>
      <c r="D736" s="4" t="s">
        <v>45</v>
      </c>
      <c r="E736" s="4">
        <v>28.0</v>
      </c>
      <c r="F736" s="4">
        <v>135.72</v>
      </c>
      <c r="G736" s="4">
        <v>0.09</v>
      </c>
      <c r="H736" s="4" t="s">
        <v>22</v>
      </c>
      <c r="I736" s="6">
        <v>-67.79</v>
      </c>
      <c r="J736" s="4">
        <v>4.98</v>
      </c>
      <c r="K736" s="4">
        <v>5.02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ht="12.75" customHeight="1">
      <c r="A737" s="4">
        <v>8263.0</v>
      </c>
      <c r="B737" s="4">
        <v>59074.0</v>
      </c>
      <c r="C737" s="5">
        <f>DATE(2012,12,31)-872</f>
        <v>40402</v>
      </c>
      <c r="D737" s="4" t="s">
        <v>21</v>
      </c>
      <c r="E737" s="4">
        <v>37.0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9">C737+2</f>
        <v>40404</v>
      </c>
    </row>
    <row r="738" ht="12.75" customHeight="1">
      <c r="A738" s="4">
        <v>8292.0</v>
      </c>
      <c r="B738" s="4">
        <v>59233.0</v>
      </c>
      <c r="C738" s="5">
        <f t="shared" ref="C738:C739" si="320">DATE(2012,12,31)-864</f>
        <v>40410</v>
      </c>
      <c r="D738" s="4" t="s">
        <v>30</v>
      </c>
      <c r="E738" s="4">
        <v>3.0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9"/>
        <v>40412</v>
      </c>
    </row>
    <row r="739" ht="12.75" customHeight="1">
      <c r="A739" s="4">
        <v>8293.0</v>
      </c>
      <c r="B739" s="4">
        <v>59233.0</v>
      </c>
      <c r="C739" s="5">
        <f t="shared" si="320"/>
        <v>40410</v>
      </c>
      <c r="D739" s="4" t="s">
        <v>30</v>
      </c>
      <c r="E739" s="4">
        <v>30.0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5.0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ht="12.75" customHeight="1">
      <c r="A740" s="4">
        <v>8316.0</v>
      </c>
      <c r="B740" s="4">
        <v>59425.0</v>
      </c>
      <c r="C740" s="5">
        <f t="shared" ref="C740:C741" si="321">DATE(2012,12,31)-228</f>
        <v>41046</v>
      </c>
      <c r="D740" s="4" t="s">
        <v>63</v>
      </c>
      <c r="E740" s="4">
        <v>24.0</v>
      </c>
      <c r="F740" s="4">
        <v>2094.12</v>
      </c>
      <c r="G740" s="4">
        <v>0.0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ht="12.75" customHeight="1">
      <c r="A741" s="4">
        <v>8317.0</v>
      </c>
      <c r="B741" s="4">
        <v>59425.0</v>
      </c>
      <c r="C741" s="5">
        <f t="shared" si="321"/>
        <v>41046</v>
      </c>
      <c r="D741" s="4" t="s">
        <v>63</v>
      </c>
      <c r="E741" s="4">
        <v>46.0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ht="12.75" customHeight="1">
      <c r="A742" s="4">
        <v>8360.0</v>
      </c>
      <c r="B742" s="4">
        <v>59750.0</v>
      </c>
      <c r="C742" s="5">
        <f>DATE(2012,12,31)-906</f>
        <v>40368</v>
      </c>
      <c r="D742" s="4" t="s">
        <v>21</v>
      </c>
      <c r="E742" s="4">
        <v>34.0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ht="12.75" customHeight="1">
      <c r="A743" s="4">
        <v>7.0</v>
      </c>
      <c r="B743" s="4">
        <v>35.0</v>
      </c>
      <c r="C743" s="5">
        <f t="shared" ref="C743:C744" si="322">DATE(2012,12,31)-436</f>
        <v>40838</v>
      </c>
      <c r="D743" s="4" t="s">
        <v>45</v>
      </c>
      <c r="E743" s="4">
        <v>30.0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ht="12.75" customHeight="1">
      <c r="A744" s="4">
        <v>8.0</v>
      </c>
      <c r="B744" s="4">
        <v>35.0</v>
      </c>
      <c r="C744" s="5">
        <f t="shared" si="322"/>
        <v>40838</v>
      </c>
      <c r="D744" s="4" t="s">
        <v>45</v>
      </c>
      <c r="E744" s="4">
        <v>14.0</v>
      </c>
      <c r="F744" s="4">
        <v>1892.848</v>
      </c>
      <c r="G744" s="4">
        <v>0.01</v>
      </c>
      <c r="H744" s="4" t="s">
        <v>22</v>
      </c>
      <c r="I744" s="6">
        <v>48.987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0.58</v>
      </c>
      <c r="U744" s="5">
        <f>C744+2</f>
        <v>40840</v>
      </c>
    </row>
    <row r="745" ht="12.75" customHeight="1">
      <c r="A745" s="4">
        <v>51.0</v>
      </c>
      <c r="B745" s="4">
        <v>294.0</v>
      </c>
      <c r="C745" s="5">
        <f>DATE(2012,12,31)-900</f>
        <v>40374</v>
      </c>
      <c r="D745" s="4" t="s">
        <v>63</v>
      </c>
      <c r="E745" s="4">
        <v>35.0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19.99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3">C745+1</f>
        <v>40375</v>
      </c>
    </row>
    <row r="746" ht="12.75" customHeight="1">
      <c r="A746" s="4">
        <v>76.0</v>
      </c>
      <c r="B746" s="4">
        <v>450.0</v>
      </c>
      <c r="C746" s="5">
        <f t="shared" ref="C746:C747" si="324">DATE(2012,12,31)-668</f>
        <v>40606</v>
      </c>
      <c r="D746" s="4" t="s">
        <v>45</v>
      </c>
      <c r="E746" s="4">
        <v>29.0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</v>
      </c>
      <c r="U746" s="5">
        <f t="shared" si="323"/>
        <v>40607</v>
      </c>
    </row>
    <row r="747" ht="12.75" customHeight="1">
      <c r="A747" s="4">
        <v>77.0</v>
      </c>
      <c r="B747" s="4">
        <v>450.0</v>
      </c>
      <c r="C747" s="5">
        <f t="shared" si="324"/>
        <v>40606</v>
      </c>
      <c r="D747" s="4" t="s">
        <v>45</v>
      </c>
      <c r="E747" s="4">
        <v>35.0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ht="12.75" customHeight="1">
      <c r="A748" s="4">
        <v>164.0</v>
      </c>
      <c r="B748" s="4">
        <v>1028.0</v>
      </c>
      <c r="C748" s="5">
        <f t="shared" ref="C748:C749" si="325">DATE(2012,12,31)-1456</f>
        <v>39818</v>
      </c>
      <c r="D748" s="4" t="s">
        <v>30</v>
      </c>
      <c r="E748" s="4">
        <v>6.0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ht="12.75" customHeight="1">
      <c r="A749" s="4">
        <v>165.0</v>
      </c>
      <c r="B749" s="4">
        <v>1028.0</v>
      </c>
      <c r="C749" s="5">
        <f t="shared" si="325"/>
        <v>39818</v>
      </c>
      <c r="D749" s="4" t="s">
        <v>30</v>
      </c>
      <c r="E749" s="4">
        <v>11.0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6">C749+2</f>
        <v>39820</v>
      </c>
    </row>
    <row r="750" ht="12.75" customHeight="1">
      <c r="A750" s="4">
        <v>199.0</v>
      </c>
      <c r="B750" s="4">
        <v>1314.0</v>
      </c>
      <c r="C750" s="5">
        <f>DATE(2012,12,31)-1329</f>
        <v>39945</v>
      </c>
      <c r="D750" s="4" t="s">
        <v>63</v>
      </c>
      <c r="E750" s="4">
        <v>4.0</v>
      </c>
      <c r="F750" s="4">
        <v>42.58</v>
      </c>
      <c r="G750" s="4">
        <v>0.0</v>
      </c>
      <c r="H750" s="4" t="s">
        <v>22</v>
      </c>
      <c r="I750" s="6">
        <v>-7.61</v>
      </c>
      <c r="J750" s="4">
        <v>9.27</v>
      </c>
      <c r="K750" s="4">
        <v>4.39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6"/>
        <v>39947</v>
      </c>
    </row>
    <row r="751" ht="12.75" customHeight="1">
      <c r="A751" s="4">
        <v>333.0</v>
      </c>
      <c r="B751" s="4">
        <v>2279.0</v>
      </c>
      <c r="C751" s="5">
        <f t="shared" ref="C751:C752" si="327">DATE(2012,12,31)-1043</f>
        <v>40231</v>
      </c>
      <c r="D751" s="4" t="s">
        <v>63</v>
      </c>
      <c r="E751" s="4">
        <v>49.0</v>
      </c>
      <c r="F751" s="4">
        <v>4577.18</v>
      </c>
      <c r="G751" s="4">
        <v>0.0</v>
      </c>
      <c r="H751" s="4" t="s">
        <v>31</v>
      </c>
      <c r="I751" s="6">
        <v>205.83</v>
      </c>
      <c r="J751" s="4">
        <v>90.98</v>
      </c>
      <c r="K751" s="4">
        <v>30.0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ht="12.75" customHeight="1">
      <c r="A752" s="4">
        <v>334.0</v>
      </c>
      <c r="B752" s="4">
        <v>2279.0</v>
      </c>
      <c r="C752" s="5">
        <f t="shared" si="327"/>
        <v>40231</v>
      </c>
      <c r="D752" s="4" t="s">
        <v>63</v>
      </c>
      <c r="E752" s="4">
        <v>39.0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8">C752+2</f>
        <v>40233</v>
      </c>
    </row>
    <row r="753" ht="12.75" customHeight="1">
      <c r="A753" s="4">
        <v>353.0</v>
      </c>
      <c r="B753" s="4">
        <v>2465.0</v>
      </c>
      <c r="C753" s="5">
        <f>DATE(2012,12,31)-557</f>
        <v>40717</v>
      </c>
      <c r="D753" s="4" t="s">
        <v>78</v>
      </c>
      <c r="E753" s="4">
        <v>28.0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39.48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8"/>
        <v>40719</v>
      </c>
    </row>
    <row r="754" ht="12.75" customHeight="1">
      <c r="A754" s="4">
        <v>361.0</v>
      </c>
      <c r="B754" s="4">
        <v>2530.0</v>
      </c>
      <c r="C754" s="5">
        <f>DATE(2012,12,31)-1382</f>
        <v>39892</v>
      </c>
      <c r="D754" s="4" t="s">
        <v>63</v>
      </c>
      <c r="E754" s="4">
        <v>9.0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8"/>
        <v>39894</v>
      </c>
    </row>
    <row r="755" ht="12.75" customHeight="1">
      <c r="A755" s="4">
        <v>431.0</v>
      </c>
      <c r="B755" s="4">
        <v>2883.0</v>
      </c>
      <c r="C755" s="5">
        <f>DATE(2012,12,31)-709</f>
        <v>40565</v>
      </c>
      <c r="D755" s="4" t="s">
        <v>21</v>
      </c>
      <c r="E755" s="4">
        <v>34.0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8"/>
        <v>40567</v>
      </c>
    </row>
    <row r="756" ht="12.75" customHeight="1">
      <c r="A756" s="4">
        <v>485.0</v>
      </c>
      <c r="B756" s="4">
        <v>3362.0</v>
      </c>
      <c r="C756" s="5">
        <f t="shared" ref="C756:C757" si="329">DATE(2012,12,31)-522</f>
        <v>40752</v>
      </c>
      <c r="D756" s="4" t="s">
        <v>21</v>
      </c>
      <c r="E756" s="4">
        <v>40.0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ht="12.75" customHeight="1">
      <c r="A757" s="4">
        <v>486.0</v>
      </c>
      <c r="B757" s="4">
        <v>3362.0</v>
      </c>
      <c r="C757" s="5">
        <f t="shared" si="329"/>
        <v>40752</v>
      </c>
      <c r="D757" s="4" t="s">
        <v>21</v>
      </c>
      <c r="E757" s="4">
        <v>50.0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ht="12.75" customHeight="1">
      <c r="A758" s="4">
        <v>739.0</v>
      </c>
      <c r="B758" s="4">
        <v>5318.0</v>
      </c>
      <c r="C758" s="5">
        <f t="shared" ref="C758:C759" si="330">DATE(2012,12,31)-1003</f>
        <v>40271</v>
      </c>
      <c r="D758" s="4" t="s">
        <v>30</v>
      </c>
      <c r="E758" s="4">
        <v>8.0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</v>
      </c>
      <c r="U758" s="5">
        <f>C758+2</f>
        <v>40273</v>
      </c>
    </row>
    <row r="759" ht="12.75" customHeight="1">
      <c r="A759" s="4">
        <v>740.0</v>
      </c>
      <c r="B759" s="4">
        <v>5318.0</v>
      </c>
      <c r="C759" s="5">
        <f t="shared" si="330"/>
        <v>40271</v>
      </c>
      <c r="D759" s="4" t="s">
        <v>30</v>
      </c>
      <c r="E759" s="4">
        <v>29.0</v>
      </c>
      <c r="F759" s="4">
        <v>5010.7415</v>
      </c>
      <c r="G759" s="4">
        <v>0.03</v>
      </c>
      <c r="H759" s="4" t="s">
        <v>56</v>
      </c>
      <c r="I759" s="6">
        <v>1196.37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1">C759+1</f>
        <v>40272</v>
      </c>
    </row>
    <row r="760" ht="12.75" customHeight="1">
      <c r="A760" s="4">
        <v>835.0</v>
      </c>
      <c r="B760" s="4">
        <v>5988.0</v>
      </c>
      <c r="C760" s="5">
        <f>DATE(2012,12,31)-771</f>
        <v>40503</v>
      </c>
      <c r="D760" s="4" t="s">
        <v>45</v>
      </c>
      <c r="E760" s="4">
        <v>40.0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1"/>
        <v>40504</v>
      </c>
    </row>
    <row r="761" ht="12.75" customHeight="1">
      <c r="A761" s="4">
        <v>851.0</v>
      </c>
      <c r="B761" s="4">
        <v>6115.0</v>
      </c>
      <c r="C761" s="5">
        <f>DATE(2012,12,31)-842</f>
        <v>40432</v>
      </c>
      <c r="D761" s="4" t="s">
        <v>63</v>
      </c>
      <c r="E761" s="4">
        <v>25.0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1"/>
        <v>40433</v>
      </c>
    </row>
    <row r="762" ht="12.75" customHeight="1">
      <c r="A762" s="4">
        <v>882.0</v>
      </c>
      <c r="B762" s="4">
        <v>6337.0</v>
      </c>
      <c r="C762" s="5">
        <f t="shared" ref="C762:C763" si="332">DATE(2012,12,31)-488</f>
        <v>40786</v>
      </c>
      <c r="D762" s="4" t="s">
        <v>45</v>
      </c>
      <c r="E762" s="4">
        <v>48.0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70.71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ht="12.75" customHeight="1">
      <c r="A763" s="4">
        <v>883.0</v>
      </c>
      <c r="B763" s="4">
        <v>6337.0</v>
      </c>
      <c r="C763" s="5">
        <f t="shared" si="332"/>
        <v>40786</v>
      </c>
      <c r="D763" s="4" t="s">
        <v>45</v>
      </c>
      <c r="E763" s="4">
        <v>1.0</v>
      </c>
      <c r="F763" s="4">
        <v>449.42</v>
      </c>
      <c r="G763" s="4">
        <v>0.07</v>
      </c>
      <c r="H763" s="4" t="s">
        <v>31</v>
      </c>
      <c r="I763" s="6">
        <v>-261.612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ht="12.75" customHeight="1">
      <c r="A764" s="4">
        <v>895.0</v>
      </c>
      <c r="B764" s="4">
        <v>6434.0</v>
      </c>
      <c r="C764" s="5">
        <f>DATE(2012,12,31)-1303</f>
        <v>39971</v>
      </c>
      <c r="D764" s="4" t="s">
        <v>30</v>
      </c>
      <c r="E764" s="4">
        <v>13.0</v>
      </c>
      <c r="F764" s="4">
        <v>59.58</v>
      </c>
      <c r="G764" s="4">
        <v>0.07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ht="12.75" customHeight="1">
      <c r="A765" s="4">
        <v>989.0</v>
      </c>
      <c r="B765" s="4">
        <v>7136.0</v>
      </c>
      <c r="C765" s="5">
        <f t="shared" ref="C765:C766" si="333">DATE(2012,12,31)-1380</f>
        <v>39894</v>
      </c>
      <c r="D765" s="4" t="s">
        <v>30</v>
      </c>
      <c r="E765" s="4">
        <v>17.0</v>
      </c>
      <c r="F765" s="4">
        <v>642.9</v>
      </c>
      <c r="G765" s="4">
        <v>0.07</v>
      </c>
      <c r="H765" s="4" t="s">
        <v>22</v>
      </c>
      <c r="I765" s="6">
        <v>88.72</v>
      </c>
      <c r="J765" s="4">
        <v>39.48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4">C765+2</f>
        <v>39896</v>
      </c>
    </row>
    <row r="766" ht="12.75" customHeight="1">
      <c r="A766" s="4">
        <v>990.0</v>
      </c>
      <c r="B766" s="4">
        <v>7136.0</v>
      </c>
      <c r="C766" s="5">
        <f t="shared" si="333"/>
        <v>39894</v>
      </c>
      <c r="D766" s="4" t="s">
        <v>30</v>
      </c>
      <c r="E766" s="4">
        <v>9.0</v>
      </c>
      <c r="F766" s="4">
        <v>47.28</v>
      </c>
      <c r="G766" s="4">
        <v>0.0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4"/>
        <v>39896</v>
      </c>
    </row>
    <row r="767" ht="12.75" customHeight="1">
      <c r="A767" s="4">
        <v>1029.0</v>
      </c>
      <c r="B767" s="4">
        <v>7489.0</v>
      </c>
      <c r="C767" s="5">
        <f>DATE(2012,12,31)-823</f>
        <v>40451</v>
      </c>
      <c r="D767" s="4" t="s">
        <v>78</v>
      </c>
      <c r="E767" s="4">
        <v>38.0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ht="12.75" customHeight="1">
      <c r="A768" s="4">
        <v>1083.0</v>
      </c>
      <c r="B768" s="4">
        <v>7968.0</v>
      </c>
      <c r="C768" s="5">
        <f>DATE(2012,12,31)-838</f>
        <v>40436</v>
      </c>
      <c r="D768" s="4" t="s">
        <v>21</v>
      </c>
      <c r="E768" s="4">
        <v>10.0</v>
      </c>
      <c r="F768" s="4">
        <v>1449.21</v>
      </c>
      <c r="G768" s="4">
        <v>0.06</v>
      </c>
      <c r="H768" s="4" t="s">
        <v>31</v>
      </c>
      <c r="I768" s="6">
        <v>-270.0</v>
      </c>
      <c r="J768" s="4">
        <v>150.98</v>
      </c>
      <c r="K768" s="4">
        <v>30.0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ht="12.75" customHeight="1">
      <c r="A769" s="4">
        <v>1122.0</v>
      </c>
      <c r="B769" s="4">
        <v>8227.0</v>
      </c>
      <c r="C769" s="5">
        <f>DATE(2012,12,31)-1086</f>
        <v>40188</v>
      </c>
      <c r="D769" s="4" t="s">
        <v>45</v>
      </c>
      <c r="E769" s="4">
        <v>32.0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4.77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5">C769+1</f>
        <v>40189</v>
      </c>
    </row>
    <row r="770" ht="12.75" customHeight="1">
      <c r="A770" s="4">
        <v>1255.0</v>
      </c>
      <c r="B770" s="4">
        <v>9123.0</v>
      </c>
      <c r="C770" s="5">
        <f>DATE(2012,12,31)-919</f>
        <v>40355</v>
      </c>
      <c r="D770" s="4" t="s">
        <v>78</v>
      </c>
      <c r="E770" s="4">
        <v>27.0</v>
      </c>
      <c r="F770" s="4">
        <v>384.9</v>
      </c>
      <c r="G770" s="4">
        <v>0.07</v>
      </c>
      <c r="H770" s="4" t="s">
        <v>56</v>
      </c>
      <c r="I770" s="6">
        <v>-108.28</v>
      </c>
      <c r="J770" s="4">
        <v>14.03</v>
      </c>
      <c r="K770" s="4">
        <v>9.37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</v>
      </c>
      <c r="U770" s="5">
        <f t="shared" si="335"/>
        <v>40356</v>
      </c>
    </row>
    <row r="771" ht="12.75" customHeight="1">
      <c r="A771" s="4">
        <v>1339.0</v>
      </c>
      <c r="B771" s="4">
        <v>9792.0</v>
      </c>
      <c r="C771" s="5">
        <f>DATE(2012,12,31)-527</f>
        <v>40747</v>
      </c>
      <c r="D771" s="4" t="s">
        <v>21</v>
      </c>
      <c r="E771" s="4">
        <v>14.0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ht="12.75" customHeight="1">
      <c r="A772" s="4">
        <v>1352.0</v>
      </c>
      <c r="B772" s="4">
        <v>9860.0</v>
      </c>
      <c r="C772" s="5">
        <f>DATE(2012,12,31)-813</f>
        <v>40461</v>
      </c>
      <c r="D772" s="4" t="s">
        <v>78</v>
      </c>
      <c r="E772" s="4">
        <v>43.0</v>
      </c>
      <c r="F772" s="4">
        <v>319.69</v>
      </c>
      <c r="G772" s="4">
        <v>0.0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ht="12.75" customHeight="1">
      <c r="A773" s="4">
        <v>1423.0</v>
      </c>
      <c r="B773" s="4">
        <v>10310.0</v>
      </c>
      <c r="C773" s="5">
        <f t="shared" ref="C773:C774" si="336">DATE(2012,12,31)-1425</f>
        <v>39849</v>
      </c>
      <c r="D773" s="4" t="s">
        <v>21</v>
      </c>
      <c r="E773" s="4">
        <v>48.0</v>
      </c>
      <c r="F773" s="4">
        <v>139.86</v>
      </c>
      <c r="G773" s="4">
        <v>0.07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</v>
      </c>
      <c r="U773" s="5">
        <f>C773+4</f>
        <v>39853</v>
      </c>
    </row>
    <row r="774" ht="12.75" customHeight="1">
      <c r="A774" s="4">
        <v>1424.0</v>
      </c>
      <c r="B774" s="4">
        <v>10310.0</v>
      </c>
      <c r="C774" s="5">
        <f t="shared" si="336"/>
        <v>39849</v>
      </c>
      <c r="D774" s="4" t="s">
        <v>21</v>
      </c>
      <c r="E774" s="4">
        <v>6.0</v>
      </c>
      <c r="F774" s="4">
        <v>926.585</v>
      </c>
      <c r="G774" s="4">
        <v>0.1</v>
      </c>
      <c r="H774" s="4" t="s">
        <v>22</v>
      </c>
      <c r="I774" s="6">
        <v>-655.424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0.58</v>
      </c>
      <c r="U774" s="5">
        <f>C774+7</f>
        <v>39856</v>
      </c>
    </row>
    <row r="775" ht="12.75" customHeight="1">
      <c r="A775" s="4">
        <v>1436.0</v>
      </c>
      <c r="B775" s="4">
        <v>10369.0</v>
      </c>
      <c r="C775" s="5">
        <f t="shared" ref="C775:C776" si="337">DATE(2012,12,31)-418</f>
        <v>40856</v>
      </c>
      <c r="D775" s="4" t="s">
        <v>21</v>
      </c>
      <c r="E775" s="4">
        <v>4.0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ht="12.75" customHeight="1">
      <c r="A776" s="4">
        <v>1437.0</v>
      </c>
      <c r="B776" s="4">
        <v>10369.0</v>
      </c>
      <c r="C776" s="5">
        <f t="shared" si="337"/>
        <v>40856</v>
      </c>
      <c r="D776" s="4" t="s">
        <v>21</v>
      </c>
      <c r="E776" s="4">
        <v>23.0</v>
      </c>
      <c r="F776" s="4">
        <v>683.68</v>
      </c>
      <c r="G776" s="4">
        <v>0.0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ht="12.75" customHeight="1">
      <c r="A777" s="4">
        <v>1486.0</v>
      </c>
      <c r="B777" s="4">
        <v>10692.0</v>
      </c>
      <c r="C777" s="5">
        <f t="shared" ref="C777:C779" si="338">DATE(2012,12,31)-1254</f>
        <v>40020</v>
      </c>
      <c r="D777" s="4" t="s">
        <v>21</v>
      </c>
      <c r="E777" s="4">
        <v>26.0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ht="12.75" customHeight="1">
      <c r="A778" s="4">
        <v>1487.0</v>
      </c>
      <c r="B778" s="4">
        <v>10692.0</v>
      </c>
      <c r="C778" s="5">
        <f t="shared" si="338"/>
        <v>40020</v>
      </c>
      <c r="D778" s="4" t="s">
        <v>21</v>
      </c>
      <c r="E778" s="4">
        <v>48.0</v>
      </c>
      <c r="F778" s="4">
        <v>8101.9875</v>
      </c>
      <c r="G778" s="4">
        <v>0.05</v>
      </c>
      <c r="H778" s="4" t="s">
        <v>22</v>
      </c>
      <c r="I778" s="6">
        <v>2369.844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ht="12.75" customHeight="1">
      <c r="A779" s="4">
        <v>1488.0</v>
      </c>
      <c r="B779" s="4">
        <v>10692.0</v>
      </c>
      <c r="C779" s="5">
        <f t="shared" si="338"/>
        <v>40020</v>
      </c>
      <c r="D779" s="4" t="s">
        <v>21</v>
      </c>
      <c r="E779" s="4">
        <v>8.0</v>
      </c>
      <c r="F779" s="4">
        <v>1313.811</v>
      </c>
      <c r="G779" s="4">
        <v>0.07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0.58</v>
      </c>
      <c r="U779" s="5">
        <f>C779+0</f>
        <v>40020</v>
      </c>
    </row>
    <row r="780" ht="12.75" customHeight="1">
      <c r="A780" s="4">
        <v>1596.0</v>
      </c>
      <c r="B780" s="4">
        <v>11553.0</v>
      </c>
      <c r="C780" s="5">
        <f t="shared" ref="C780:C782" si="339">DATE(2012,12,31)-1353</f>
        <v>39921</v>
      </c>
      <c r="D780" s="4" t="s">
        <v>63</v>
      </c>
      <c r="E780" s="4">
        <v>28.0</v>
      </c>
      <c r="F780" s="4">
        <v>1350.34</v>
      </c>
      <c r="G780" s="4">
        <v>0.1</v>
      </c>
      <c r="H780" s="4" t="s">
        <v>56</v>
      </c>
      <c r="I780" s="6">
        <v>-517.17</v>
      </c>
      <c r="J780" s="4">
        <v>52.99</v>
      </c>
      <c r="K780" s="4">
        <v>19.99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ht="12.75" customHeight="1">
      <c r="A781" s="4">
        <v>1597.0</v>
      </c>
      <c r="B781" s="4">
        <v>11553.0</v>
      </c>
      <c r="C781" s="5">
        <f t="shared" si="339"/>
        <v>39921</v>
      </c>
      <c r="D781" s="4" t="s">
        <v>63</v>
      </c>
      <c r="E781" s="4">
        <v>8.0</v>
      </c>
      <c r="F781" s="4">
        <v>861.26</v>
      </c>
      <c r="G781" s="4">
        <v>0.07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ht="12.75" customHeight="1">
      <c r="A782" s="4">
        <v>1598.0</v>
      </c>
      <c r="B782" s="4">
        <v>11553.0</v>
      </c>
      <c r="C782" s="5">
        <f t="shared" si="339"/>
        <v>39921</v>
      </c>
      <c r="D782" s="4" t="s">
        <v>63</v>
      </c>
      <c r="E782" s="4">
        <v>20.0</v>
      </c>
      <c r="F782" s="4">
        <v>1531.411</v>
      </c>
      <c r="G782" s="4">
        <v>0.03</v>
      </c>
      <c r="H782" s="4" t="s">
        <v>22</v>
      </c>
      <c r="I782" s="6">
        <v>365.418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</v>
      </c>
      <c r="U782" s="5">
        <f>C782+2</f>
        <v>39923</v>
      </c>
    </row>
    <row r="783" ht="12.75" customHeight="1">
      <c r="A783" s="4">
        <v>1626.0</v>
      </c>
      <c r="B783" s="4">
        <v>11776.0</v>
      </c>
      <c r="C783" s="5">
        <f>DATE(2012,12,31)-311</f>
        <v>40963</v>
      </c>
      <c r="D783" s="4" t="s">
        <v>21</v>
      </c>
      <c r="E783" s="4">
        <v>40.0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ht="12.75" customHeight="1">
      <c r="A784" s="4">
        <v>1631.0</v>
      </c>
      <c r="B784" s="4">
        <v>11782.0</v>
      </c>
      <c r="C784" s="5">
        <f t="shared" ref="C784:C785" si="340">DATE(2012,12,31)-156</f>
        <v>41118</v>
      </c>
      <c r="D784" s="4" t="s">
        <v>21</v>
      </c>
      <c r="E784" s="4">
        <v>46.0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ht="12.75" customHeight="1">
      <c r="A785" s="4">
        <v>1632.0</v>
      </c>
      <c r="B785" s="4">
        <v>11782.0</v>
      </c>
      <c r="C785" s="5">
        <f t="shared" si="340"/>
        <v>41118</v>
      </c>
      <c r="D785" s="4" t="s">
        <v>21</v>
      </c>
      <c r="E785" s="4">
        <v>27.0</v>
      </c>
      <c r="F785" s="4">
        <v>1541.781</v>
      </c>
      <c r="G785" s="4">
        <v>0.07</v>
      </c>
      <c r="H785" s="4" t="s">
        <v>22</v>
      </c>
      <c r="I785" s="6">
        <v>14.346</v>
      </c>
      <c r="J785" s="4">
        <v>66.99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ht="12.75" customHeight="1">
      <c r="A786" s="4">
        <v>1690.0</v>
      </c>
      <c r="B786" s="4">
        <v>12199.0</v>
      </c>
      <c r="C786" s="5">
        <f t="shared" ref="C786:C787" si="341">DATE(2012,12,31)-383</f>
        <v>40891</v>
      </c>
      <c r="D786" s="4" t="s">
        <v>21</v>
      </c>
      <c r="E786" s="4">
        <v>2.0</v>
      </c>
      <c r="F786" s="4">
        <v>19.0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ht="12.75" customHeight="1">
      <c r="A787" s="4">
        <v>1691.0</v>
      </c>
      <c r="B787" s="4">
        <v>12199.0</v>
      </c>
      <c r="C787" s="5">
        <f t="shared" si="341"/>
        <v>40891</v>
      </c>
      <c r="D787" s="4" t="s">
        <v>21</v>
      </c>
      <c r="E787" s="4">
        <v>50.0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ht="12.75" customHeight="1">
      <c r="A788" s="4">
        <v>2004.0</v>
      </c>
      <c r="B788" s="4">
        <v>14275.0</v>
      </c>
      <c r="C788" s="5">
        <f t="shared" ref="C788:C789" si="342">DATE(2012,12,31)-932</f>
        <v>40342</v>
      </c>
      <c r="D788" s="4" t="s">
        <v>21</v>
      </c>
      <c r="E788" s="4">
        <v>20.0</v>
      </c>
      <c r="F788" s="4">
        <v>42.22</v>
      </c>
      <c r="G788" s="4">
        <v>0.04</v>
      </c>
      <c r="H788" s="4" t="s">
        <v>22</v>
      </c>
      <c r="I788" s="6">
        <v>-7.728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3">C788+2</f>
        <v>40344</v>
      </c>
    </row>
    <row r="789" ht="12.75" customHeight="1">
      <c r="A789" s="4">
        <v>2005.0</v>
      </c>
      <c r="B789" s="4">
        <v>14275.0</v>
      </c>
      <c r="C789" s="5">
        <f t="shared" si="342"/>
        <v>40342</v>
      </c>
      <c r="D789" s="4" t="s">
        <v>21</v>
      </c>
      <c r="E789" s="4">
        <v>4.0</v>
      </c>
      <c r="F789" s="4">
        <v>653.44</v>
      </c>
      <c r="G789" s="4">
        <v>0.06</v>
      </c>
      <c r="H789" s="4" t="s">
        <v>31</v>
      </c>
      <c r="I789" s="6">
        <v>-187.75</v>
      </c>
      <c r="J789" s="4">
        <v>160.98</v>
      </c>
      <c r="K789" s="4">
        <v>30.0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3"/>
        <v>40344</v>
      </c>
    </row>
    <row r="790" ht="12.75" customHeight="1">
      <c r="A790" s="4">
        <v>2043.0</v>
      </c>
      <c r="B790" s="4">
        <v>14535.0</v>
      </c>
      <c r="C790" s="5">
        <f>DATE(2012,12,31)-822</f>
        <v>40452</v>
      </c>
      <c r="D790" s="4" t="s">
        <v>45</v>
      </c>
      <c r="E790" s="4">
        <v>22.0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ht="12.75" customHeight="1">
      <c r="A791" s="4">
        <v>2145.0</v>
      </c>
      <c r="B791" s="4">
        <v>15329.0</v>
      </c>
      <c r="C791" s="5">
        <f>DATE(2012,12,31)-248</f>
        <v>41026</v>
      </c>
      <c r="D791" s="4" t="s">
        <v>30</v>
      </c>
      <c r="E791" s="4">
        <v>34.0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ht="12.75" customHeight="1">
      <c r="A792" s="4">
        <v>2169.0</v>
      </c>
      <c r="B792" s="4">
        <v>15621.0</v>
      </c>
      <c r="C792" s="5">
        <f t="shared" ref="C792:C793" si="344">DATE(2012,12,31)-464</f>
        <v>40810</v>
      </c>
      <c r="D792" s="4" t="s">
        <v>78</v>
      </c>
      <c r="E792" s="4">
        <v>18.0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ht="12.75" customHeight="1">
      <c r="A793" s="4">
        <v>2170.0</v>
      </c>
      <c r="B793" s="4">
        <v>15621.0</v>
      </c>
      <c r="C793" s="5">
        <f t="shared" si="344"/>
        <v>40810</v>
      </c>
      <c r="D793" s="4" t="s">
        <v>78</v>
      </c>
      <c r="E793" s="4">
        <v>39.0</v>
      </c>
      <c r="F793" s="4">
        <v>1105.66</v>
      </c>
      <c r="G793" s="4">
        <v>0.02</v>
      </c>
      <c r="H793" s="4" t="s">
        <v>22</v>
      </c>
      <c r="I793" s="6">
        <v>-136.2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0.58</v>
      </c>
      <c r="U793" s="5">
        <f>C793+0</f>
        <v>40810</v>
      </c>
    </row>
    <row r="794" ht="12.75" customHeight="1">
      <c r="A794" s="4">
        <v>2452.0</v>
      </c>
      <c r="B794" s="4">
        <v>17826.0</v>
      </c>
      <c r="C794" s="5">
        <f>DATE(2012,12,31)-184</f>
        <v>41090</v>
      </c>
      <c r="D794" s="4" t="s">
        <v>30</v>
      </c>
      <c r="E794" s="4">
        <v>18.0</v>
      </c>
      <c r="F794" s="4">
        <v>78.93</v>
      </c>
      <c r="G794" s="4">
        <v>0.04</v>
      </c>
      <c r="H794" s="4" t="s">
        <v>22</v>
      </c>
      <c r="I794" s="6">
        <v>-88.6075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ht="12.75" customHeight="1">
      <c r="A795" s="4">
        <v>2463.0</v>
      </c>
      <c r="B795" s="4">
        <v>17926.0</v>
      </c>
      <c r="C795" s="5">
        <f>DATE(2012,12,31)-417</f>
        <v>40857</v>
      </c>
      <c r="D795" s="4" t="s">
        <v>78</v>
      </c>
      <c r="E795" s="4">
        <v>37.0</v>
      </c>
      <c r="F795" s="4">
        <v>608.33</v>
      </c>
      <c r="G795" s="4">
        <v>0.02</v>
      </c>
      <c r="H795" s="4" t="s">
        <v>22</v>
      </c>
      <c r="I795" s="6">
        <v>-70.04</v>
      </c>
      <c r="J795" s="4">
        <v>15.31</v>
      </c>
      <c r="K795" s="4">
        <v>8.78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0.57</v>
      </c>
      <c r="U795" s="5">
        <f>C795+2</f>
        <v>40859</v>
      </c>
    </row>
    <row r="796" ht="12.75" customHeight="1">
      <c r="A796" s="4">
        <v>2513.0</v>
      </c>
      <c r="B796" s="4">
        <v>18247.0</v>
      </c>
      <c r="C796" s="5">
        <f>DATE(2012,12,31)-1152</f>
        <v>40122</v>
      </c>
      <c r="D796" s="4" t="s">
        <v>45</v>
      </c>
      <c r="E796" s="4">
        <v>20.0</v>
      </c>
      <c r="F796" s="4">
        <v>155.8</v>
      </c>
      <c r="G796" s="4">
        <v>0.0</v>
      </c>
      <c r="H796" s="4" t="s">
        <v>22</v>
      </c>
      <c r="I796" s="6">
        <v>27.22</v>
      </c>
      <c r="J796" s="4">
        <v>7.59</v>
      </c>
      <c r="K796" s="4">
        <v>4.0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5">C796+1</f>
        <v>40123</v>
      </c>
    </row>
    <row r="797" ht="12.75" customHeight="1">
      <c r="A797" s="4">
        <v>2551.0</v>
      </c>
      <c r="B797" s="4">
        <v>18471.0</v>
      </c>
      <c r="C797" s="5">
        <f t="shared" ref="C797:C799" si="346">DATE(2012,12,31)-1411</f>
        <v>39863</v>
      </c>
      <c r="D797" s="4" t="s">
        <v>45</v>
      </c>
      <c r="E797" s="4">
        <v>37.0</v>
      </c>
      <c r="F797" s="4">
        <v>226.65</v>
      </c>
      <c r="G797" s="4">
        <v>0.0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5"/>
        <v>39864</v>
      </c>
    </row>
    <row r="798" ht="12.75" customHeight="1">
      <c r="A798" s="4">
        <v>2552.0</v>
      </c>
      <c r="B798" s="4">
        <v>18471.0</v>
      </c>
      <c r="C798" s="5">
        <f t="shared" si="346"/>
        <v>39863</v>
      </c>
      <c r="D798" s="4" t="s">
        <v>45</v>
      </c>
      <c r="E798" s="4">
        <v>4.0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</v>
      </c>
      <c r="U798" s="5">
        <f t="shared" si="345"/>
        <v>39864</v>
      </c>
    </row>
    <row r="799" ht="12.75" customHeight="1">
      <c r="A799" s="4">
        <v>2553.0</v>
      </c>
      <c r="B799" s="4">
        <v>18471.0</v>
      </c>
      <c r="C799" s="5">
        <f t="shared" si="346"/>
        <v>39863</v>
      </c>
      <c r="D799" s="4" t="s">
        <v>45</v>
      </c>
      <c r="E799" s="4">
        <v>29.0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5"/>
        <v>39864</v>
      </c>
    </row>
    <row r="800" ht="12.75" customHeight="1">
      <c r="A800" s="4">
        <v>2745.0</v>
      </c>
      <c r="B800" s="4">
        <v>19813.0</v>
      </c>
      <c r="C800" s="5">
        <f>DATE(2012,12,31)-1035</f>
        <v>40239</v>
      </c>
      <c r="D800" s="4" t="s">
        <v>78</v>
      </c>
      <c r="E800" s="4">
        <v>29.0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</v>
      </c>
      <c r="U800" s="5">
        <f t="shared" si="345"/>
        <v>40240</v>
      </c>
    </row>
    <row r="801" ht="12.75" customHeight="1">
      <c r="A801" s="4">
        <v>2815.0</v>
      </c>
      <c r="B801" s="4">
        <v>20322.0</v>
      </c>
      <c r="C801" s="5">
        <f t="shared" ref="C801:C803" si="347">DATE(2012,12,31)-1282</f>
        <v>39992</v>
      </c>
      <c r="D801" s="4" t="s">
        <v>78</v>
      </c>
      <c r="E801" s="4">
        <v>46.0</v>
      </c>
      <c r="F801" s="4">
        <v>160.27</v>
      </c>
      <c r="G801" s="4">
        <v>0.06</v>
      </c>
      <c r="H801" s="4" t="s">
        <v>22</v>
      </c>
      <c r="I801" s="6">
        <v>-183.356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ht="12.75" customHeight="1">
      <c r="A802" s="4">
        <v>2816.0</v>
      </c>
      <c r="B802" s="4">
        <v>20322.0</v>
      </c>
      <c r="C802" s="5">
        <f t="shared" si="347"/>
        <v>39992</v>
      </c>
      <c r="D802" s="4" t="s">
        <v>78</v>
      </c>
      <c r="E802" s="4">
        <v>46.0</v>
      </c>
      <c r="F802" s="4">
        <v>4601.02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8">C802+0</f>
        <v>39992</v>
      </c>
    </row>
    <row r="803" ht="12.75" customHeight="1">
      <c r="A803" s="4">
        <v>2817.0</v>
      </c>
      <c r="B803" s="4">
        <v>20322.0</v>
      </c>
      <c r="C803" s="5">
        <f t="shared" si="347"/>
        <v>39992</v>
      </c>
      <c r="D803" s="4" t="s">
        <v>78</v>
      </c>
      <c r="E803" s="4">
        <v>15.0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8"/>
        <v>39992</v>
      </c>
    </row>
    <row r="804" ht="12.75" customHeight="1">
      <c r="A804" s="4">
        <v>2830.0</v>
      </c>
      <c r="B804" s="4">
        <v>20422.0</v>
      </c>
      <c r="C804" s="5">
        <f>DATE(2012,12,31)-1435</f>
        <v>39839</v>
      </c>
      <c r="D804" s="4" t="s">
        <v>30</v>
      </c>
      <c r="E804" s="4">
        <v>30.0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5.0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9">C804+1</f>
        <v>39840</v>
      </c>
    </row>
    <row r="805" ht="12.75" customHeight="1">
      <c r="A805" s="4">
        <v>2831.0</v>
      </c>
      <c r="B805" s="4">
        <v>20448.0</v>
      </c>
      <c r="C805" s="5">
        <f>DATE(2012,12,31)-517</f>
        <v>40757</v>
      </c>
      <c r="D805" s="4" t="s">
        <v>78</v>
      </c>
      <c r="E805" s="4">
        <v>23.0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9"/>
        <v>40758</v>
      </c>
    </row>
    <row r="806" ht="12.75" customHeight="1">
      <c r="A806" s="4">
        <v>3056.0</v>
      </c>
      <c r="B806" s="4">
        <v>21892.0</v>
      </c>
      <c r="C806" s="5">
        <f>DATE(2012,12,31)-911</f>
        <v>40363</v>
      </c>
      <c r="D806" s="4" t="s">
        <v>30</v>
      </c>
      <c r="E806" s="4">
        <v>6.0</v>
      </c>
      <c r="F806" s="4">
        <v>34.88</v>
      </c>
      <c r="G806" s="4">
        <v>0.06</v>
      </c>
      <c r="H806" s="4" t="s">
        <v>22</v>
      </c>
      <c r="I806" s="6">
        <v>-18.3425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ht="12.75" customHeight="1">
      <c r="A807" s="4">
        <v>3204.0</v>
      </c>
      <c r="B807" s="4">
        <v>22980.0</v>
      </c>
      <c r="C807" s="5">
        <f>DATE(2012,12,31)-91</f>
        <v>41183</v>
      </c>
      <c r="D807" s="4" t="s">
        <v>45</v>
      </c>
      <c r="E807" s="4">
        <v>17.0</v>
      </c>
      <c r="F807" s="4">
        <v>224.09</v>
      </c>
      <c r="G807" s="4">
        <v>0.0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0.57</v>
      </c>
      <c r="U807" s="5">
        <f>C807+1</f>
        <v>41184</v>
      </c>
    </row>
    <row r="808" ht="12.75" customHeight="1">
      <c r="A808" s="4">
        <v>3341.0</v>
      </c>
      <c r="B808" s="4">
        <v>23907.0</v>
      </c>
      <c r="C808" s="5">
        <f>DATE(2012,12,31)-536</f>
        <v>40738</v>
      </c>
      <c r="D808" s="4" t="s">
        <v>45</v>
      </c>
      <c r="E808" s="4">
        <v>7.0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65.99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</v>
      </c>
      <c r="U808" s="5">
        <f>C808+0</f>
        <v>40738</v>
      </c>
    </row>
    <row r="809" ht="12.75" customHeight="1">
      <c r="A809" s="4">
        <v>3362.0</v>
      </c>
      <c r="B809" s="4">
        <v>24064.0</v>
      </c>
      <c r="C809" s="5">
        <f>DATE(2012,12,31)-890</f>
        <v>40384</v>
      </c>
      <c r="D809" s="4" t="s">
        <v>63</v>
      </c>
      <c r="E809" s="4">
        <v>23.0</v>
      </c>
      <c r="F809" s="4">
        <v>6366.52</v>
      </c>
      <c r="G809" s="4">
        <v>0.07</v>
      </c>
      <c r="H809" s="4" t="s">
        <v>31</v>
      </c>
      <c r="I809" s="6">
        <v>935.8000000000005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0.57</v>
      </c>
      <c r="U809" s="5">
        <f>C809+3</f>
        <v>40387</v>
      </c>
    </row>
    <row r="810" ht="12.75" customHeight="1">
      <c r="A810" s="4">
        <v>3382.0</v>
      </c>
      <c r="B810" s="4">
        <v>24132.0</v>
      </c>
      <c r="C810" s="5">
        <f t="shared" ref="C810:C815" si="350">DATE(2012,12,31)-1274</f>
        <v>40000</v>
      </c>
      <c r="D810" s="4" t="s">
        <v>21</v>
      </c>
      <c r="E810" s="4">
        <v>4.0</v>
      </c>
      <c r="F810" s="4">
        <v>31.01</v>
      </c>
      <c r="G810" s="4">
        <v>0.03</v>
      </c>
      <c r="H810" s="4" t="s">
        <v>22</v>
      </c>
      <c r="I810" s="6">
        <v>-4.485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ht="12.75" customHeight="1">
      <c r="A811" s="4">
        <v>3383.0</v>
      </c>
      <c r="B811" s="4">
        <v>24132.0</v>
      </c>
      <c r="C811" s="5">
        <f t="shared" si="350"/>
        <v>40000</v>
      </c>
      <c r="D811" s="4" t="s">
        <v>21</v>
      </c>
      <c r="E811" s="4">
        <v>46.0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ht="12.75" customHeight="1">
      <c r="A812" s="4">
        <v>3384.0</v>
      </c>
      <c r="B812" s="4">
        <v>24132.0</v>
      </c>
      <c r="C812" s="5">
        <f t="shared" si="350"/>
        <v>40000</v>
      </c>
      <c r="D812" s="4" t="s">
        <v>21</v>
      </c>
      <c r="E812" s="4">
        <v>22.0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4.0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ht="12.75" customHeight="1">
      <c r="A813" s="4">
        <v>3385.0</v>
      </c>
      <c r="B813" s="4">
        <v>24132.0</v>
      </c>
      <c r="C813" s="5">
        <f t="shared" si="350"/>
        <v>40000</v>
      </c>
      <c r="D813" s="4" t="s">
        <v>21</v>
      </c>
      <c r="E813" s="4">
        <v>31.0</v>
      </c>
      <c r="F813" s="4">
        <v>1252.89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ht="12.75" customHeight="1">
      <c r="A814" s="4">
        <v>3386.0</v>
      </c>
      <c r="B814" s="4">
        <v>24132.0</v>
      </c>
      <c r="C814" s="5">
        <f t="shared" si="350"/>
        <v>40000</v>
      </c>
      <c r="D814" s="4" t="s">
        <v>21</v>
      </c>
      <c r="E814" s="4">
        <v>12.0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ht="12.75" customHeight="1">
      <c r="A815" s="4">
        <v>3387.0</v>
      </c>
      <c r="B815" s="4">
        <v>24132.0</v>
      </c>
      <c r="C815" s="5">
        <f t="shared" si="350"/>
        <v>40000</v>
      </c>
      <c r="D815" s="4" t="s">
        <v>21</v>
      </c>
      <c r="E815" s="4">
        <v>3.0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ht="12.75" customHeight="1">
      <c r="A816" s="4">
        <v>3441.0</v>
      </c>
      <c r="B816" s="4">
        <v>24576.0</v>
      </c>
      <c r="C816" s="5">
        <f t="shared" ref="C816:C817" si="351">DATE(2012,12,31)-20</f>
        <v>41254</v>
      </c>
      <c r="D816" s="4" t="s">
        <v>45</v>
      </c>
      <c r="E816" s="4">
        <v>29.0</v>
      </c>
      <c r="F816" s="4">
        <v>531.063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4.81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0.58</v>
      </c>
      <c r="U816" s="5">
        <f t="shared" ref="U816:U818" si="352">C816+2</f>
        <v>41256</v>
      </c>
    </row>
    <row r="817" ht="12.75" customHeight="1">
      <c r="A817" s="4">
        <v>3442.0</v>
      </c>
      <c r="B817" s="4">
        <v>24576.0</v>
      </c>
      <c r="C817" s="5">
        <f t="shared" si="351"/>
        <v>41254</v>
      </c>
      <c r="D817" s="4" t="s">
        <v>45</v>
      </c>
      <c r="E817" s="4">
        <v>10.0</v>
      </c>
      <c r="F817" s="4">
        <v>152.84</v>
      </c>
      <c r="G817" s="4">
        <v>0.05</v>
      </c>
      <c r="H817" s="4" t="s">
        <v>22</v>
      </c>
      <c r="I817" s="6">
        <v>38.02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2"/>
        <v>41256</v>
      </c>
    </row>
    <row r="818" ht="12.75" customHeight="1">
      <c r="A818" s="4">
        <v>3541.0</v>
      </c>
      <c r="B818" s="4">
        <v>25248.0</v>
      </c>
      <c r="C818" s="5">
        <f t="shared" ref="C818:C819" si="353">DATE(2012,12,31)-396</f>
        <v>40878</v>
      </c>
      <c r="D818" s="4" t="s">
        <v>63</v>
      </c>
      <c r="E818" s="4">
        <v>33.0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2"/>
        <v>40880</v>
      </c>
    </row>
    <row r="819" ht="12.75" customHeight="1">
      <c r="A819" s="4">
        <v>3542.0</v>
      </c>
      <c r="B819" s="4">
        <v>25248.0</v>
      </c>
      <c r="C819" s="5">
        <f t="shared" si="353"/>
        <v>40878</v>
      </c>
      <c r="D819" s="4" t="s">
        <v>63</v>
      </c>
      <c r="E819" s="4">
        <v>26.0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ht="12.75" customHeight="1">
      <c r="A820" s="4">
        <v>3573.0</v>
      </c>
      <c r="B820" s="4">
        <v>25475.0</v>
      </c>
      <c r="C820" s="5">
        <f>DATE(2012,12,31)-1367</f>
        <v>39907</v>
      </c>
      <c r="D820" s="4" t="s">
        <v>78</v>
      </c>
      <c r="E820" s="4">
        <v>49.0</v>
      </c>
      <c r="F820" s="4">
        <v>305.96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ht="12.75" customHeight="1">
      <c r="A821" s="4">
        <v>3784.0</v>
      </c>
      <c r="B821" s="4">
        <v>26978.0</v>
      </c>
      <c r="C821" s="5">
        <f>DATE(2012,12,31)-920</f>
        <v>40354</v>
      </c>
      <c r="D821" s="4" t="s">
        <v>63</v>
      </c>
      <c r="E821" s="4">
        <v>2.0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9.03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4">C821+1</f>
        <v>40355</v>
      </c>
    </row>
    <row r="822" ht="12.75" customHeight="1">
      <c r="A822" s="4">
        <v>3798.0</v>
      </c>
      <c r="B822" s="4">
        <v>27105.0</v>
      </c>
      <c r="C822" s="5">
        <f t="shared" ref="C822:C823" si="355">DATE(2012,12,31)-684</f>
        <v>40590</v>
      </c>
      <c r="D822" s="4" t="s">
        <v>45</v>
      </c>
      <c r="E822" s="4">
        <v>37.0</v>
      </c>
      <c r="F822" s="4">
        <v>223.74</v>
      </c>
      <c r="G822" s="4">
        <v>0.01</v>
      </c>
      <c r="H822" s="4" t="s">
        <v>22</v>
      </c>
      <c r="I822" s="6">
        <v>39.63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4"/>
        <v>40591</v>
      </c>
    </row>
    <row r="823" ht="12.75" customHeight="1">
      <c r="A823" s="4">
        <v>3799.0</v>
      </c>
      <c r="B823" s="4">
        <v>27105.0</v>
      </c>
      <c r="C823" s="5">
        <f t="shared" si="355"/>
        <v>40590</v>
      </c>
      <c r="D823" s="4" t="s">
        <v>45</v>
      </c>
      <c r="E823" s="4">
        <v>2.0</v>
      </c>
      <c r="F823" s="4">
        <v>26.82</v>
      </c>
      <c r="G823" s="4">
        <v>0.0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4"/>
        <v>40591</v>
      </c>
    </row>
    <row r="824" ht="12.75" customHeight="1">
      <c r="A824" s="4">
        <v>3940.0</v>
      </c>
      <c r="B824" s="4">
        <v>28068.0</v>
      </c>
      <c r="C824" s="5">
        <f>DATE(2012,12,31)-858</f>
        <v>40416</v>
      </c>
      <c r="D824" s="4" t="s">
        <v>21</v>
      </c>
      <c r="E824" s="4">
        <v>23.0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4.0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6">C824+2</f>
        <v>40418</v>
      </c>
    </row>
    <row r="825" ht="12.75" customHeight="1">
      <c r="A825" s="4">
        <v>4032.0</v>
      </c>
      <c r="B825" s="4">
        <v>28802.0</v>
      </c>
      <c r="C825" s="5">
        <f t="shared" ref="C825:C827" si="357">DATE(2012,12,31)-788</f>
        <v>40486</v>
      </c>
      <c r="D825" s="4" t="s">
        <v>30</v>
      </c>
      <c r="E825" s="4">
        <v>23.0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6"/>
        <v>40488</v>
      </c>
    </row>
    <row r="826" ht="12.75" customHeight="1">
      <c r="A826" s="4">
        <v>4033.0</v>
      </c>
      <c r="B826" s="4">
        <v>28802.0</v>
      </c>
      <c r="C826" s="5">
        <f t="shared" si="357"/>
        <v>40486</v>
      </c>
      <c r="D826" s="4" t="s">
        <v>30</v>
      </c>
      <c r="E826" s="4">
        <v>36.0</v>
      </c>
      <c r="F826" s="4">
        <v>336.25</v>
      </c>
      <c r="G826" s="4">
        <v>0.0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ht="12.75" customHeight="1">
      <c r="A827" s="4">
        <v>4034.0</v>
      </c>
      <c r="B827" s="4">
        <v>28802.0</v>
      </c>
      <c r="C827" s="5">
        <f t="shared" si="357"/>
        <v>40486</v>
      </c>
      <c r="D827" s="4" t="s">
        <v>30</v>
      </c>
      <c r="E827" s="4">
        <v>22.0</v>
      </c>
      <c r="F827" s="4">
        <v>4001.4684999999995</v>
      </c>
      <c r="G827" s="4">
        <v>0.02</v>
      </c>
      <c r="H827" s="4" t="s">
        <v>22</v>
      </c>
      <c r="I827" s="6">
        <v>884.907</v>
      </c>
      <c r="J827" s="4">
        <v>205.99</v>
      </c>
      <c r="K827" s="4">
        <v>3.0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0.58</v>
      </c>
      <c r="U827" s="5">
        <f t="shared" ref="U827:U828" si="358">C827+2</f>
        <v>40488</v>
      </c>
    </row>
    <row r="828" ht="12.75" customHeight="1">
      <c r="A828" s="4">
        <v>4044.0</v>
      </c>
      <c r="B828" s="4">
        <v>28839.0</v>
      </c>
      <c r="C828" s="5">
        <f>DATE(2012,12,31)-1343</f>
        <v>39931</v>
      </c>
      <c r="D828" s="4" t="s">
        <v>21</v>
      </c>
      <c r="E828" s="4">
        <v>30.0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8"/>
        <v>39933</v>
      </c>
    </row>
    <row r="829" ht="12.75" customHeight="1">
      <c r="A829" s="4">
        <v>4111.0</v>
      </c>
      <c r="B829" s="4">
        <v>29252.0</v>
      </c>
      <c r="C829" s="5">
        <f>DATE(2012,12,31)-1243</f>
        <v>40031</v>
      </c>
      <c r="D829" s="4" t="s">
        <v>21</v>
      </c>
      <c r="E829" s="4">
        <v>9.0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ht="12.75" customHeight="1">
      <c r="A830" s="4">
        <v>4488.0</v>
      </c>
      <c r="B830" s="4">
        <v>31941.0</v>
      </c>
      <c r="C830" s="5">
        <f t="shared" ref="C830:C831" si="359">DATE(2012,12,31)-1384</f>
        <v>39890</v>
      </c>
      <c r="D830" s="4" t="s">
        <v>63</v>
      </c>
      <c r="E830" s="4">
        <v>32.0</v>
      </c>
      <c r="F830" s="4">
        <v>2564.45</v>
      </c>
      <c r="G830" s="4">
        <v>0.01</v>
      </c>
      <c r="H830" s="4" t="s">
        <v>56</v>
      </c>
      <c r="I830" s="6">
        <v>650.73</v>
      </c>
      <c r="J830" s="4">
        <v>78.65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ht="12.75" customHeight="1">
      <c r="A831" s="4">
        <v>4489.0</v>
      </c>
      <c r="B831" s="4">
        <v>31941.0</v>
      </c>
      <c r="C831" s="5">
        <f t="shared" si="359"/>
        <v>39890</v>
      </c>
      <c r="D831" s="4" t="s">
        <v>63</v>
      </c>
      <c r="E831" s="4">
        <v>7.0</v>
      </c>
      <c r="F831" s="4">
        <v>53.55</v>
      </c>
      <c r="G831" s="4">
        <v>0.07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ht="12.75" customHeight="1">
      <c r="A832" s="4">
        <v>4555.0</v>
      </c>
      <c r="B832" s="4">
        <v>32418.0</v>
      </c>
      <c r="C832" s="5">
        <f>DATE(2012,12,31)-1456</f>
        <v>39818</v>
      </c>
      <c r="D832" s="4" t="s">
        <v>45</v>
      </c>
      <c r="E832" s="4">
        <v>5.0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</v>
      </c>
      <c r="U832" s="5">
        <f>C832+1</f>
        <v>39819</v>
      </c>
    </row>
    <row r="833" ht="12.75" customHeight="1">
      <c r="A833" s="4">
        <v>4813.0</v>
      </c>
      <c r="B833" s="4">
        <v>34241.0</v>
      </c>
      <c r="C833" s="5">
        <f>DATE(2012,12,31)-84</f>
        <v>41190</v>
      </c>
      <c r="D833" s="4" t="s">
        <v>21</v>
      </c>
      <c r="E833" s="4">
        <v>4.0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60">C833+0</f>
        <v>41190</v>
      </c>
    </row>
    <row r="834" ht="12.75" customHeight="1">
      <c r="A834" s="4">
        <v>4893.0</v>
      </c>
      <c r="B834" s="4">
        <v>34816.0</v>
      </c>
      <c r="C834" s="5">
        <f t="shared" ref="C834:C835" si="361">DATE(2012,12,31)-787</f>
        <v>40487</v>
      </c>
      <c r="D834" s="4" t="s">
        <v>45</v>
      </c>
      <c r="E834" s="4">
        <v>29.0</v>
      </c>
      <c r="F834" s="4">
        <v>1158.45</v>
      </c>
      <c r="G834" s="4">
        <v>0.1</v>
      </c>
      <c r="H834" s="4" t="s">
        <v>22</v>
      </c>
      <c r="I834" s="6">
        <v>267.16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</v>
      </c>
      <c r="U834" s="5">
        <f t="shared" si="360"/>
        <v>40487</v>
      </c>
    </row>
    <row r="835" ht="12.75" customHeight="1">
      <c r="A835" s="4">
        <v>4894.0</v>
      </c>
      <c r="B835" s="4">
        <v>34816.0</v>
      </c>
      <c r="C835" s="5">
        <f t="shared" si="361"/>
        <v>40487</v>
      </c>
      <c r="D835" s="4" t="s">
        <v>45</v>
      </c>
      <c r="E835" s="4">
        <v>43.0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19.99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2">C835+2</f>
        <v>40489</v>
      </c>
    </row>
    <row r="836" ht="12.75" customHeight="1">
      <c r="A836" s="4">
        <v>4917.0</v>
      </c>
      <c r="B836" s="4">
        <v>35011.0</v>
      </c>
      <c r="C836" s="5">
        <f>DATE(2012,12,31)-21</f>
        <v>41253</v>
      </c>
      <c r="D836" s="4" t="s">
        <v>45</v>
      </c>
      <c r="E836" s="4">
        <v>14.0</v>
      </c>
      <c r="F836" s="4">
        <v>154.45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0.57</v>
      </c>
      <c r="U836" s="5">
        <f t="shared" si="362"/>
        <v>41255</v>
      </c>
    </row>
    <row r="837" ht="12.75" customHeight="1">
      <c r="A837" s="4">
        <v>5058.0</v>
      </c>
      <c r="B837" s="4">
        <v>36068.0</v>
      </c>
      <c r="C837" s="5">
        <f>DATE(2012,12,31)-1425</f>
        <v>39849</v>
      </c>
      <c r="D837" s="4" t="s">
        <v>78</v>
      </c>
      <c r="E837" s="4">
        <v>23.0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ht="12.75" customHeight="1">
      <c r="A838" s="4">
        <v>5196.0</v>
      </c>
      <c r="B838" s="4">
        <v>36930.0</v>
      </c>
      <c r="C838" s="5">
        <f>DATE(2012,12,31)-460</f>
        <v>40814</v>
      </c>
      <c r="D838" s="4" t="s">
        <v>63</v>
      </c>
      <c r="E838" s="4">
        <v>34.0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ht="12.75" customHeight="1">
      <c r="A839" s="4">
        <v>5245.0</v>
      </c>
      <c r="B839" s="4">
        <v>37315.0</v>
      </c>
      <c r="C839" s="5">
        <f t="shared" ref="C839:C840" si="363">DATE(2012,12,31)-209</f>
        <v>41065</v>
      </c>
      <c r="D839" s="4" t="s">
        <v>21</v>
      </c>
      <c r="E839" s="4">
        <v>43.0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4">C839+7</f>
        <v>41072</v>
      </c>
    </row>
    <row r="840" ht="12.75" customHeight="1">
      <c r="A840" s="4">
        <v>5246.0</v>
      </c>
      <c r="B840" s="4">
        <v>37315.0</v>
      </c>
      <c r="C840" s="5">
        <f t="shared" si="363"/>
        <v>41065</v>
      </c>
      <c r="D840" s="4" t="s">
        <v>21</v>
      </c>
      <c r="E840" s="4">
        <v>31.0</v>
      </c>
      <c r="F840" s="4">
        <v>4726.594999999999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4"/>
        <v>41072</v>
      </c>
    </row>
    <row r="841" ht="12.75" customHeight="1">
      <c r="A841" s="4">
        <v>5340.0</v>
      </c>
      <c r="B841" s="4">
        <v>37925.0</v>
      </c>
      <c r="C841" s="5">
        <f t="shared" ref="C841:C842" si="365">DATE(2012,12,31)-827</f>
        <v>40447</v>
      </c>
      <c r="D841" s="4" t="s">
        <v>63</v>
      </c>
      <c r="E841" s="4">
        <v>46.0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14.0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6">C841+1</f>
        <v>40448</v>
      </c>
    </row>
    <row r="842" ht="12.75" customHeight="1">
      <c r="A842" s="4">
        <v>5341.0</v>
      </c>
      <c r="B842" s="4">
        <v>37925.0</v>
      </c>
      <c r="C842" s="5">
        <f t="shared" si="365"/>
        <v>40447</v>
      </c>
      <c r="D842" s="4" t="s">
        <v>63</v>
      </c>
      <c r="E842" s="4">
        <v>31.0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65.99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6"/>
        <v>40448</v>
      </c>
    </row>
    <row r="843" ht="12.75" customHeight="1">
      <c r="A843" s="4">
        <v>5351.0</v>
      </c>
      <c r="B843" s="4">
        <v>38021.0</v>
      </c>
      <c r="C843" s="5">
        <f>DATE(2012,12,31)-1440</f>
        <v>39834</v>
      </c>
      <c r="D843" s="4" t="s">
        <v>63</v>
      </c>
      <c r="E843" s="4">
        <v>46.0</v>
      </c>
      <c r="F843" s="4">
        <v>1482.01</v>
      </c>
      <c r="G843" s="4">
        <v>0.02</v>
      </c>
      <c r="H843" s="4" t="s">
        <v>22</v>
      </c>
      <c r="I843" s="6">
        <v>709.325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ht="12.75" customHeight="1">
      <c r="A844" s="4">
        <v>5389.0</v>
      </c>
      <c r="B844" s="4">
        <v>38336.0</v>
      </c>
      <c r="C844" s="5">
        <f t="shared" ref="C844:C845" si="367">DATE(2012,12,31)-87</f>
        <v>41187</v>
      </c>
      <c r="D844" s="4" t="s">
        <v>78</v>
      </c>
      <c r="E844" s="4">
        <v>14.0</v>
      </c>
      <c r="F844" s="4">
        <v>91.75</v>
      </c>
      <c r="G844" s="4">
        <v>0.07</v>
      </c>
      <c r="H844" s="4" t="s">
        <v>22</v>
      </c>
      <c r="I844" s="6">
        <v>2.822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8">C844+1</f>
        <v>41188</v>
      </c>
    </row>
    <row r="845" ht="12.75" customHeight="1">
      <c r="A845" s="4">
        <v>5390.0</v>
      </c>
      <c r="B845" s="4">
        <v>38336.0</v>
      </c>
      <c r="C845" s="5">
        <f t="shared" si="367"/>
        <v>41187</v>
      </c>
      <c r="D845" s="4" t="s">
        <v>78</v>
      </c>
      <c r="E845" s="4">
        <v>31.0</v>
      </c>
      <c r="F845" s="4">
        <v>346.57</v>
      </c>
      <c r="G845" s="4">
        <v>0.0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8"/>
        <v>41188</v>
      </c>
    </row>
    <row r="846" ht="12.75" customHeight="1">
      <c r="A846" s="4">
        <v>5430.0</v>
      </c>
      <c r="B846" s="4">
        <v>38565.0</v>
      </c>
      <c r="C846" s="5">
        <f>DATE(2012,12,31)-1377</f>
        <v>39897</v>
      </c>
      <c r="D846" s="4" t="s">
        <v>78</v>
      </c>
      <c r="E846" s="4">
        <v>20.0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0.57</v>
      </c>
      <c r="U846" s="5">
        <f t="shared" ref="U846:U848" si="369">C846+2</f>
        <v>39899</v>
      </c>
    </row>
    <row r="847" ht="12.75" customHeight="1">
      <c r="A847" s="4">
        <v>5615.0</v>
      </c>
      <c r="B847" s="4">
        <v>39783.0</v>
      </c>
      <c r="C847" s="5">
        <f t="shared" ref="C847:C849" si="370">DATE(2012,12,31)-102</f>
        <v>41172</v>
      </c>
      <c r="D847" s="4" t="s">
        <v>45</v>
      </c>
      <c r="E847" s="4">
        <v>19.0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9"/>
        <v>41174</v>
      </c>
    </row>
    <row r="848" ht="12.75" customHeight="1">
      <c r="A848" s="4">
        <v>5616.0</v>
      </c>
      <c r="B848" s="4">
        <v>39783.0</v>
      </c>
      <c r="C848" s="5">
        <f t="shared" si="370"/>
        <v>41172</v>
      </c>
      <c r="D848" s="4" t="s">
        <v>45</v>
      </c>
      <c r="E848" s="4">
        <v>31.0</v>
      </c>
      <c r="F848" s="4">
        <v>295.97</v>
      </c>
      <c r="G848" s="4">
        <v>0.02</v>
      </c>
      <c r="H848" s="4" t="s">
        <v>22</v>
      </c>
      <c r="I848" s="6">
        <v>5.015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9"/>
        <v>41174</v>
      </c>
    </row>
    <row r="849" ht="12.75" customHeight="1">
      <c r="A849" s="4">
        <v>5617.0</v>
      </c>
      <c r="B849" s="4">
        <v>39783.0</v>
      </c>
      <c r="C849" s="5">
        <f t="shared" si="370"/>
        <v>41172</v>
      </c>
      <c r="D849" s="4" t="s">
        <v>45</v>
      </c>
      <c r="E849" s="4">
        <v>29.0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ht="12.75" customHeight="1">
      <c r="A850" s="4">
        <v>5997.0</v>
      </c>
      <c r="B850" s="4">
        <v>42500.0</v>
      </c>
      <c r="C850" s="5">
        <f t="shared" ref="C850:C851" si="371">DATE(2012,12,31)-1060</f>
        <v>40214</v>
      </c>
      <c r="D850" s="4" t="s">
        <v>45</v>
      </c>
      <c r="E850" s="4">
        <v>39.0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2">C850+2</f>
        <v>40216</v>
      </c>
    </row>
    <row r="851" ht="12.75" customHeight="1">
      <c r="A851" s="4">
        <v>5998.0</v>
      </c>
      <c r="B851" s="4">
        <v>42500.0</v>
      </c>
      <c r="C851" s="5">
        <f t="shared" si="371"/>
        <v>40214</v>
      </c>
      <c r="D851" s="4" t="s">
        <v>45</v>
      </c>
      <c r="E851" s="4">
        <v>2.0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2"/>
        <v>40216</v>
      </c>
    </row>
    <row r="852" ht="12.75" customHeight="1">
      <c r="A852" s="4">
        <v>6233.0</v>
      </c>
      <c r="B852" s="4">
        <v>44162.0</v>
      </c>
      <c r="C852" s="5">
        <f>DATE(2012,12,31)-1018</f>
        <v>40256</v>
      </c>
      <c r="D852" s="4" t="s">
        <v>30</v>
      </c>
      <c r="E852" s="4">
        <v>46.0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0.57</v>
      </c>
      <c r="U852" s="5">
        <f>C852+1</f>
        <v>40257</v>
      </c>
    </row>
    <row r="853" ht="12.75" customHeight="1">
      <c r="A853" s="4">
        <v>6246.0</v>
      </c>
      <c r="B853" s="4">
        <v>44256.0</v>
      </c>
      <c r="C853" s="5">
        <f t="shared" ref="C853:C855" si="373">DATE(2012,12,31)-408</f>
        <v>40866</v>
      </c>
      <c r="D853" s="4" t="s">
        <v>21</v>
      </c>
      <c r="E853" s="4">
        <v>39.0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ht="12.75" customHeight="1">
      <c r="A854" s="4">
        <v>6247.0</v>
      </c>
      <c r="B854" s="4">
        <v>44256.0</v>
      </c>
      <c r="C854" s="5">
        <f t="shared" si="373"/>
        <v>40866</v>
      </c>
      <c r="D854" s="4" t="s">
        <v>21</v>
      </c>
      <c r="E854" s="4">
        <v>17.0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ht="12.75" customHeight="1">
      <c r="A855" s="4">
        <v>6248.0</v>
      </c>
      <c r="B855" s="4">
        <v>44256.0</v>
      </c>
      <c r="C855" s="5">
        <f t="shared" si="373"/>
        <v>40866</v>
      </c>
      <c r="D855" s="4" t="s">
        <v>21</v>
      </c>
      <c r="E855" s="4">
        <v>49.0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ht="12.75" customHeight="1">
      <c r="A856" s="4">
        <v>6261.0</v>
      </c>
      <c r="B856" s="4">
        <v>44320.0</v>
      </c>
      <c r="C856" s="5">
        <f>DATE(2012,12,31)-1342</f>
        <v>39932</v>
      </c>
      <c r="D856" s="4" t="s">
        <v>63</v>
      </c>
      <c r="E856" s="4">
        <v>49.0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69.0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ht="12.75" customHeight="1">
      <c r="A857" s="4">
        <v>6386.0</v>
      </c>
      <c r="B857" s="4">
        <v>45377.0</v>
      </c>
      <c r="C857" s="5">
        <f>DATE(2012,12,31)-638</f>
        <v>40636</v>
      </c>
      <c r="D857" s="4" t="s">
        <v>21</v>
      </c>
      <c r="E857" s="4">
        <v>47.0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ht="12.75" customHeight="1">
      <c r="A858" s="4">
        <v>6658.0</v>
      </c>
      <c r="B858" s="4">
        <v>47367.0</v>
      </c>
      <c r="C858" s="5">
        <f t="shared" ref="C858:C859" si="374">DATE(2012,12,31)-625</f>
        <v>40649</v>
      </c>
      <c r="D858" s="4" t="s">
        <v>63</v>
      </c>
      <c r="E858" s="4">
        <v>7.0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ht="12.75" customHeight="1">
      <c r="A859" s="4">
        <v>6659.0</v>
      </c>
      <c r="B859" s="4">
        <v>47367.0</v>
      </c>
      <c r="C859" s="5">
        <f t="shared" si="374"/>
        <v>40649</v>
      </c>
      <c r="D859" s="4" t="s">
        <v>63</v>
      </c>
      <c r="E859" s="4">
        <v>6.0</v>
      </c>
      <c r="F859" s="4">
        <v>21.07</v>
      </c>
      <c r="G859" s="4">
        <v>0.08</v>
      </c>
      <c r="H859" s="4" t="s">
        <v>22</v>
      </c>
      <c r="I859" s="6">
        <v>2.28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ht="12.75" customHeight="1">
      <c r="A860" s="4">
        <v>6705.0</v>
      </c>
      <c r="B860" s="4">
        <v>47750.0</v>
      </c>
      <c r="C860" s="5">
        <f t="shared" ref="C860:C861" si="375">DATE(2012,12,31)-930</f>
        <v>40344</v>
      </c>
      <c r="D860" s="4" t="s">
        <v>21</v>
      </c>
      <c r="E860" s="4">
        <v>37.0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6">C860+5</f>
        <v>40349</v>
      </c>
    </row>
    <row r="861" ht="12.75" customHeight="1">
      <c r="A861" s="4">
        <v>6706.0</v>
      </c>
      <c r="B861" s="4">
        <v>47750.0</v>
      </c>
      <c r="C861" s="5">
        <f t="shared" si="375"/>
        <v>40344</v>
      </c>
      <c r="D861" s="4" t="s">
        <v>21</v>
      </c>
      <c r="E861" s="4">
        <v>43.0</v>
      </c>
      <c r="F861" s="4">
        <v>1097.6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6"/>
        <v>40349</v>
      </c>
    </row>
    <row r="862" ht="12.75" customHeight="1">
      <c r="A862" s="4">
        <v>6791.0</v>
      </c>
      <c r="B862" s="4">
        <v>48388.0</v>
      </c>
      <c r="C862" s="5">
        <f>DATE(2012,12,31)-1240</f>
        <v>40034</v>
      </c>
      <c r="D862" s="4" t="s">
        <v>30</v>
      </c>
      <c r="E862" s="4">
        <v>3.0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7">C862+2</f>
        <v>40036</v>
      </c>
    </row>
    <row r="863" ht="12.75" customHeight="1">
      <c r="A863" s="4">
        <v>6882.0</v>
      </c>
      <c r="B863" s="4">
        <v>49059.0</v>
      </c>
      <c r="C863" s="5">
        <f t="shared" ref="C863:C864" si="378">DATE(2012,12,31)-1198</f>
        <v>40076</v>
      </c>
      <c r="D863" s="4" t="s">
        <v>63</v>
      </c>
      <c r="E863" s="4">
        <v>48.0</v>
      </c>
      <c r="F863" s="4">
        <v>128.0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7"/>
        <v>40078</v>
      </c>
    </row>
    <row r="864" ht="12.75" customHeight="1">
      <c r="A864" s="4">
        <v>6883.0</v>
      </c>
      <c r="B864" s="4">
        <v>49059.0</v>
      </c>
      <c r="C864" s="5">
        <f t="shared" si="378"/>
        <v>40076</v>
      </c>
      <c r="D864" s="4" t="s">
        <v>63</v>
      </c>
      <c r="E864" s="4">
        <v>5.0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9">C864+1</f>
        <v>40077</v>
      </c>
    </row>
    <row r="865" ht="12.75" customHeight="1">
      <c r="A865" s="4">
        <v>6938.0</v>
      </c>
      <c r="B865" s="4">
        <v>49510.0</v>
      </c>
      <c r="C865" s="5">
        <f>DATE(2012,12,31)-286</f>
        <v>40988</v>
      </c>
      <c r="D865" s="4" t="s">
        <v>78</v>
      </c>
      <c r="E865" s="4">
        <v>16.0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9"/>
        <v>40989</v>
      </c>
    </row>
    <row r="866" ht="12.75" customHeight="1">
      <c r="A866" s="4">
        <v>6949.0</v>
      </c>
      <c r="B866" s="4">
        <v>49634.0</v>
      </c>
      <c r="C866" s="5">
        <f>DATE(2012,12,31)-283</f>
        <v>40991</v>
      </c>
      <c r="D866" s="4" t="s">
        <v>45</v>
      </c>
      <c r="E866" s="4">
        <v>45.0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ht="12.75" customHeight="1">
      <c r="A867" s="4">
        <v>7035.0</v>
      </c>
      <c r="B867" s="4">
        <v>50210.0</v>
      </c>
      <c r="C867" s="5">
        <f t="shared" ref="C867:C868" si="380">DATE(2012,12,31)-896</f>
        <v>40378</v>
      </c>
      <c r="D867" s="4" t="s">
        <v>21</v>
      </c>
      <c r="E867" s="4">
        <v>47.0</v>
      </c>
      <c r="F867" s="4">
        <v>178.51</v>
      </c>
      <c r="G867" s="4">
        <v>0.0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ht="12.75" customHeight="1">
      <c r="A868" s="4">
        <v>7036.0</v>
      </c>
      <c r="B868" s="4">
        <v>50210.0</v>
      </c>
      <c r="C868" s="5">
        <f t="shared" si="380"/>
        <v>40378</v>
      </c>
      <c r="D868" s="4" t="s">
        <v>21</v>
      </c>
      <c r="E868" s="4">
        <v>15.0</v>
      </c>
      <c r="F868" s="4">
        <v>31.32</v>
      </c>
      <c r="G868" s="4">
        <v>0.0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ht="12.75" customHeight="1">
      <c r="A869" s="4">
        <v>7079.0</v>
      </c>
      <c r="B869" s="4">
        <v>50503.0</v>
      </c>
      <c r="C869" s="5">
        <f>DATE(2012,12,31)-40</f>
        <v>41234</v>
      </c>
      <c r="D869" s="4" t="s">
        <v>63</v>
      </c>
      <c r="E869" s="4">
        <v>28.0</v>
      </c>
      <c r="F869" s="4">
        <v>1538.8655</v>
      </c>
      <c r="G869" s="4">
        <v>0.05</v>
      </c>
      <c r="H869" s="4" t="s">
        <v>22</v>
      </c>
      <c r="I869" s="6">
        <v>-186.32899999999998</v>
      </c>
      <c r="J869" s="4">
        <v>65.99</v>
      </c>
      <c r="K869" s="4">
        <v>19.99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1">C869+2</f>
        <v>41236</v>
      </c>
    </row>
    <row r="870" ht="12.75" customHeight="1">
      <c r="A870" s="4">
        <v>7120.0</v>
      </c>
      <c r="B870" s="4">
        <v>50816.0</v>
      </c>
      <c r="C870" s="5">
        <f t="shared" ref="C870:C872" si="382">DATE(2012,12,31)-1375</f>
        <v>39899</v>
      </c>
      <c r="D870" s="4" t="s">
        <v>30</v>
      </c>
      <c r="E870" s="4">
        <v>25.0</v>
      </c>
      <c r="F870" s="4">
        <v>286.07</v>
      </c>
      <c r="G870" s="4">
        <v>0.07</v>
      </c>
      <c r="H870" s="4" t="s">
        <v>22</v>
      </c>
      <c r="I870" s="6">
        <v>-35.94</v>
      </c>
      <c r="J870" s="4">
        <v>11.97</v>
      </c>
      <c r="K870" s="4">
        <v>4.98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0.58</v>
      </c>
      <c r="U870" s="5">
        <f t="shared" si="381"/>
        <v>39901</v>
      </c>
    </row>
    <row r="871" ht="12.75" customHeight="1">
      <c r="A871" s="4">
        <v>7121.0</v>
      </c>
      <c r="B871" s="4">
        <v>50816.0</v>
      </c>
      <c r="C871" s="5">
        <f t="shared" si="382"/>
        <v>39899</v>
      </c>
      <c r="D871" s="4" t="s">
        <v>30</v>
      </c>
      <c r="E871" s="4">
        <v>26.0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1"/>
        <v>39901</v>
      </c>
    </row>
    <row r="872" ht="12.75" customHeight="1">
      <c r="A872" s="4">
        <v>7122.0</v>
      </c>
      <c r="B872" s="4">
        <v>50816.0</v>
      </c>
      <c r="C872" s="5">
        <f t="shared" si="382"/>
        <v>39899</v>
      </c>
      <c r="D872" s="4" t="s">
        <v>30</v>
      </c>
      <c r="E872" s="4">
        <v>6.0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1"/>
        <v>39901</v>
      </c>
    </row>
    <row r="873" ht="12.75" customHeight="1">
      <c r="A873" s="4">
        <v>7159.0</v>
      </c>
      <c r="B873" s="4">
        <v>51073.0</v>
      </c>
      <c r="C873" s="5">
        <f t="shared" ref="C873:C874" si="383">DATE(2012,12,31)-962</f>
        <v>40312</v>
      </c>
      <c r="D873" s="4" t="s">
        <v>45</v>
      </c>
      <c r="E873" s="4">
        <v>17.0</v>
      </c>
      <c r="F873" s="4">
        <v>2475.08</v>
      </c>
      <c r="G873" s="4">
        <v>0.0</v>
      </c>
      <c r="H873" s="4" t="s">
        <v>56</v>
      </c>
      <c r="I873" s="6">
        <v>958.8</v>
      </c>
      <c r="J873" s="4">
        <v>136.98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1"/>
        <v>40314</v>
      </c>
    </row>
    <row r="874" ht="12.75" customHeight="1">
      <c r="A874" s="4">
        <v>7160.0</v>
      </c>
      <c r="B874" s="4">
        <v>51073.0</v>
      </c>
      <c r="C874" s="5">
        <f t="shared" si="383"/>
        <v>40312</v>
      </c>
      <c r="D874" s="4" t="s">
        <v>45</v>
      </c>
      <c r="E874" s="4">
        <v>49.0</v>
      </c>
      <c r="F874" s="4">
        <v>1610.42</v>
      </c>
      <c r="G874" s="4">
        <v>0.0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4">C874+1</f>
        <v>40313</v>
      </c>
    </row>
    <row r="875" ht="12.75" customHeight="1">
      <c r="A875" s="4">
        <v>7235.0</v>
      </c>
      <c r="B875" s="4">
        <v>51584.0</v>
      </c>
      <c r="C875" s="5">
        <f>DATE(2012,12,31)-806</f>
        <v>40468</v>
      </c>
      <c r="D875" s="4" t="s">
        <v>78</v>
      </c>
      <c r="E875" s="4">
        <v>48.0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30.0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4"/>
        <v>40469</v>
      </c>
    </row>
    <row r="876" ht="12.75" customHeight="1">
      <c r="A876" s="4">
        <v>7273.0</v>
      </c>
      <c r="B876" s="4">
        <v>51879.0</v>
      </c>
      <c r="C876" s="5">
        <f t="shared" ref="C876:C877" si="385">DATE(2012,12,31)-860</f>
        <v>40414</v>
      </c>
      <c r="D876" s="4" t="s">
        <v>45</v>
      </c>
      <c r="E876" s="4">
        <v>26.0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19.99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ht="12.75" customHeight="1">
      <c r="A877" s="4">
        <v>7274.0</v>
      </c>
      <c r="B877" s="4">
        <v>51879.0</v>
      </c>
      <c r="C877" s="5">
        <f t="shared" si="385"/>
        <v>40414</v>
      </c>
      <c r="D877" s="4" t="s">
        <v>45</v>
      </c>
      <c r="E877" s="4">
        <v>46.0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6">C877+1</f>
        <v>40415</v>
      </c>
    </row>
    <row r="878" ht="12.75" customHeight="1">
      <c r="A878" s="4">
        <v>7335.0</v>
      </c>
      <c r="B878" s="4">
        <v>52288.0</v>
      </c>
      <c r="C878" s="5">
        <f>DATE(2012,12,31)-509</f>
        <v>40765</v>
      </c>
      <c r="D878" s="4" t="s">
        <v>30</v>
      </c>
      <c r="E878" s="4">
        <v>19.0</v>
      </c>
      <c r="F878" s="4">
        <v>1410.44</v>
      </c>
      <c r="G878" s="4">
        <v>0.07</v>
      </c>
      <c r="H878" s="4" t="s">
        <v>22</v>
      </c>
      <c r="I878" s="6">
        <v>545.11</v>
      </c>
      <c r="J878" s="4">
        <v>78.69</v>
      </c>
      <c r="K878" s="4">
        <v>19.99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6"/>
        <v>40766</v>
      </c>
    </row>
    <row r="879" ht="12.75" customHeight="1">
      <c r="A879" s="4">
        <v>7456.0</v>
      </c>
      <c r="B879" s="4">
        <v>53190.0</v>
      </c>
      <c r="C879" s="5">
        <f t="shared" ref="C879:C880" si="387">DATE(2012,12,31)-1194</f>
        <v>40080</v>
      </c>
      <c r="D879" s="4" t="s">
        <v>63</v>
      </c>
      <c r="E879" s="4">
        <v>10.0</v>
      </c>
      <c r="F879" s="4">
        <v>268.18</v>
      </c>
      <c r="G879" s="4">
        <v>0.06</v>
      </c>
      <c r="H879" s="4" t="s">
        <v>22</v>
      </c>
      <c r="I879" s="6">
        <v>74.63850000000001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ht="12.75" customHeight="1">
      <c r="A880" s="4">
        <v>7457.0</v>
      </c>
      <c r="B880" s="4">
        <v>53190.0</v>
      </c>
      <c r="C880" s="5">
        <f t="shared" si="387"/>
        <v>40080</v>
      </c>
      <c r="D880" s="4" t="s">
        <v>63</v>
      </c>
      <c r="E880" s="4">
        <v>9.0</v>
      </c>
      <c r="F880" s="4">
        <v>477.054</v>
      </c>
      <c r="G880" s="4">
        <v>0.1</v>
      </c>
      <c r="H880" s="4" t="s">
        <v>22</v>
      </c>
      <c r="I880" s="6">
        <v>-170.53300000000002</v>
      </c>
      <c r="J880" s="4">
        <v>65.99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ht="12.75" customHeight="1">
      <c r="A881" s="4">
        <v>7502.0</v>
      </c>
      <c r="B881" s="4">
        <v>53536.0</v>
      </c>
      <c r="C881" s="5">
        <f t="shared" ref="C881:C882" si="388">DATE(2012,12,31)-62</f>
        <v>41212</v>
      </c>
      <c r="D881" s="4" t="s">
        <v>30</v>
      </c>
      <c r="E881" s="4">
        <v>35.0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9">C881+2</f>
        <v>41214</v>
      </c>
    </row>
    <row r="882" ht="12.75" customHeight="1">
      <c r="A882" s="4">
        <v>7503.0</v>
      </c>
      <c r="B882" s="4">
        <v>53536.0</v>
      </c>
      <c r="C882" s="5">
        <f t="shared" si="388"/>
        <v>41212</v>
      </c>
      <c r="D882" s="4" t="s">
        <v>30</v>
      </c>
      <c r="E882" s="4">
        <v>5.0</v>
      </c>
      <c r="F882" s="4">
        <v>1015.4</v>
      </c>
      <c r="G882" s="4">
        <v>0.0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9"/>
        <v>41214</v>
      </c>
    </row>
    <row r="883" ht="12.75" customHeight="1">
      <c r="A883" s="4">
        <v>7506.0</v>
      </c>
      <c r="B883" s="4">
        <v>53572.0</v>
      </c>
      <c r="C883" s="5">
        <f>DATE(2012,12,31)-969</f>
        <v>40305</v>
      </c>
      <c r="D883" s="4" t="s">
        <v>63</v>
      </c>
      <c r="E883" s="4">
        <v>17.0</v>
      </c>
      <c r="F883" s="4">
        <v>184.09</v>
      </c>
      <c r="G883" s="4">
        <v>0.07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ht="12.75" customHeight="1">
      <c r="A884" s="4">
        <v>7533.0</v>
      </c>
      <c r="B884" s="4">
        <v>53825.0</v>
      </c>
      <c r="C884" s="5">
        <f>DATE(2012,12,31)-632</f>
        <v>40642</v>
      </c>
      <c r="D884" s="4" t="s">
        <v>21</v>
      </c>
      <c r="E884" s="4">
        <v>36.0</v>
      </c>
      <c r="F884" s="4">
        <v>1646.05</v>
      </c>
      <c r="G884" s="4">
        <v>0.08</v>
      </c>
      <c r="H884" s="4" t="s">
        <v>22</v>
      </c>
      <c r="I884" s="6">
        <v>649.8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ht="12.75" customHeight="1">
      <c r="A885" s="4">
        <v>7534.0</v>
      </c>
      <c r="B885" s="4">
        <v>53863.0</v>
      </c>
      <c r="C885" s="5">
        <f>DATE(2012,12,31)-942</f>
        <v>40332</v>
      </c>
      <c r="D885" s="4" t="s">
        <v>30</v>
      </c>
      <c r="E885" s="4">
        <v>46.0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</v>
      </c>
      <c r="K885" s="4">
        <v>19.99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ht="12.75" customHeight="1">
      <c r="A886" s="4">
        <v>7565.0</v>
      </c>
      <c r="B886" s="4">
        <v>54119.0</v>
      </c>
      <c r="C886" s="5">
        <f t="shared" ref="C886:C887" si="390">DATE(2012,12,31)-954</f>
        <v>40320</v>
      </c>
      <c r="D886" s="4" t="s">
        <v>63</v>
      </c>
      <c r="E886" s="4">
        <v>45.0</v>
      </c>
      <c r="F886" s="4">
        <v>261.0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ht="12.75" customHeight="1">
      <c r="A887" s="4">
        <v>7566.0</v>
      </c>
      <c r="B887" s="4">
        <v>54119.0</v>
      </c>
      <c r="C887" s="5">
        <f t="shared" si="390"/>
        <v>40320</v>
      </c>
      <c r="D887" s="4" t="s">
        <v>63</v>
      </c>
      <c r="E887" s="4">
        <v>4.0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ht="12.75" customHeight="1">
      <c r="A888" s="4">
        <v>7861.0</v>
      </c>
      <c r="B888" s="4">
        <v>56224.0</v>
      </c>
      <c r="C888" s="5">
        <f t="shared" ref="C888:C891" si="391">DATE(2012,12,31)-67</f>
        <v>41207</v>
      </c>
      <c r="D888" s="4" t="s">
        <v>63</v>
      </c>
      <c r="E888" s="4">
        <v>35.0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ht="12.75" customHeight="1">
      <c r="A889" s="4">
        <v>7862.0</v>
      </c>
      <c r="B889" s="4">
        <v>56224.0</v>
      </c>
      <c r="C889" s="5">
        <f t="shared" si="391"/>
        <v>41207</v>
      </c>
      <c r="D889" s="4" t="s">
        <v>63</v>
      </c>
      <c r="E889" s="4">
        <v>32.0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74.35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0.57</v>
      </c>
      <c r="U889" s="5">
        <f>C889+1</f>
        <v>41208</v>
      </c>
    </row>
    <row r="890" ht="12.75" customHeight="1">
      <c r="A890" s="4">
        <v>7863.0</v>
      </c>
      <c r="B890" s="4">
        <v>56224.0</v>
      </c>
      <c r="C890" s="5">
        <f t="shared" si="391"/>
        <v>41207</v>
      </c>
      <c r="D890" s="4" t="s">
        <v>63</v>
      </c>
      <c r="E890" s="4">
        <v>46.0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ht="12.75" customHeight="1">
      <c r="A891" s="4">
        <v>7864.0</v>
      </c>
      <c r="B891" s="4">
        <v>56224.0</v>
      </c>
      <c r="C891" s="5">
        <f t="shared" si="391"/>
        <v>41207</v>
      </c>
      <c r="D891" s="4" t="s">
        <v>63</v>
      </c>
      <c r="E891" s="4">
        <v>9.0</v>
      </c>
      <c r="F891" s="4">
        <v>902.024</v>
      </c>
      <c r="G891" s="4">
        <v>0.04</v>
      </c>
      <c r="H891" s="4" t="s">
        <v>31</v>
      </c>
      <c r="I891" s="6">
        <v>-153.252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ht="12.75" customHeight="1">
      <c r="A892" s="4">
        <v>7873.0</v>
      </c>
      <c r="B892" s="4">
        <v>56293.0</v>
      </c>
      <c r="C892" s="5">
        <f t="shared" ref="C892:C893" si="392">DATE(2012,12,31)-1091</f>
        <v>40183</v>
      </c>
      <c r="D892" s="4" t="s">
        <v>45</v>
      </c>
      <c r="E892" s="4">
        <v>34.0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19.99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ht="12.75" customHeight="1">
      <c r="A893" s="4">
        <v>7874.0</v>
      </c>
      <c r="B893" s="4">
        <v>56293.0</v>
      </c>
      <c r="C893" s="5">
        <f t="shared" si="392"/>
        <v>40183</v>
      </c>
      <c r="D893" s="4" t="s">
        <v>45</v>
      </c>
      <c r="E893" s="4">
        <v>44.0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0.58</v>
      </c>
      <c r="U893" s="5">
        <f t="shared" ref="U893:U895" si="393">C893+1</f>
        <v>40184</v>
      </c>
    </row>
    <row r="894" ht="12.75" customHeight="1">
      <c r="A894" s="4">
        <v>8116.0</v>
      </c>
      <c r="B894" s="4">
        <v>57959.0</v>
      </c>
      <c r="C894" s="5">
        <f t="shared" ref="C894:C895" si="394">DATE(2012,12,31)-367</f>
        <v>40907</v>
      </c>
      <c r="D894" s="4" t="s">
        <v>63</v>
      </c>
      <c r="E894" s="4">
        <v>40.0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3"/>
        <v>40908</v>
      </c>
    </row>
    <row r="895" ht="12.75" customHeight="1">
      <c r="A895" s="4">
        <v>8117.0</v>
      </c>
      <c r="B895" s="4">
        <v>57959.0</v>
      </c>
      <c r="C895" s="5">
        <f t="shared" si="394"/>
        <v>40907</v>
      </c>
      <c r="D895" s="4" t="s">
        <v>63</v>
      </c>
      <c r="E895" s="4">
        <v>48.0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3"/>
        <v>40908</v>
      </c>
    </row>
    <row r="896" ht="12.75" customHeight="1">
      <c r="A896" s="4">
        <v>8184.0</v>
      </c>
      <c r="B896" s="4">
        <v>58500.0</v>
      </c>
      <c r="C896" s="5">
        <f>DATE(2012,12,31)-686</f>
        <v>40588</v>
      </c>
      <c r="D896" s="4" t="s">
        <v>21</v>
      </c>
      <c r="E896" s="4">
        <v>17.0</v>
      </c>
      <c r="F896" s="4">
        <v>1529.014</v>
      </c>
      <c r="G896" s="4">
        <v>0.07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0.57</v>
      </c>
      <c r="U896" s="5">
        <f>C896+0</f>
        <v>40588</v>
      </c>
    </row>
    <row r="897" ht="12.75" customHeight="1">
      <c r="A897" s="4">
        <v>8335.0</v>
      </c>
      <c r="B897" s="4">
        <v>59584.0</v>
      </c>
      <c r="C897" s="5">
        <f t="shared" ref="C897:C898" si="395">DATE(2012,12,31)-948</f>
        <v>40326</v>
      </c>
      <c r="D897" s="4" t="s">
        <v>63</v>
      </c>
      <c r="E897" s="4">
        <v>3.0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ht="12.75" customHeight="1">
      <c r="A898" s="4">
        <v>8336.0</v>
      </c>
      <c r="B898" s="4">
        <v>59584.0</v>
      </c>
      <c r="C898" s="5">
        <f t="shared" si="395"/>
        <v>40326</v>
      </c>
      <c r="D898" s="4" t="s">
        <v>63</v>
      </c>
      <c r="E898" s="4">
        <v>7.0</v>
      </c>
      <c r="F898" s="4">
        <v>1120.27</v>
      </c>
      <c r="G898" s="4">
        <v>0.0</v>
      </c>
      <c r="H898" s="4" t="s">
        <v>22</v>
      </c>
      <c r="I898" s="6">
        <v>16.81</v>
      </c>
      <c r="J898" s="4">
        <v>150.98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ht="12.75" customHeight="1">
      <c r="A899" s="4">
        <v>45.0</v>
      </c>
      <c r="B899" s="4">
        <v>261.0</v>
      </c>
      <c r="C899" s="5">
        <f>DATE(2012,12,31)-917</f>
        <v>40357</v>
      </c>
      <c r="D899" s="4" t="s">
        <v>63</v>
      </c>
      <c r="E899" s="4">
        <v>47.0</v>
      </c>
      <c r="F899" s="4">
        <v>5677.6089999999995</v>
      </c>
      <c r="G899" s="4">
        <v>0.04</v>
      </c>
      <c r="H899" s="4" t="s">
        <v>22</v>
      </c>
      <c r="I899" s="6">
        <v>1680.786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ht="12.75" customHeight="1">
      <c r="A900" s="4">
        <v>143.0</v>
      </c>
      <c r="B900" s="4">
        <v>928.0</v>
      </c>
      <c r="C900" s="5">
        <f t="shared" ref="C900:C901" si="396">DATE(2012,12,31)-671</f>
        <v>40603</v>
      </c>
      <c r="D900" s="4" t="s">
        <v>21</v>
      </c>
      <c r="E900" s="4">
        <v>21.0</v>
      </c>
      <c r="F900" s="4">
        <v>1222.68</v>
      </c>
      <c r="G900" s="4">
        <v>0.06</v>
      </c>
      <c r="H900" s="4" t="s">
        <v>56</v>
      </c>
      <c r="I900" s="6">
        <v>300.97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0.57</v>
      </c>
      <c r="U900" s="5">
        <f>C900+5</f>
        <v>40608</v>
      </c>
    </row>
    <row r="901" ht="12.75" customHeight="1">
      <c r="A901" s="4">
        <v>144.0</v>
      </c>
      <c r="B901" s="4">
        <v>928.0</v>
      </c>
      <c r="C901" s="5">
        <f t="shared" si="396"/>
        <v>40603</v>
      </c>
      <c r="D901" s="4" t="s">
        <v>21</v>
      </c>
      <c r="E901" s="4">
        <v>26.0</v>
      </c>
      <c r="F901" s="4">
        <v>390.2</v>
      </c>
      <c r="G901" s="4">
        <v>0.02</v>
      </c>
      <c r="H901" s="4" t="s">
        <v>56</v>
      </c>
      <c r="I901" s="6">
        <v>45.0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7">C901+2</f>
        <v>40605</v>
      </c>
    </row>
    <row r="902" ht="12.75" customHeight="1">
      <c r="A902" s="4">
        <v>191.0</v>
      </c>
      <c r="B902" s="4">
        <v>1282.0</v>
      </c>
      <c r="C902" s="5">
        <f t="shared" ref="C902:C903" si="398">DATE(2012,12,31)-308</f>
        <v>40966</v>
      </c>
      <c r="D902" s="4" t="s">
        <v>45</v>
      </c>
      <c r="E902" s="4">
        <v>26.0</v>
      </c>
      <c r="F902" s="4">
        <v>892.38</v>
      </c>
      <c r="G902" s="4">
        <v>0.0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7"/>
        <v>40968</v>
      </c>
    </row>
    <row r="903" ht="12.75" customHeight="1">
      <c r="A903" s="4">
        <v>192.0</v>
      </c>
      <c r="B903" s="4">
        <v>1282.0</v>
      </c>
      <c r="C903" s="5">
        <f t="shared" si="398"/>
        <v>40966</v>
      </c>
      <c r="D903" s="4" t="s">
        <v>45</v>
      </c>
      <c r="E903" s="4">
        <v>10.0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7"/>
        <v>40968</v>
      </c>
    </row>
    <row r="904" ht="12.75" customHeight="1">
      <c r="A904" s="4">
        <v>267.0</v>
      </c>
      <c r="B904" s="4">
        <v>1856.0</v>
      </c>
      <c r="C904" s="5">
        <f t="shared" ref="C904:C906" si="399">DATE(2012,12,31)-287</f>
        <v>40987</v>
      </c>
      <c r="D904" s="4" t="s">
        <v>45</v>
      </c>
      <c r="E904" s="4">
        <v>24.0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49.0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7"/>
        <v>40989</v>
      </c>
    </row>
    <row r="905" ht="12.75" customHeight="1">
      <c r="A905" s="4">
        <v>268.0</v>
      </c>
      <c r="B905" s="4">
        <v>1856.0</v>
      </c>
      <c r="C905" s="5">
        <f t="shared" si="399"/>
        <v>40987</v>
      </c>
      <c r="D905" s="4" t="s">
        <v>45</v>
      </c>
      <c r="E905" s="4">
        <v>43.0</v>
      </c>
      <c r="F905" s="4">
        <v>4374.6865</v>
      </c>
      <c r="G905" s="4">
        <v>0.05</v>
      </c>
      <c r="H905" s="4" t="s">
        <v>22</v>
      </c>
      <c r="I905" s="6">
        <v>973.161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0.57</v>
      </c>
      <c r="U905" s="5">
        <f t="shared" ref="U905:U907" si="400">C905+1</f>
        <v>40988</v>
      </c>
    </row>
    <row r="906" ht="12.75" customHeight="1">
      <c r="A906" s="4">
        <v>269.0</v>
      </c>
      <c r="B906" s="4">
        <v>1856.0</v>
      </c>
      <c r="C906" s="5">
        <f t="shared" si="399"/>
        <v>40987</v>
      </c>
      <c r="D906" s="4" t="s">
        <v>45</v>
      </c>
      <c r="E906" s="4">
        <v>44.0</v>
      </c>
      <c r="F906" s="4">
        <v>4283.235000000001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400"/>
        <v>40988</v>
      </c>
    </row>
    <row r="907" ht="12.75" customHeight="1">
      <c r="A907" s="4">
        <v>280.0</v>
      </c>
      <c r="B907" s="4">
        <v>1925.0</v>
      </c>
      <c r="C907" s="5">
        <f>DATE(2012,12,31)-302</f>
        <v>40972</v>
      </c>
      <c r="D907" s="4" t="s">
        <v>78</v>
      </c>
      <c r="E907" s="4">
        <v>7.0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400"/>
        <v>40973</v>
      </c>
    </row>
    <row r="908" ht="12.75" customHeight="1">
      <c r="A908" s="4">
        <v>424.0</v>
      </c>
      <c r="B908" s="4">
        <v>2848.0</v>
      </c>
      <c r="C908" s="5">
        <f t="shared" ref="C908:C909" si="401">DATE(2012,12,31)-297</f>
        <v>40977</v>
      </c>
      <c r="D908" s="4" t="s">
        <v>78</v>
      </c>
      <c r="E908" s="4">
        <v>35.0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2">C908+2</f>
        <v>40979</v>
      </c>
    </row>
    <row r="909" ht="12.75" customHeight="1">
      <c r="A909" s="4">
        <v>425.0</v>
      </c>
      <c r="B909" s="4">
        <v>2848.0</v>
      </c>
      <c r="C909" s="5">
        <f t="shared" si="401"/>
        <v>40977</v>
      </c>
      <c r="D909" s="4" t="s">
        <v>78</v>
      </c>
      <c r="E909" s="4">
        <v>8.0</v>
      </c>
      <c r="F909" s="4">
        <v>863.583</v>
      </c>
      <c r="G909" s="4">
        <v>0.04</v>
      </c>
      <c r="H909" s="4" t="s">
        <v>22</v>
      </c>
      <c r="I909" s="6">
        <v>-264.275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</v>
      </c>
      <c r="U909" s="5">
        <f t="shared" si="402"/>
        <v>40979</v>
      </c>
    </row>
    <row r="910" ht="12.75" customHeight="1">
      <c r="A910" s="4">
        <v>767.0</v>
      </c>
      <c r="B910" s="4">
        <v>5504.0</v>
      </c>
      <c r="C910" s="5">
        <f t="shared" ref="C910:C911" si="403">DATE(2012,12,31)-1091</f>
        <v>40183</v>
      </c>
      <c r="D910" s="4" t="s">
        <v>30</v>
      </c>
      <c r="E910" s="4">
        <v>6.0</v>
      </c>
      <c r="F910" s="4">
        <v>49.55</v>
      </c>
      <c r="G910" s="4">
        <v>0.06</v>
      </c>
      <c r="H910" s="4" t="s">
        <v>56</v>
      </c>
      <c r="I910" s="6">
        <v>-20.33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2"/>
        <v>40185</v>
      </c>
    </row>
    <row r="911" ht="12.75" customHeight="1">
      <c r="A911" s="4">
        <v>768.0</v>
      </c>
      <c r="B911" s="4">
        <v>5504.0</v>
      </c>
      <c r="C911" s="5">
        <f t="shared" si="403"/>
        <v>40183</v>
      </c>
      <c r="D911" s="4" t="s">
        <v>30</v>
      </c>
      <c r="E911" s="4">
        <v>15.0</v>
      </c>
      <c r="F911" s="4">
        <v>606.56</v>
      </c>
      <c r="G911" s="4">
        <v>0.04</v>
      </c>
      <c r="H911" s="4" t="s">
        <v>22</v>
      </c>
      <c r="I911" s="6">
        <v>20.232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</v>
      </c>
      <c r="U911" s="5">
        <f t="shared" si="402"/>
        <v>40185</v>
      </c>
    </row>
    <row r="912" ht="12.75" customHeight="1">
      <c r="A912" s="4">
        <v>1153.0</v>
      </c>
      <c r="B912" s="4">
        <v>8390.0</v>
      </c>
      <c r="C912" s="5">
        <f>DATE(2012,12,31)-254</f>
        <v>41020</v>
      </c>
      <c r="D912" s="4" t="s">
        <v>63</v>
      </c>
      <c r="E912" s="4">
        <v>24.0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4.0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ht="12.75" customHeight="1">
      <c r="A913" s="4">
        <v>1168.0</v>
      </c>
      <c r="B913" s="4">
        <v>8545.0</v>
      </c>
      <c r="C913" s="5">
        <f t="shared" ref="C913:C914" si="404">DATE(2012,12,31)-1293</f>
        <v>39981</v>
      </c>
      <c r="D913" s="4" t="s">
        <v>21</v>
      </c>
      <c r="E913" s="4">
        <v>25.0</v>
      </c>
      <c r="F913" s="4">
        <v>113.75</v>
      </c>
      <c r="G913" s="4">
        <v>0.0</v>
      </c>
      <c r="H913" s="4" t="s">
        <v>22</v>
      </c>
      <c r="I913" s="6">
        <v>-77.3375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5">C913+4</f>
        <v>39985</v>
      </c>
    </row>
    <row r="914" ht="12.75" customHeight="1">
      <c r="A914" s="4">
        <v>1169.0</v>
      </c>
      <c r="B914" s="4">
        <v>8545.0</v>
      </c>
      <c r="C914" s="5">
        <f t="shared" si="404"/>
        <v>39981</v>
      </c>
      <c r="D914" s="4" t="s">
        <v>21</v>
      </c>
      <c r="E914" s="4">
        <v>24.0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130.98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5"/>
        <v>39985</v>
      </c>
    </row>
    <row r="915" ht="12.75" customHeight="1">
      <c r="A915" s="4">
        <v>1305.0</v>
      </c>
      <c r="B915" s="4">
        <v>9573.0</v>
      </c>
      <c r="C915" s="5">
        <f>DATE(2012,12,31)-201</f>
        <v>41073</v>
      </c>
      <c r="D915" s="4" t="s">
        <v>63</v>
      </c>
      <c r="E915" s="4">
        <v>41.0</v>
      </c>
      <c r="F915" s="4">
        <v>133.23</v>
      </c>
      <c r="G915" s="4">
        <v>0.0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6">C915+1</f>
        <v>41074</v>
      </c>
    </row>
    <row r="916" ht="12.75" customHeight="1">
      <c r="A916" s="4">
        <v>1356.0</v>
      </c>
      <c r="B916" s="4">
        <v>9892.0</v>
      </c>
      <c r="C916" s="5">
        <f>DATE(2012,12,31)-168</f>
        <v>41106</v>
      </c>
      <c r="D916" s="4" t="s">
        <v>63</v>
      </c>
      <c r="E916" s="4">
        <v>50.0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6"/>
        <v>41107</v>
      </c>
    </row>
    <row r="917" ht="12.75" customHeight="1">
      <c r="A917" s="4">
        <v>1381.0</v>
      </c>
      <c r="B917" s="4">
        <v>10048.0</v>
      </c>
      <c r="C917" s="5">
        <f t="shared" ref="C917:C918" si="407">DATE(2012,12,31)-1326</f>
        <v>39948</v>
      </c>
      <c r="D917" s="4" t="s">
        <v>45</v>
      </c>
      <c r="E917" s="4">
        <v>46.0</v>
      </c>
      <c r="F917" s="4">
        <v>3197.45</v>
      </c>
      <c r="G917" s="4">
        <v>0.08</v>
      </c>
      <c r="H917" s="4" t="s">
        <v>22</v>
      </c>
      <c r="I917" s="6">
        <v>97.15999999999993</v>
      </c>
      <c r="J917" s="4">
        <v>73.98</v>
      </c>
      <c r="K917" s="4">
        <v>4.0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ht="12.75" customHeight="1">
      <c r="A918" s="4">
        <v>1382.0</v>
      </c>
      <c r="B918" s="4">
        <v>10048.0</v>
      </c>
      <c r="C918" s="5">
        <f t="shared" si="407"/>
        <v>39948</v>
      </c>
      <c r="D918" s="4" t="s">
        <v>45</v>
      </c>
      <c r="E918" s="4">
        <v>21.0</v>
      </c>
      <c r="F918" s="4">
        <v>78.57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8">C918+2</f>
        <v>39950</v>
      </c>
    </row>
    <row r="919" ht="12.75" customHeight="1">
      <c r="A919" s="4">
        <v>1395.0</v>
      </c>
      <c r="B919" s="4">
        <v>10144.0</v>
      </c>
      <c r="C919" s="5">
        <f t="shared" ref="C919:C921" si="409">DATE(2012,12,31)-729</f>
        <v>40545</v>
      </c>
      <c r="D919" s="4" t="s">
        <v>78</v>
      </c>
      <c r="E919" s="4">
        <v>16.0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8"/>
        <v>40547</v>
      </c>
    </row>
    <row r="920" ht="12.75" customHeight="1">
      <c r="A920" s="4">
        <v>1396.0</v>
      </c>
      <c r="B920" s="4">
        <v>10144.0</v>
      </c>
      <c r="C920" s="5">
        <f t="shared" si="409"/>
        <v>40545</v>
      </c>
      <c r="D920" s="4" t="s">
        <v>78</v>
      </c>
      <c r="E920" s="4">
        <v>1.0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160.98</v>
      </c>
      <c r="K920" s="4">
        <v>30.0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8"/>
        <v>40547</v>
      </c>
    </row>
    <row r="921" ht="12.75" customHeight="1">
      <c r="A921" s="4">
        <v>1397.0</v>
      </c>
      <c r="B921" s="4">
        <v>10144.0</v>
      </c>
      <c r="C921" s="5">
        <f t="shared" si="409"/>
        <v>40545</v>
      </c>
      <c r="D921" s="4" t="s">
        <v>78</v>
      </c>
      <c r="E921" s="4">
        <v>24.0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ht="12.75" customHeight="1">
      <c r="A922" s="4">
        <v>1440.0</v>
      </c>
      <c r="B922" s="4">
        <v>10432.0</v>
      </c>
      <c r="C922" s="5">
        <f>DATE(2012,12,31)-361</f>
        <v>40913</v>
      </c>
      <c r="D922" s="4" t="s">
        <v>21</v>
      </c>
      <c r="E922" s="4">
        <v>13.0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19.99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ht="12.75" customHeight="1">
      <c r="A923" s="4">
        <v>1481.0</v>
      </c>
      <c r="B923" s="4">
        <v>10661.0</v>
      </c>
      <c r="C923" s="5">
        <f>DATE(2012,12,31)-1438</f>
        <v>39836</v>
      </c>
      <c r="D923" s="4" t="s">
        <v>45</v>
      </c>
      <c r="E923" s="4">
        <v>18.0</v>
      </c>
      <c r="F923" s="4">
        <v>136.41</v>
      </c>
      <c r="G923" s="4">
        <v>0.0</v>
      </c>
      <c r="H923" s="4" t="s">
        <v>22</v>
      </c>
      <c r="I923" s="6">
        <v>-99.34</v>
      </c>
      <c r="J923" s="4">
        <v>6.84</v>
      </c>
      <c r="K923" s="4">
        <v>8.37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0.58</v>
      </c>
      <c r="U923" s="5">
        <f t="shared" ref="U923:U924" si="410">C923+1</f>
        <v>39837</v>
      </c>
    </row>
    <row r="924" ht="12.75" customHeight="1">
      <c r="A924" s="4">
        <v>1791.0</v>
      </c>
      <c r="B924" s="4">
        <v>12806.0</v>
      </c>
      <c r="C924" s="5">
        <f>DATE(2012,12,31)-373</f>
        <v>40901</v>
      </c>
      <c r="D924" s="4" t="s">
        <v>45</v>
      </c>
      <c r="E924" s="4">
        <v>20.0</v>
      </c>
      <c r="F924" s="4">
        <v>761.23</v>
      </c>
      <c r="G924" s="4">
        <v>0.0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10"/>
        <v>40902</v>
      </c>
    </row>
    <row r="925" ht="12.75" customHeight="1">
      <c r="A925" s="4">
        <v>1837.0</v>
      </c>
      <c r="B925" s="4">
        <v>13158.0</v>
      </c>
      <c r="C925" s="5">
        <f>DATE(2012,12,31)-41</f>
        <v>41233</v>
      </c>
      <c r="D925" s="4" t="s">
        <v>78</v>
      </c>
      <c r="E925" s="4">
        <v>26.0</v>
      </c>
      <c r="F925" s="4">
        <v>187.16</v>
      </c>
      <c r="G925" s="4">
        <v>0.01</v>
      </c>
      <c r="H925" s="4" t="s">
        <v>22</v>
      </c>
      <c r="I925" s="6">
        <v>29.325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ht="12.75" customHeight="1">
      <c r="A926" s="4">
        <v>1876.0</v>
      </c>
      <c r="B926" s="4">
        <v>13507.0</v>
      </c>
      <c r="C926" s="5">
        <f>DATE(2012,12,31)-2</f>
        <v>41272</v>
      </c>
      <c r="D926" s="4" t="s">
        <v>63</v>
      </c>
      <c r="E926" s="4">
        <v>27.0</v>
      </c>
      <c r="F926" s="4">
        <v>176.1</v>
      </c>
      <c r="G926" s="4">
        <v>0.09</v>
      </c>
      <c r="H926" s="4" t="s">
        <v>22</v>
      </c>
      <c r="I926" s="6">
        <v>-75.71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1">C926+1</f>
        <v>41273</v>
      </c>
    </row>
    <row r="927" ht="12.75" customHeight="1">
      <c r="A927" s="4">
        <v>2014.0</v>
      </c>
      <c r="B927" s="4">
        <v>14375.0</v>
      </c>
      <c r="C927" s="5">
        <f>DATE(2012,12,31)-1065</f>
        <v>40209</v>
      </c>
      <c r="D927" s="4" t="s">
        <v>63</v>
      </c>
      <c r="E927" s="4">
        <v>7.0</v>
      </c>
      <c r="F927" s="4">
        <v>44.05</v>
      </c>
      <c r="G927" s="4">
        <v>0.07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1"/>
        <v>40210</v>
      </c>
    </row>
    <row r="928" ht="12.75" customHeight="1">
      <c r="A928" s="4">
        <v>2049.0</v>
      </c>
      <c r="B928" s="4">
        <v>14627.0</v>
      </c>
      <c r="C928" s="5">
        <f>DATE(2012,12,31)-1426</f>
        <v>39848</v>
      </c>
      <c r="D928" s="4" t="s">
        <v>63</v>
      </c>
      <c r="E928" s="4">
        <v>47.0</v>
      </c>
      <c r="F928" s="4">
        <v>671.03</v>
      </c>
      <c r="G928" s="4">
        <v>0.07</v>
      </c>
      <c r="H928" s="4" t="s">
        <v>22</v>
      </c>
      <c r="I928" s="6">
        <v>67.864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1"/>
        <v>39849</v>
      </c>
    </row>
    <row r="929" ht="12.75" customHeight="1">
      <c r="A929" s="4">
        <v>2077.0</v>
      </c>
      <c r="B929" s="4">
        <v>14852.0</v>
      </c>
      <c r="C929" s="5">
        <f>DATE(2012,12,31)-373</f>
        <v>40901</v>
      </c>
      <c r="D929" s="4" t="s">
        <v>63</v>
      </c>
      <c r="E929" s="4">
        <v>9.0</v>
      </c>
      <c r="F929" s="4">
        <v>3800.4</v>
      </c>
      <c r="G929" s="4">
        <v>0.03</v>
      </c>
      <c r="H929" s="4" t="s">
        <v>56</v>
      </c>
      <c r="I929" s="6">
        <v>1234.574</v>
      </c>
      <c r="J929" s="4">
        <v>420.98</v>
      </c>
      <c r="K929" s="4">
        <v>19.99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ht="12.75" customHeight="1">
      <c r="A930" s="4">
        <v>2256.0</v>
      </c>
      <c r="B930" s="4">
        <v>16230.0</v>
      </c>
      <c r="C930" s="5">
        <f t="shared" ref="C930:C933" si="412">DATE(2012,12,31)-1038</f>
        <v>40236</v>
      </c>
      <c r="D930" s="4" t="s">
        <v>21</v>
      </c>
      <c r="E930" s="4">
        <v>2.0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3">C930+2</f>
        <v>40238</v>
      </c>
    </row>
    <row r="931" ht="12.75" customHeight="1">
      <c r="A931" s="4">
        <v>2257.0</v>
      </c>
      <c r="B931" s="4">
        <v>16230.0</v>
      </c>
      <c r="C931" s="5">
        <f t="shared" si="412"/>
        <v>40236</v>
      </c>
      <c r="D931" s="4" t="s">
        <v>21</v>
      </c>
      <c r="E931" s="4">
        <v>27.0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130.98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3"/>
        <v>40238</v>
      </c>
    </row>
    <row r="932" ht="12.75" customHeight="1">
      <c r="A932" s="4">
        <v>2258.0</v>
      </c>
      <c r="B932" s="4">
        <v>16230.0</v>
      </c>
      <c r="C932" s="5">
        <f t="shared" si="412"/>
        <v>40236</v>
      </c>
      <c r="D932" s="4" t="s">
        <v>21</v>
      </c>
      <c r="E932" s="4">
        <v>15.0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ht="12.75" customHeight="1">
      <c r="A933" s="4">
        <v>2259.0</v>
      </c>
      <c r="B933" s="4">
        <v>16230.0</v>
      </c>
      <c r="C933" s="5">
        <f t="shared" si="412"/>
        <v>40236</v>
      </c>
      <c r="D933" s="4" t="s">
        <v>21</v>
      </c>
      <c r="E933" s="4">
        <v>40.0</v>
      </c>
      <c r="F933" s="4">
        <v>4538.66</v>
      </c>
      <c r="G933" s="4">
        <v>0.0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ht="12.75" customHeight="1">
      <c r="A934" s="4">
        <v>2635.0</v>
      </c>
      <c r="B934" s="4">
        <v>19074.0</v>
      </c>
      <c r="C934" s="5">
        <f>DATE(2012,12,31)-189</f>
        <v>41085</v>
      </c>
      <c r="D934" s="4" t="s">
        <v>78</v>
      </c>
      <c r="E934" s="4">
        <v>17.0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0.58</v>
      </c>
      <c r="U934" s="5">
        <f t="shared" ref="U934:U938" si="414">C934+2</f>
        <v>41087</v>
      </c>
    </row>
    <row r="935" ht="12.75" customHeight="1">
      <c r="A935" s="4">
        <v>2801.0</v>
      </c>
      <c r="B935" s="4">
        <v>20194.0</v>
      </c>
      <c r="C935" s="5">
        <f>DATE(2012,12,31)-293</f>
        <v>40981</v>
      </c>
      <c r="D935" s="4" t="s">
        <v>30</v>
      </c>
      <c r="E935" s="4">
        <v>10.0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20.24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4"/>
        <v>40983</v>
      </c>
    </row>
    <row r="936" ht="12.75" customHeight="1">
      <c r="A936" s="4">
        <v>2912.0</v>
      </c>
      <c r="B936" s="4">
        <v>21024.0</v>
      </c>
      <c r="C936" s="5">
        <f>DATE(2012,12,31)-734</f>
        <v>40540</v>
      </c>
      <c r="D936" s="4" t="s">
        <v>63</v>
      </c>
      <c r="E936" s="4">
        <v>34.0</v>
      </c>
      <c r="F936" s="4">
        <v>195.49</v>
      </c>
      <c r="G936" s="4">
        <v>0.05</v>
      </c>
      <c r="H936" s="4" t="s">
        <v>22</v>
      </c>
      <c r="I936" s="6">
        <v>33.8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</v>
      </c>
      <c r="U936" s="5">
        <f t="shared" si="414"/>
        <v>40542</v>
      </c>
    </row>
    <row r="937" ht="12.75" customHeight="1">
      <c r="A937" s="4">
        <v>2978.0</v>
      </c>
      <c r="B937" s="4">
        <v>21509.0</v>
      </c>
      <c r="C937" s="5">
        <f>DATE(2012,12,31)-181</f>
        <v>41093</v>
      </c>
      <c r="D937" s="4" t="s">
        <v>30</v>
      </c>
      <c r="E937" s="4">
        <v>13.0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4"/>
        <v>41095</v>
      </c>
    </row>
    <row r="938" ht="12.75" customHeight="1">
      <c r="A938" s="4">
        <v>3042.0</v>
      </c>
      <c r="B938" s="4">
        <v>21856.0</v>
      </c>
      <c r="C938" s="5">
        <f t="shared" ref="C938:C939" si="415">DATE(2012,12,31)-270</f>
        <v>41004</v>
      </c>
      <c r="D938" s="4" t="s">
        <v>45</v>
      </c>
      <c r="E938" s="4">
        <v>47.0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4"/>
        <v>41006</v>
      </c>
    </row>
    <row r="939" ht="12.75" customHeight="1">
      <c r="A939" s="4">
        <v>3043.0</v>
      </c>
      <c r="B939" s="4">
        <v>21856.0</v>
      </c>
      <c r="C939" s="5">
        <f t="shared" si="415"/>
        <v>41004</v>
      </c>
      <c r="D939" s="4" t="s">
        <v>45</v>
      </c>
      <c r="E939" s="4">
        <v>26.0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ht="12.75" customHeight="1">
      <c r="A940" s="4">
        <v>3085.0</v>
      </c>
      <c r="B940" s="4">
        <v>22119.0</v>
      </c>
      <c r="C940" s="5">
        <f>DATE(2012,12,31)-1256</f>
        <v>40018</v>
      </c>
      <c r="D940" s="4" t="s">
        <v>21</v>
      </c>
      <c r="E940" s="4">
        <v>20.0</v>
      </c>
      <c r="F940" s="4">
        <v>939.39</v>
      </c>
      <c r="G940" s="4">
        <v>0.07</v>
      </c>
      <c r="H940" s="4" t="s">
        <v>22</v>
      </c>
      <c r="I940" s="6">
        <v>-122.77</v>
      </c>
      <c r="J940" s="4">
        <v>49.43</v>
      </c>
      <c r="K940" s="4">
        <v>19.99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0.57</v>
      </c>
      <c r="U940" s="5">
        <f>C940+5</f>
        <v>40023</v>
      </c>
    </row>
    <row r="941" ht="12.75" customHeight="1">
      <c r="A941" s="4">
        <v>3141.0</v>
      </c>
      <c r="B941" s="4">
        <v>22534.0</v>
      </c>
      <c r="C941" s="5">
        <f>DATE(2012,12,31)-532</f>
        <v>40742</v>
      </c>
      <c r="D941" s="4" t="s">
        <v>63</v>
      </c>
      <c r="E941" s="4">
        <v>3.0</v>
      </c>
      <c r="F941" s="4">
        <v>279.33</v>
      </c>
      <c r="G941" s="4">
        <v>0.0</v>
      </c>
      <c r="H941" s="4" t="s">
        <v>22</v>
      </c>
      <c r="I941" s="6">
        <v>-44.18</v>
      </c>
      <c r="J941" s="4">
        <v>83.93</v>
      </c>
      <c r="K941" s="4">
        <v>19.99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ht="12.75" customHeight="1">
      <c r="A942" s="4">
        <v>3154.0</v>
      </c>
      <c r="B942" s="4">
        <v>22629.0</v>
      </c>
      <c r="C942" s="5">
        <f>DATE(2012,12,31)-991</f>
        <v>40283</v>
      </c>
      <c r="D942" s="4" t="s">
        <v>21</v>
      </c>
      <c r="E942" s="4">
        <v>5.0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ht="12.75" customHeight="1">
      <c r="A943" s="4">
        <v>3208.0</v>
      </c>
      <c r="B943" s="4">
        <v>23011.0</v>
      </c>
      <c r="C943" s="5">
        <f>DATE(2012,12,31)-930</f>
        <v>40344</v>
      </c>
      <c r="D943" s="4" t="s">
        <v>21</v>
      </c>
      <c r="E943" s="4">
        <v>1.0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ht="12.75" customHeight="1">
      <c r="A944" s="4">
        <v>3368.0</v>
      </c>
      <c r="B944" s="4">
        <v>24070.0</v>
      </c>
      <c r="C944" s="5">
        <f t="shared" ref="C944:C946" si="416">DATE(2012,12,31)-657</f>
        <v>40617</v>
      </c>
      <c r="D944" s="4" t="s">
        <v>30</v>
      </c>
      <c r="E944" s="4">
        <v>36.0</v>
      </c>
      <c r="F944" s="4">
        <v>170.42</v>
      </c>
      <c r="G944" s="4">
        <v>0.1</v>
      </c>
      <c r="H944" s="4" t="s">
        <v>22</v>
      </c>
      <c r="I944" s="6">
        <v>-98.31349999999999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7">C944+1</f>
        <v>40618</v>
      </c>
    </row>
    <row r="945" ht="12.75" customHeight="1">
      <c r="A945" s="4">
        <v>3369.0</v>
      </c>
      <c r="B945" s="4">
        <v>24070.0</v>
      </c>
      <c r="C945" s="5">
        <f t="shared" si="416"/>
        <v>40617</v>
      </c>
      <c r="D945" s="4" t="s">
        <v>30</v>
      </c>
      <c r="E945" s="4">
        <v>3.0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0.57</v>
      </c>
      <c r="U945" s="5">
        <f t="shared" si="417"/>
        <v>40618</v>
      </c>
    </row>
    <row r="946" ht="12.75" customHeight="1">
      <c r="A946" s="4">
        <v>3370.0</v>
      </c>
      <c r="B946" s="4">
        <v>24070.0</v>
      </c>
      <c r="C946" s="5">
        <f t="shared" si="416"/>
        <v>40617</v>
      </c>
      <c r="D946" s="4" t="s">
        <v>30</v>
      </c>
      <c r="E946" s="4">
        <v>48.0</v>
      </c>
      <c r="F946" s="4">
        <v>294.26</v>
      </c>
      <c r="G946" s="4">
        <v>0.0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7"/>
        <v>40618</v>
      </c>
    </row>
    <row r="947" ht="12.75" customHeight="1">
      <c r="A947" s="4">
        <v>3474.0</v>
      </c>
      <c r="B947" s="4">
        <v>24737.0</v>
      </c>
      <c r="C947" s="5">
        <f t="shared" ref="C947:C948" si="418">DATE(2012,12,31)-1121</f>
        <v>40153</v>
      </c>
      <c r="D947" s="4" t="s">
        <v>30</v>
      </c>
      <c r="E947" s="4">
        <v>3.0</v>
      </c>
      <c r="F947" s="4">
        <v>549.92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ht="12.75" customHeight="1">
      <c r="A948" s="4">
        <v>3475.0</v>
      </c>
      <c r="B948" s="4">
        <v>24737.0</v>
      </c>
      <c r="C948" s="5">
        <f t="shared" si="418"/>
        <v>40153</v>
      </c>
      <c r="D948" s="4" t="s">
        <v>30</v>
      </c>
      <c r="E948" s="4">
        <v>26.0</v>
      </c>
      <c r="F948" s="4">
        <v>182.09</v>
      </c>
      <c r="G948" s="4">
        <v>0.0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ht="12.75" customHeight="1">
      <c r="A949" s="4">
        <v>3691.0</v>
      </c>
      <c r="B949" s="4">
        <v>26373.0</v>
      </c>
      <c r="C949" s="5">
        <f>DATE(2012,12,31)-893</f>
        <v>40381</v>
      </c>
      <c r="D949" s="4" t="s">
        <v>63</v>
      </c>
      <c r="E949" s="4">
        <v>7.0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0.57</v>
      </c>
      <c r="U949" s="5">
        <f>C949+3</f>
        <v>40384</v>
      </c>
    </row>
    <row r="950" ht="12.75" customHeight="1">
      <c r="A950" s="4">
        <v>3781.0</v>
      </c>
      <c r="B950" s="4">
        <v>26978.0</v>
      </c>
      <c r="C950" s="5">
        <f t="shared" ref="C950:C952" si="419">DATE(2012,12,31)-920</f>
        <v>40354</v>
      </c>
      <c r="D950" s="4" t="s">
        <v>63</v>
      </c>
      <c r="E950" s="4">
        <v>46.0</v>
      </c>
      <c r="F950" s="4">
        <v>27875.54</v>
      </c>
      <c r="G950" s="4">
        <v>0.0</v>
      </c>
      <c r="H950" s="4" t="s">
        <v>22</v>
      </c>
      <c r="I950" s="6">
        <v>-635.69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20">C950+2</f>
        <v>40356</v>
      </c>
    </row>
    <row r="951" ht="12.75" customHeight="1">
      <c r="A951" s="4">
        <v>3782.0</v>
      </c>
      <c r="B951" s="4">
        <v>26978.0</v>
      </c>
      <c r="C951" s="5">
        <f t="shared" si="419"/>
        <v>40354</v>
      </c>
      <c r="D951" s="4" t="s">
        <v>63</v>
      </c>
      <c r="E951" s="4">
        <v>49.0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20"/>
        <v>40356</v>
      </c>
    </row>
    <row r="952" ht="12.75" customHeight="1">
      <c r="A952" s="4">
        <v>3783.0</v>
      </c>
      <c r="B952" s="4">
        <v>26978.0</v>
      </c>
      <c r="C952" s="5">
        <f t="shared" si="419"/>
        <v>40354</v>
      </c>
      <c r="D952" s="4" t="s">
        <v>63</v>
      </c>
      <c r="E952" s="4">
        <v>47.0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8.78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0.57</v>
      </c>
      <c r="U952" s="5">
        <f t="shared" si="420"/>
        <v>40356</v>
      </c>
    </row>
    <row r="953" ht="12.75" customHeight="1">
      <c r="A953" s="4">
        <v>3815.0</v>
      </c>
      <c r="B953" s="4">
        <v>27174.0</v>
      </c>
      <c r="C953" s="5">
        <f>DATE(2012,12,31)-450</f>
        <v>40824</v>
      </c>
      <c r="D953" s="4" t="s">
        <v>78</v>
      </c>
      <c r="E953" s="4">
        <v>17.0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5.0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20"/>
        <v>40826</v>
      </c>
    </row>
    <row r="954" ht="12.75" customHeight="1">
      <c r="A954" s="4">
        <v>3910.0</v>
      </c>
      <c r="B954" s="4">
        <v>27876.0</v>
      </c>
      <c r="C954" s="5">
        <f>DATE(2012,12,31)-846</f>
        <v>40428</v>
      </c>
      <c r="D954" s="4" t="s">
        <v>21</v>
      </c>
      <c r="E954" s="4">
        <v>44.0</v>
      </c>
      <c r="F954" s="4">
        <v>777.63</v>
      </c>
      <c r="G954" s="4">
        <v>0.03</v>
      </c>
      <c r="H954" s="4" t="s">
        <v>22</v>
      </c>
      <c r="I954" s="6">
        <v>-70.54</v>
      </c>
      <c r="J954" s="4">
        <v>16.99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</v>
      </c>
      <c r="U954" s="5">
        <f>C954+7</f>
        <v>40435</v>
      </c>
    </row>
    <row r="955" ht="12.75" customHeight="1">
      <c r="A955" s="4">
        <v>4005.0</v>
      </c>
      <c r="B955" s="4">
        <v>28582.0</v>
      </c>
      <c r="C955" s="5">
        <f t="shared" ref="C955:C956" si="421">DATE(2012,12,31)-344</f>
        <v>40930</v>
      </c>
      <c r="D955" s="4" t="s">
        <v>45</v>
      </c>
      <c r="E955" s="4">
        <v>40.0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2">C955+1</f>
        <v>40931</v>
      </c>
    </row>
    <row r="956" ht="12.75" customHeight="1">
      <c r="A956" s="4">
        <v>4006.0</v>
      </c>
      <c r="B956" s="4">
        <v>28582.0</v>
      </c>
      <c r="C956" s="5">
        <f t="shared" si="421"/>
        <v>40930</v>
      </c>
      <c r="D956" s="4" t="s">
        <v>45</v>
      </c>
      <c r="E956" s="4">
        <v>45.0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2"/>
        <v>40931</v>
      </c>
    </row>
    <row r="957" ht="12.75" customHeight="1">
      <c r="A957" s="4">
        <v>4048.0</v>
      </c>
      <c r="B957" s="4">
        <v>28868.0</v>
      </c>
      <c r="C957" s="5">
        <f>DATE(2012,12,31)-270</f>
        <v>41004</v>
      </c>
      <c r="D957" s="4" t="s">
        <v>30</v>
      </c>
      <c r="E957" s="4">
        <v>30.0</v>
      </c>
      <c r="F957" s="4">
        <v>204.49</v>
      </c>
      <c r="G957" s="4">
        <v>0.05</v>
      </c>
      <c r="H957" s="4" t="s">
        <v>22</v>
      </c>
      <c r="I957" s="6">
        <v>-142.3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2"/>
        <v>41005</v>
      </c>
    </row>
    <row r="958" ht="12.75" customHeight="1">
      <c r="A958" s="4">
        <v>4200.0</v>
      </c>
      <c r="B958" s="4">
        <v>29857.0</v>
      </c>
      <c r="C958" s="5">
        <f>DATE(2012,12,31)-1115</f>
        <v>40159</v>
      </c>
      <c r="D958" s="4" t="s">
        <v>63</v>
      </c>
      <c r="E958" s="4">
        <v>41.0</v>
      </c>
      <c r="F958" s="4">
        <v>5572.92</v>
      </c>
      <c r="G958" s="4">
        <v>0.07</v>
      </c>
      <c r="H958" s="4" t="s">
        <v>31</v>
      </c>
      <c r="I958" s="6">
        <v>-639.47</v>
      </c>
      <c r="J958" s="4">
        <v>140.98</v>
      </c>
      <c r="K958" s="4">
        <v>36.09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3">C958+2</f>
        <v>40161</v>
      </c>
    </row>
    <row r="959" ht="12.75" customHeight="1">
      <c r="A959" s="4">
        <v>4209.0</v>
      </c>
      <c r="B959" s="4">
        <v>29921.0</v>
      </c>
      <c r="C959" s="5">
        <f>DATE(2012,12,31)-283</f>
        <v>40991</v>
      </c>
      <c r="D959" s="4" t="s">
        <v>63</v>
      </c>
      <c r="E959" s="4">
        <v>33.0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3"/>
        <v>40993</v>
      </c>
    </row>
    <row r="960" ht="12.75" customHeight="1">
      <c r="A960" s="4">
        <v>4307.0</v>
      </c>
      <c r="B960" s="4">
        <v>30659.0</v>
      </c>
      <c r="C960" s="5">
        <f>DATE(2012,12,31)-475</f>
        <v>40799</v>
      </c>
      <c r="D960" s="4" t="s">
        <v>78</v>
      </c>
      <c r="E960" s="4">
        <v>45.0</v>
      </c>
      <c r="F960" s="4">
        <v>3116.7715</v>
      </c>
      <c r="G960" s="4">
        <v>0.08</v>
      </c>
      <c r="H960" s="4" t="s">
        <v>22</v>
      </c>
      <c r="I960" s="6">
        <v>-106.513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3"/>
        <v>40801</v>
      </c>
    </row>
    <row r="961" ht="12.75" customHeight="1">
      <c r="A961" s="4">
        <v>4308.0</v>
      </c>
      <c r="B961" s="4">
        <v>30660.0</v>
      </c>
      <c r="C961" s="5">
        <f>DATE(2012,12,31)-117</f>
        <v>41157</v>
      </c>
      <c r="D961" s="4" t="s">
        <v>78</v>
      </c>
      <c r="E961" s="4">
        <v>16.0</v>
      </c>
      <c r="F961" s="4">
        <v>986.2719999999999</v>
      </c>
      <c r="G961" s="4">
        <v>0.02</v>
      </c>
      <c r="H961" s="4" t="s">
        <v>22</v>
      </c>
      <c r="I961" s="6">
        <v>-647.136</v>
      </c>
      <c r="J961" s="4">
        <v>71.37</v>
      </c>
      <c r="K961" s="4">
        <v>69.0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ht="12.75" customHeight="1">
      <c r="A962" s="4">
        <v>4332.0</v>
      </c>
      <c r="B962" s="4">
        <v>30883.0</v>
      </c>
      <c r="C962" s="5">
        <f>DATE(2012,12,31)-863</f>
        <v>40411</v>
      </c>
      <c r="D962" s="4" t="s">
        <v>63</v>
      </c>
      <c r="E962" s="4">
        <v>30.0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ht="12.75" customHeight="1">
      <c r="A963" s="4">
        <v>4619.0</v>
      </c>
      <c r="B963" s="4">
        <v>32871.0</v>
      </c>
      <c r="C963" s="5">
        <f>DATE(2012,12,31)-66</f>
        <v>41208</v>
      </c>
      <c r="D963" s="4" t="s">
        <v>30</v>
      </c>
      <c r="E963" s="4">
        <v>42.0</v>
      </c>
      <c r="F963" s="4">
        <v>939.77</v>
      </c>
      <c r="G963" s="4">
        <v>0.0</v>
      </c>
      <c r="H963" s="4" t="s">
        <v>56</v>
      </c>
      <c r="I963" s="6">
        <v>9.72</v>
      </c>
      <c r="J963" s="4">
        <v>20.97</v>
      </c>
      <c r="K963" s="4">
        <v>4.0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ht="12.75" customHeight="1">
      <c r="A964" s="4">
        <v>4718.0</v>
      </c>
      <c r="B964" s="4">
        <v>33600.0</v>
      </c>
      <c r="C964" s="5">
        <f>DATE(2012,12,31)-817</f>
        <v>40457</v>
      </c>
      <c r="D964" s="4" t="s">
        <v>21</v>
      </c>
      <c r="E964" s="4">
        <v>42.0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ht="12.75" customHeight="1">
      <c r="A965" s="4">
        <v>4722.0</v>
      </c>
      <c r="B965" s="4">
        <v>33632.0</v>
      </c>
      <c r="C965" s="5">
        <f>DATE(2012,12,31)-1024</f>
        <v>40250</v>
      </c>
      <c r="D965" s="4" t="s">
        <v>78</v>
      </c>
      <c r="E965" s="4">
        <v>8.0</v>
      </c>
      <c r="F965" s="4">
        <v>763.6484999999999</v>
      </c>
      <c r="G965" s="4">
        <v>0.06</v>
      </c>
      <c r="H965" s="4" t="s">
        <v>22</v>
      </c>
      <c r="I965" s="6">
        <v>-277.783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0.57</v>
      </c>
      <c r="U965" s="5">
        <f>C965+1</f>
        <v>40251</v>
      </c>
    </row>
    <row r="966" ht="12.75" customHeight="1">
      <c r="A966" s="4">
        <v>4727.0</v>
      </c>
      <c r="B966" s="4">
        <v>33665.0</v>
      </c>
      <c r="C966" s="5">
        <f>DATE(2012,12,31)-586</f>
        <v>40688</v>
      </c>
      <c r="D966" s="4" t="s">
        <v>21</v>
      </c>
      <c r="E966" s="4">
        <v>45.0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ht="12.75" customHeight="1">
      <c r="A967" s="4">
        <v>4841.0</v>
      </c>
      <c r="B967" s="4">
        <v>34434.0</v>
      </c>
      <c r="C967" s="5">
        <f t="shared" ref="C967:C968" si="424">DATE(2012,12,31)-602</f>
        <v>40672</v>
      </c>
      <c r="D967" s="4" t="s">
        <v>45</v>
      </c>
      <c r="E967" s="4">
        <v>16.0</v>
      </c>
      <c r="F967" s="4">
        <v>32.35</v>
      </c>
      <c r="G967" s="4">
        <v>0.08</v>
      </c>
      <c r="H967" s="4" t="s">
        <v>22</v>
      </c>
      <c r="I967" s="6">
        <v>-63.1925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ht="12.75" customHeight="1">
      <c r="A968" s="4">
        <v>4842.0</v>
      </c>
      <c r="B968" s="4">
        <v>34434.0</v>
      </c>
      <c r="C968" s="5">
        <f t="shared" si="424"/>
        <v>40672</v>
      </c>
      <c r="D968" s="4" t="s">
        <v>45</v>
      </c>
      <c r="E968" s="4">
        <v>23.0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5">C968+2</f>
        <v>40674</v>
      </c>
    </row>
    <row r="969" ht="12.75" customHeight="1">
      <c r="A969" s="4">
        <v>4885.0</v>
      </c>
      <c r="B969" s="4">
        <v>34753.0</v>
      </c>
      <c r="C969" s="5">
        <f>DATE(2012,12,31)-1078</f>
        <v>40196</v>
      </c>
      <c r="D969" s="4" t="s">
        <v>45</v>
      </c>
      <c r="E969" s="4">
        <v>7.0</v>
      </c>
      <c r="F969" s="4">
        <v>117.062</v>
      </c>
      <c r="G969" s="4">
        <v>0.09</v>
      </c>
      <c r="H969" s="4" t="s">
        <v>22</v>
      </c>
      <c r="I969" s="6">
        <v>-63.70099999999999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0.57</v>
      </c>
      <c r="U969" s="5">
        <f t="shared" si="425"/>
        <v>40198</v>
      </c>
    </row>
    <row r="970" ht="12.75" customHeight="1">
      <c r="A970" s="4">
        <v>4970.0</v>
      </c>
      <c r="B970" s="4">
        <v>35364.0</v>
      </c>
      <c r="C970" s="5">
        <f t="shared" ref="C970:C973" si="426">DATE(2012,12,31)-1115</f>
        <v>40159</v>
      </c>
      <c r="D970" s="4" t="s">
        <v>78</v>
      </c>
      <c r="E970" s="4">
        <v>16.0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5"/>
        <v>40161</v>
      </c>
    </row>
    <row r="971" ht="12.75" customHeight="1">
      <c r="A971" s="4">
        <v>4971.0</v>
      </c>
      <c r="B971" s="4">
        <v>35364.0</v>
      </c>
      <c r="C971" s="5">
        <f t="shared" si="426"/>
        <v>40159</v>
      </c>
      <c r="D971" s="4" t="s">
        <v>78</v>
      </c>
      <c r="E971" s="4">
        <v>29.0</v>
      </c>
      <c r="F971" s="4">
        <v>10338.93</v>
      </c>
      <c r="G971" s="4">
        <v>0.06</v>
      </c>
      <c r="H971" s="4" t="s">
        <v>31</v>
      </c>
      <c r="I971" s="6">
        <v>-871.515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5"/>
        <v>40161</v>
      </c>
    </row>
    <row r="972" ht="12.75" customHeight="1">
      <c r="A972" s="4">
        <v>4972.0</v>
      </c>
      <c r="B972" s="4">
        <v>35364.0</v>
      </c>
      <c r="C972" s="5">
        <f t="shared" si="426"/>
        <v>40159</v>
      </c>
      <c r="D972" s="4" t="s">
        <v>78</v>
      </c>
      <c r="E972" s="4">
        <v>37.0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ht="12.75" customHeight="1">
      <c r="A973" s="4">
        <v>4973.0</v>
      </c>
      <c r="B973" s="4">
        <v>35364.0</v>
      </c>
      <c r="C973" s="5">
        <f t="shared" si="426"/>
        <v>40159</v>
      </c>
      <c r="D973" s="4" t="s">
        <v>78</v>
      </c>
      <c r="E973" s="4">
        <v>8.0</v>
      </c>
      <c r="F973" s="4">
        <v>1265.293</v>
      </c>
      <c r="G973" s="4">
        <v>0.06</v>
      </c>
      <c r="H973" s="4" t="s">
        <v>22</v>
      </c>
      <c r="I973" s="6">
        <v>-554.4440000000001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7">C973+2</f>
        <v>40161</v>
      </c>
    </row>
    <row r="974" ht="12.75" customHeight="1">
      <c r="A974" s="4">
        <v>5019.0</v>
      </c>
      <c r="B974" s="4">
        <v>35812.0</v>
      </c>
      <c r="C974" s="5">
        <f t="shared" ref="C974:C976" si="428">DATE(2012,12,31)-1074</f>
        <v>40200</v>
      </c>
      <c r="D974" s="4" t="s">
        <v>78</v>
      </c>
      <c r="E974" s="4">
        <v>24.0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30.0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7"/>
        <v>40202</v>
      </c>
    </row>
    <row r="975" ht="12.75" customHeight="1">
      <c r="A975" s="4">
        <v>5020.0</v>
      </c>
      <c r="B975" s="4">
        <v>35812.0</v>
      </c>
      <c r="C975" s="5">
        <f t="shared" si="428"/>
        <v>40200</v>
      </c>
      <c r="D975" s="4" t="s">
        <v>78</v>
      </c>
      <c r="E975" s="4">
        <v>2.0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4.0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7"/>
        <v>40202</v>
      </c>
    </row>
    <row r="976" ht="12.75" customHeight="1">
      <c r="A976" s="4">
        <v>5021.0</v>
      </c>
      <c r="B976" s="4">
        <v>35812.0</v>
      </c>
      <c r="C976" s="5">
        <f t="shared" si="428"/>
        <v>40200</v>
      </c>
      <c r="D976" s="4" t="s">
        <v>78</v>
      </c>
      <c r="E976" s="4">
        <v>19.0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7"/>
        <v>40202</v>
      </c>
    </row>
    <row r="977" ht="12.75" customHeight="1">
      <c r="A977" s="4">
        <v>5212.0</v>
      </c>
      <c r="B977" s="4">
        <v>37063.0</v>
      </c>
      <c r="C977" s="5">
        <f>DATE(2012,12,31)-22</f>
        <v>41252</v>
      </c>
      <c r="D977" s="4" t="s">
        <v>45</v>
      </c>
      <c r="E977" s="4">
        <v>50.0</v>
      </c>
      <c r="F977" s="4">
        <v>919.0</v>
      </c>
      <c r="G977" s="4">
        <v>0.0</v>
      </c>
      <c r="H977" s="4" t="s">
        <v>22</v>
      </c>
      <c r="I977" s="6">
        <v>89.6</v>
      </c>
      <c r="J977" s="4">
        <v>17.67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9">C977+1</f>
        <v>41253</v>
      </c>
    </row>
    <row r="978" ht="12.75" customHeight="1">
      <c r="A978" s="4">
        <v>5238.0</v>
      </c>
      <c r="B978" s="4">
        <v>37281.0</v>
      </c>
      <c r="C978" s="5">
        <f>DATE(2012,12,31)-1221</f>
        <v>40053</v>
      </c>
      <c r="D978" s="4" t="s">
        <v>63</v>
      </c>
      <c r="E978" s="4">
        <v>25.0</v>
      </c>
      <c r="F978" s="4">
        <v>453.2455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4.81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0.58</v>
      </c>
      <c r="U978" s="5">
        <f t="shared" si="429"/>
        <v>40054</v>
      </c>
    </row>
    <row r="979" ht="12.75" customHeight="1">
      <c r="A979" s="4">
        <v>5315.0</v>
      </c>
      <c r="B979" s="4">
        <v>37798.0</v>
      </c>
      <c r="C979" s="5">
        <f>DATE(2012,12,31)-57</f>
        <v>41217</v>
      </c>
      <c r="D979" s="4" t="s">
        <v>30</v>
      </c>
      <c r="E979" s="4">
        <v>23.0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</v>
      </c>
      <c r="U979" s="5">
        <f>C979+0</f>
        <v>41217</v>
      </c>
    </row>
    <row r="980" ht="12.75" customHeight="1">
      <c r="A980" s="4">
        <v>5347.0</v>
      </c>
      <c r="B980" s="4">
        <v>38017.0</v>
      </c>
      <c r="C980" s="5">
        <f t="shared" ref="C980:C981" si="430">DATE(2012,12,31)-895</f>
        <v>40379</v>
      </c>
      <c r="D980" s="4" t="s">
        <v>21</v>
      </c>
      <c r="E980" s="4">
        <v>26.0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ht="12.75" customHeight="1">
      <c r="A981" s="4">
        <v>5348.0</v>
      </c>
      <c r="B981" s="4">
        <v>38017.0</v>
      </c>
      <c r="C981" s="5">
        <f t="shared" si="430"/>
        <v>40379</v>
      </c>
      <c r="D981" s="4" t="s">
        <v>21</v>
      </c>
      <c r="E981" s="4">
        <v>27.0</v>
      </c>
      <c r="F981" s="4">
        <v>2846.361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ht="12.75" customHeight="1">
      <c r="A982" s="4">
        <v>5380.0</v>
      </c>
      <c r="B982" s="4">
        <v>38272.0</v>
      </c>
      <c r="C982" s="5">
        <f>DATE(2012,12,31)-412</f>
        <v>40862</v>
      </c>
      <c r="D982" s="4" t="s">
        <v>78</v>
      </c>
      <c r="E982" s="4">
        <v>39.0</v>
      </c>
      <c r="F982" s="4">
        <v>71.04</v>
      </c>
      <c r="G982" s="4">
        <v>0.07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ht="12.75" customHeight="1">
      <c r="A983" s="4">
        <v>5551.0</v>
      </c>
      <c r="B983" s="4">
        <v>39301.0</v>
      </c>
      <c r="C983" s="5">
        <f>DATE(2012,12,31)-1380</f>
        <v>39894</v>
      </c>
      <c r="D983" s="4" t="s">
        <v>63</v>
      </c>
      <c r="E983" s="4">
        <v>16.0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152.48</v>
      </c>
      <c r="K983" s="4">
        <v>4.0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1">C983+1</f>
        <v>39895</v>
      </c>
    </row>
    <row r="984" ht="12.75" customHeight="1">
      <c r="A984" s="4">
        <v>5562.0</v>
      </c>
      <c r="B984" s="4">
        <v>39367.0</v>
      </c>
      <c r="C984" s="5">
        <f t="shared" ref="C984:C985" si="432">DATE(2012,12,31)-1243</f>
        <v>40031</v>
      </c>
      <c r="D984" s="4" t="s">
        <v>78</v>
      </c>
      <c r="E984" s="4">
        <v>45.0</v>
      </c>
      <c r="F984" s="4">
        <v>177.88</v>
      </c>
      <c r="G984" s="4">
        <v>0.07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1"/>
        <v>40032</v>
      </c>
    </row>
    <row r="985" ht="12.75" customHeight="1">
      <c r="A985" s="4">
        <v>5563.0</v>
      </c>
      <c r="B985" s="4">
        <v>39367.0</v>
      </c>
      <c r="C985" s="5">
        <f t="shared" si="432"/>
        <v>40031</v>
      </c>
      <c r="D985" s="4" t="s">
        <v>78</v>
      </c>
      <c r="E985" s="4">
        <v>30.0</v>
      </c>
      <c r="F985" s="4">
        <v>139.59</v>
      </c>
      <c r="G985" s="4">
        <v>0.0</v>
      </c>
      <c r="H985" s="4" t="s">
        <v>22</v>
      </c>
      <c r="I985" s="6">
        <v>5.9</v>
      </c>
      <c r="J985" s="4">
        <v>4.48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ht="12.75" customHeight="1">
      <c r="A986" s="4">
        <v>5596.0</v>
      </c>
      <c r="B986" s="4">
        <v>39655.0</v>
      </c>
      <c r="C986" s="5">
        <f>DATE(2012,12,31)-283</f>
        <v>40991</v>
      </c>
      <c r="D986" s="4" t="s">
        <v>30</v>
      </c>
      <c r="E986" s="4">
        <v>35.0</v>
      </c>
      <c r="F986" s="4">
        <v>253.15</v>
      </c>
      <c r="G986" s="4">
        <v>0.03</v>
      </c>
      <c r="H986" s="4" t="s">
        <v>22</v>
      </c>
      <c r="I986" s="6">
        <v>-72.43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ht="12.75" customHeight="1">
      <c r="A987" s="4">
        <v>5744.0</v>
      </c>
      <c r="B987" s="4">
        <v>40803.0</v>
      </c>
      <c r="C987" s="5">
        <f t="shared" ref="C987:C988" si="433">DATE(2012,12,31)-628</f>
        <v>40646</v>
      </c>
      <c r="D987" s="4" t="s">
        <v>21</v>
      </c>
      <c r="E987" s="4">
        <v>22.0</v>
      </c>
      <c r="F987" s="4">
        <v>83.02</v>
      </c>
      <c r="G987" s="4">
        <v>0.08</v>
      </c>
      <c r="H987" s="4" t="s">
        <v>22</v>
      </c>
      <c r="I987" s="6">
        <v>9.2395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ht="12.75" customHeight="1">
      <c r="A988" s="4">
        <v>5745.0</v>
      </c>
      <c r="B988" s="4">
        <v>40803.0</v>
      </c>
      <c r="C988" s="5">
        <f t="shared" si="433"/>
        <v>40646</v>
      </c>
      <c r="D988" s="4" t="s">
        <v>21</v>
      </c>
      <c r="E988" s="4">
        <v>35.0</v>
      </c>
      <c r="F988" s="4">
        <v>10278.79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</v>
      </c>
      <c r="U988" s="5">
        <f>C988+2</f>
        <v>40648</v>
      </c>
    </row>
    <row r="989" ht="12.75" customHeight="1">
      <c r="A989" s="4">
        <v>5747.0</v>
      </c>
      <c r="B989" s="4">
        <v>40806.0</v>
      </c>
      <c r="C989" s="5">
        <f>DATE(2012,12,31)-482</f>
        <v>40792</v>
      </c>
      <c r="D989" s="4" t="s">
        <v>78</v>
      </c>
      <c r="E989" s="4">
        <v>8.0</v>
      </c>
      <c r="F989" s="4">
        <v>53.14</v>
      </c>
      <c r="G989" s="4">
        <v>0.0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ht="12.75" customHeight="1">
      <c r="A990" s="4">
        <v>6147.0</v>
      </c>
      <c r="B990" s="4">
        <v>43523.0</v>
      </c>
      <c r="C990" s="5">
        <f>DATE(2012,12,31)-222</f>
        <v>41052</v>
      </c>
      <c r="D990" s="4" t="s">
        <v>63</v>
      </c>
      <c r="E990" s="4">
        <v>50.0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ht="12.75" customHeight="1">
      <c r="A991" s="4">
        <v>6239.0</v>
      </c>
      <c r="B991" s="4">
        <v>44199.0</v>
      </c>
      <c r="C991" s="5">
        <f>DATE(2012,12,31)-302</f>
        <v>40972</v>
      </c>
      <c r="D991" s="4" t="s">
        <v>21</v>
      </c>
      <c r="E991" s="4">
        <v>12.0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2.0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ht="12.75" customHeight="1">
      <c r="A992" s="4">
        <v>6243.0</v>
      </c>
      <c r="B992" s="4">
        <v>44231.0</v>
      </c>
      <c r="C992" s="5">
        <f t="shared" ref="C992:C994" si="434">DATE(2012,12,31)-1154</f>
        <v>40120</v>
      </c>
      <c r="D992" s="4" t="s">
        <v>45</v>
      </c>
      <c r="E992" s="4">
        <v>11.0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160.98</v>
      </c>
      <c r="K992" s="4">
        <v>30.0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5">C992+2</f>
        <v>40122</v>
      </c>
    </row>
    <row r="993" ht="12.75" customHeight="1">
      <c r="A993" s="4">
        <v>6244.0</v>
      </c>
      <c r="B993" s="4">
        <v>44231.0</v>
      </c>
      <c r="C993" s="5">
        <f t="shared" si="434"/>
        <v>40120</v>
      </c>
      <c r="D993" s="4" t="s">
        <v>45</v>
      </c>
      <c r="E993" s="4">
        <v>43.0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4.0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5"/>
        <v>40122</v>
      </c>
    </row>
    <row r="994" ht="12.75" customHeight="1">
      <c r="A994" s="4">
        <v>6245.0</v>
      </c>
      <c r="B994" s="4">
        <v>44231.0</v>
      </c>
      <c r="C994" s="5">
        <f t="shared" si="434"/>
        <v>40120</v>
      </c>
      <c r="D994" s="4" t="s">
        <v>45</v>
      </c>
      <c r="E994" s="4">
        <v>24.0</v>
      </c>
      <c r="F994" s="4">
        <v>2343.076</v>
      </c>
      <c r="G994" s="4">
        <v>0.06</v>
      </c>
      <c r="H994" s="4" t="s">
        <v>22</v>
      </c>
      <c r="I994" s="6">
        <v>311.643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0.58</v>
      </c>
      <c r="U994" s="5">
        <f>C994+1</f>
        <v>40121</v>
      </c>
    </row>
    <row r="995" ht="12.75" customHeight="1">
      <c r="A995" s="4">
        <v>6415.0</v>
      </c>
      <c r="B995" s="4">
        <v>45573.0</v>
      </c>
      <c r="C995" s="5">
        <f>DATE(2012,12,31)-1237</f>
        <v>40037</v>
      </c>
      <c r="D995" s="4" t="s">
        <v>30</v>
      </c>
      <c r="E995" s="4">
        <v>5.0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30.0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ht="12.75" customHeight="1">
      <c r="A996" s="4">
        <v>6438.0</v>
      </c>
      <c r="B996" s="4">
        <v>45763.0</v>
      </c>
      <c r="C996" s="5">
        <f>DATE(2012,12,31)-908</f>
        <v>40366</v>
      </c>
      <c r="D996" s="4" t="s">
        <v>30</v>
      </c>
      <c r="E996" s="4">
        <v>25.0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ht="12.75" customHeight="1">
      <c r="A997" s="4">
        <v>6761.0</v>
      </c>
      <c r="B997" s="4">
        <v>48165.0</v>
      </c>
      <c r="C997" s="5">
        <f>DATE(2012,12,31)-787</f>
        <v>40487</v>
      </c>
      <c r="D997" s="4" t="s">
        <v>30</v>
      </c>
      <c r="E997" s="4">
        <v>28.0</v>
      </c>
      <c r="F997" s="4">
        <v>199.94</v>
      </c>
      <c r="G997" s="4">
        <v>0.01</v>
      </c>
      <c r="H997" s="4" t="s">
        <v>22</v>
      </c>
      <c r="I997" s="6">
        <v>-147.27</v>
      </c>
      <c r="J997" s="4">
        <v>6.48</v>
      </c>
      <c r="K997" s="4">
        <v>9.54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6">C997+2</f>
        <v>40489</v>
      </c>
    </row>
    <row r="998" ht="12.75" customHeight="1">
      <c r="A998" s="4">
        <v>6769.0</v>
      </c>
      <c r="B998" s="4">
        <v>48197.0</v>
      </c>
      <c r="C998" s="5">
        <f>DATE(2012,12,31)-240</f>
        <v>41034</v>
      </c>
      <c r="D998" s="4" t="s">
        <v>45</v>
      </c>
      <c r="E998" s="4">
        <v>32.0</v>
      </c>
      <c r="F998" s="4">
        <v>1282.49</v>
      </c>
      <c r="G998" s="4">
        <v>0.07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0.57</v>
      </c>
      <c r="U998" s="5">
        <f t="shared" si="436"/>
        <v>41036</v>
      </c>
    </row>
    <row r="999" ht="12.75" customHeight="1">
      <c r="A999" s="4">
        <v>6808.0</v>
      </c>
      <c r="B999" s="4">
        <v>48484.0</v>
      </c>
      <c r="C999" s="5">
        <f t="shared" ref="C999:C1002" si="437">DATE(2012,12,31)-922</f>
        <v>40352</v>
      </c>
      <c r="D999" s="4" t="s">
        <v>63</v>
      </c>
      <c r="E999" s="4">
        <v>22.0</v>
      </c>
      <c r="F999" s="4">
        <v>346.42</v>
      </c>
      <c r="G999" s="4">
        <v>0.05</v>
      </c>
      <c r="H999" s="4" t="s">
        <v>22</v>
      </c>
      <c r="I999" s="6">
        <v>67.96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8">C999+1</f>
        <v>40353</v>
      </c>
    </row>
    <row r="1000" ht="12.75" customHeight="1">
      <c r="A1000" s="4">
        <v>6809.0</v>
      </c>
      <c r="B1000" s="4">
        <v>48484.0</v>
      </c>
      <c r="C1000" s="5">
        <f t="shared" si="437"/>
        <v>40352</v>
      </c>
      <c r="D1000" s="4" t="s">
        <v>63</v>
      </c>
      <c r="E1000" s="4">
        <v>41.0</v>
      </c>
      <c r="F1000" s="4">
        <v>773.44</v>
      </c>
      <c r="G1000" s="4">
        <v>0.08</v>
      </c>
      <c r="H1000" s="4" t="s">
        <v>56</v>
      </c>
      <c r="I1000" s="6">
        <v>133.83</v>
      </c>
      <c r="J1000" s="4">
        <v>20.24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8"/>
        <v>40353</v>
      </c>
    </row>
    <row r="1001" ht="12.75" customHeight="1">
      <c r="A1001" s="4">
        <v>6810.0</v>
      </c>
      <c r="B1001" s="4">
        <v>48484.0</v>
      </c>
      <c r="C1001" s="5">
        <f t="shared" si="437"/>
        <v>40352</v>
      </c>
      <c r="D1001" s="4" t="s">
        <v>63</v>
      </c>
      <c r="E1001" s="4">
        <v>43.0</v>
      </c>
      <c r="F1001" s="4">
        <v>881.84</v>
      </c>
      <c r="G1001" s="4">
        <v>0.0</v>
      </c>
      <c r="H1001" s="4" t="s">
        <v>22</v>
      </c>
      <c r="I1001" s="6">
        <v>153.8</v>
      </c>
      <c r="J1001" s="4">
        <v>18.97</v>
      </c>
      <c r="K1001" s="4">
        <v>9.03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9">C1001+2</f>
        <v>40354</v>
      </c>
    </row>
    <row r="1002" ht="12.75" customHeight="1">
      <c r="A1002" s="4">
        <v>6811.0</v>
      </c>
      <c r="B1002" s="4">
        <v>48484.0</v>
      </c>
      <c r="C1002" s="5">
        <f t="shared" si="437"/>
        <v>40352</v>
      </c>
      <c r="D1002" s="4" t="s">
        <v>63</v>
      </c>
      <c r="E1002" s="4">
        <v>50.0</v>
      </c>
      <c r="F1002" s="4">
        <v>5067.5725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</v>
      </c>
      <c r="U1002" s="5">
        <f t="shared" si="439"/>
        <v>40354</v>
      </c>
    </row>
    <row r="1003" ht="12.75" customHeight="1">
      <c r="A1003" s="4">
        <v>6893.0</v>
      </c>
      <c r="B1003" s="4">
        <v>49153.0</v>
      </c>
      <c r="C1003" s="5">
        <f>DATE(2012,12,31)-156</f>
        <v>41118</v>
      </c>
      <c r="D1003" s="4" t="s">
        <v>63</v>
      </c>
      <c r="E1003" s="4">
        <v>31.0</v>
      </c>
      <c r="F1003" s="4">
        <v>2245.78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30.0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40">C1003+0</f>
        <v>41118</v>
      </c>
    </row>
    <row r="1004" ht="12.75" customHeight="1">
      <c r="A1004" s="4">
        <v>6926.0</v>
      </c>
      <c r="B1004" s="4">
        <v>49412.0</v>
      </c>
      <c r="C1004" s="5">
        <f>DATE(2012,12,31)-1395</f>
        <v>39879</v>
      </c>
      <c r="D1004" s="4" t="s">
        <v>78</v>
      </c>
      <c r="E1004" s="4">
        <v>20.0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40"/>
        <v>39879</v>
      </c>
    </row>
    <row r="1005" ht="12.75" customHeight="1">
      <c r="A1005" s="4">
        <v>6958.0</v>
      </c>
      <c r="B1005" s="4">
        <v>49761.0</v>
      </c>
      <c r="C1005" s="5">
        <f>DATE(2012,12,31)-707</f>
        <v>40567</v>
      </c>
      <c r="D1005" s="4" t="s">
        <v>45</v>
      </c>
      <c r="E1005" s="4">
        <v>45.0</v>
      </c>
      <c r="F1005" s="4">
        <v>1090.6</v>
      </c>
      <c r="G1005" s="4">
        <v>0.07</v>
      </c>
      <c r="H1005" s="4" t="s">
        <v>22</v>
      </c>
      <c r="I1005" s="6">
        <v>300.91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ht="12.75" customHeight="1">
      <c r="A1006" s="4">
        <v>7051.0</v>
      </c>
      <c r="B1006" s="4">
        <v>50310.0</v>
      </c>
      <c r="C1006" s="5">
        <f t="shared" ref="C1006:C1008" si="441">DATE(2012,12,31)-1234</f>
        <v>40040</v>
      </c>
      <c r="D1006" s="4" t="s">
        <v>63</v>
      </c>
      <c r="E1006" s="4">
        <v>42.0</v>
      </c>
      <c r="F1006" s="4">
        <v>1811.3</v>
      </c>
      <c r="G1006" s="4">
        <v>0.07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</v>
      </c>
      <c r="U1006" s="5">
        <f>C1006+2</f>
        <v>40042</v>
      </c>
    </row>
    <row r="1007" ht="12.75" customHeight="1">
      <c r="A1007" s="4">
        <v>7052.0</v>
      </c>
      <c r="B1007" s="4">
        <v>50310.0</v>
      </c>
      <c r="C1007" s="5">
        <f t="shared" si="441"/>
        <v>40040</v>
      </c>
      <c r="D1007" s="4" t="s">
        <v>63</v>
      </c>
      <c r="E1007" s="4">
        <v>43.0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42.0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ht="12.75" customHeight="1">
      <c r="A1008" s="4">
        <v>7053.0</v>
      </c>
      <c r="B1008" s="4">
        <v>50310.0</v>
      </c>
      <c r="C1008" s="5">
        <f t="shared" si="441"/>
        <v>40040</v>
      </c>
      <c r="D1008" s="4" t="s">
        <v>63</v>
      </c>
      <c r="E1008" s="4">
        <v>22.0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4.0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2">C1008+2</f>
        <v>40042</v>
      </c>
    </row>
    <row r="1009" ht="12.75" customHeight="1">
      <c r="A1009" s="4">
        <v>7158.0</v>
      </c>
      <c r="B1009" s="4">
        <v>51072.0</v>
      </c>
      <c r="C1009" s="5">
        <f>DATE(2012,12,31)-1186</f>
        <v>40088</v>
      </c>
      <c r="D1009" s="4" t="s">
        <v>78</v>
      </c>
      <c r="E1009" s="4">
        <v>43.0</v>
      </c>
      <c r="F1009" s="4">
        <v>7036.11</v>
      </c>
      <c r="G1009" s="4">
        <v>0.0</v>
      </c>
      <c r="H1009" s="4" t="s">
        <v>22</v>
      </c>
      <c r="I1009" s="6">
        <v>1268.65</v>
      </c>
      <c r="J1009" s="4">
        <v>161.55</v>
      </c>
      <c r="K1009" s="4">
        <v>19.99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2"/>
        <v>40090</v>
      </c>
    </row>
    <row r="1010" ht="12.75" customHeight="1">
      <c r="A1010" s="4">
        <v>7242.0</v>
      </c>
      <c r="B1010" s="4">
        <v>51648.0</v>
      </c>
      <c r="C1010" s="5">
        <f t="shared" ref="C1010:C1011" si="443">DATE(2012,12,31)-365</f>
        <v>40909</v>
      </c>
      <c r="D1010" s="4" t="s">
        <v>21</v>
      </c>
      <c r="E1010" s="4">
        <v>45.0</v>
      </c>
      <c r="F1010" s="4">
        <v>2354.8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19.99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ht="12.75" customHeight="1">
      <c r="A1011" s="4">
        <v>7243.0</v>
      </c>
      <c r="B1011" s="4">
        <v>51648.0</v>
      </c>
      <c r="C1011" s="5">
        <f t="shared" si="443"/>
        <v>40909</v>
      </c>
      <c r="D1011" s="4" t="s">
        <v>21</v>
      </c>
      <c r="E1011" s="4">
        <v>50.0</v>
      </c>
      <c r="F1011" s="4">
        <v>187.88</v>
      </c>
      <c r="G1011" s="4">
        <v>0.08</v>
      </c>
      <c r="H1011" s="4" t="s">
        <v>22</v>
      </c>
      <c r="I1011" s="6">
        <v>-38.23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ht="12.75" customHeight="1">
      <c r="A1012" s="4">
        <v>7298.0</v>
      </c>
      <c r="B1012" s="4">
        <v>52035.0</v>
      </c>
      <c r="C1012" s="5">
        <f>DATE(2012,12,31)-1130</f>
        <v>40144</v>
      </c>
      <c r="D1012" s="4" t="s">
        <v>30</v>
      </c>
      <c r="E1012" s="4">
        <v>29.0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ht="12.75" customHeight="1">
      <c r="A1013" s="4">
        <v>7348.0</v>
      </c>
      <c r="B1013" s="4">
        <v>52326.0</v>
      </c>
      <c r="C1013" s="5">
        <f>DATE(2012,12,31)-880</f>
        <v>40394</v>
      </c>
      <c r="D1013" s="4" t="s">
        <v>21</v>
      </c>
      <c r="E1013" s="4">
        <v>41.0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ht="12.75" customHeight="1">
      <c r="A1014" s="4">
        <v>7400.0</v>
      </c>
      <c r="B1014" s="4">
        <v>52737.0</v>
      </c>
      <c r="C1014" s="5">
        <f>DATE(2012,12,31)-784</f>
        <v>40490</v>
      </c>
      <c r="D1014" s="4" t="s">
        <v>45</v>
      </c>
      <c r="E1014" s="4">
        <v>14.0</v>
      </c>
      <c r="F1014" s="4">
        <v>125.54</v>
      </c>
      <c r="G1014" s="4">
        <v>0.03</v>
      </c>
      <c r="H1014" s="4" t="s">
        <v>56</v>
      </c>
      <c r="I1014" s="6">
        <v>-15.7435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ht="12.75" customHeight="1">
      <c r="A1015" s="4">
        <v>7458.0</v>
      </c>
      <c r="B1015" s="4">
        <v>53216.0</v>
      </c>
      <c r="C1015" s="5">
        <f>DATE(2012,12,31)-27</f>
        <v>41247</v>
      </c>
      <c r="D1015" s="4" t="s">
        <v>30</v>
      </c>
      <c r="E1015" s="4">
        <v>36.0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ht="12.75" customHeight="1">
      <c r="A1016" s="4">
        <v>7558.0</v>
      </c>
      <c r="B1016" s="4">
        <v>54081.0</v>
      </c>
      <c r="C1016" s="5">
        <f>DATE(2012,12,31)-662</f>
        <v>40612</v>
      </c>
      <c r="D1016" s="4" t="s">
        <v>21</v>
      </c>
      <c r="E1016" s="4">
        <v>2.0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ht="12.75" customHeight="1">
      <c r="A1017" s="4">
        <v>7624.0</v>
      </c>
      <c r="B1017" s="4">
        <v>54560.0</v>
      </c>
      <c r="C1017" s="5">
        <f t="shared" ref="C1017:C1018" si="444">DATE(2012,12,31)-1264</f>
        <v>40010</v>
      </c>
      <c r="D1017" s="4" t="s">
        <v>78</v>
      </c>
      <c r="E1017" s="4">
        <v>22.0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ht="12.75" customHeight="1">
      <c r="A1018" s="4">
        <v>7625.0</v>
      </c>
      <c r="B1018" s="4">
        <v>54560.0</v>
      </c>
      <c r="C1018" s="5">
        <f t="shared" si="444"/>
        <v>40010</v>
      </c>
      <c r="D1018" s="4" t="s">
        <v>78</v>
      </c>
      <c r="E1018" s="4">
        <v>45.0</v>
      </c>
      <c r="F1018" s="4">
        <v>2404.599</v>
      </c>
      <c r="G1018" s="4">
        <v>0.08</v>
      </c>
      <c r="H1018" s="4" t="s">
        <v>56</v>
      </c>
      <c r="I1018" s="6">
        <v>496.89</v>
      </c>
      <c r="J1018" s="4">
        <v>65.99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0.58</v>
      </c>
      <c r="U1018" s="5">
        <f>C1018+2</f>
        <v>40012</v>
      </c>
    </row>
    <row r="1019" ht="12.75" customHeight="1">
      <c r="A1019" s="4">
        <v>7662.0</v>
      </c>
      <c r="B1019" s="4">
        <v>54947.0</v>
      </c>
      <c r="C1019" s="5">
        <f t="shared" ref="C1019:C1020" si="445">DATE(2012,12,31)-1408</f>
        <v>39866</v>
      </c>
      <c r="D1019" s="4" t="s">
        <v>45</v>
      </c>
      <c r="E1019" s="4">
        <v>27.0</v>
      </c>
      <c r="F1019" s="4">
        <v>132.36</v>
      </c>
      <c r="G1019" s="4">
        <v>0.05</v>
      </c>
      <c r="H1019" s="4" t="s">
        <v>22</v>
      </c>
      <c r="I1019" s="6">
        <v>-98.35</v>
      </c>
      <c r="J1019" s="4">
        <v>4.98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ht="12.75" customHeight="1">
      <c r="A1020" s="4">
        <v>7663.0</v>
      </c>
      <c r="B1020" s="4">
        <v>54947.0</v>
      </c>
      <c r="C1020" s="5">
        <f t="shared" si="445"/>
        <v>39866</v>
      </c>
      <c r="D1020" s="4" t="s">
        <v>45</v>
      </c>
      <c r="E1020" s="4">
        <v>42.0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34.23</v>
      </c>
      <c r="K1020" s="4">
        <v>5.02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</v>
      </c>
      <c r="U1020" s="5">
        <f t="shared" ref="U1020:U1021" si="446">C1020+2</f>
        <v>39868</v>
      </c>
    </row>
    <row r="1021" ht="12.75" customHeight="1">
      <c r="A1021" s="4">
        <v>7694.0</v>
      </c>
      <c r="B1021" s="4">
        <v>55170.0</v>
      </c>
      <c r="C1021" s="5">
        <f>DATE(2012,12,31)-101</f>
        <v>41173</v>
      </c>
      <c r="D1021" s="4" t="s">
        <v>78</v>
      </c>
      <c r="E1021" s="4">
        <v>22.0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0.58</v>
      </c>
      <c r="U1021" s="5">
        <f t="shared" si="446"/>
        <v>41175</v>
      </c>
    </row>
    <row r="1022" ht="12.75" customHeight="1">
      <c r="A1022" s="4">
        <v>7796.0</v>
      </c>
      <c r="B1022" s="4">
        <v>55777.0</v>
      </c>
      <c r="C1022" s="5">
        <f t="shared" ref="C1022:C1023" si="447">DATE(2012,12,31)-51</f>
        <v>41223</v>
      </c>
      <c r="D1022" s="4" t="s">
        <v>45</v>
      </c>
      <c r="E1022" s="4">
        <v>6.0</v>
      </c>
      <c r="F1022" s="4">
        <v>323.53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19.99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</v>
      </c>
      <c r="U1022" s="5">
        <f>C1022+1</f>
        <v>41224</v>
      </c>
    </row>
    <row r="1023" ht="12.75" customHeight="1">
      <c r="A1023" s="4">
        <v>7797.0</v>
      </c>
      <c r="B1023" s="4">
        <v>55777.0</v>
      </c>
      <c r="C1023" s="5">
        <f t="shared" si="447"/>
        <v>41223</v>
      </c>
      <c r="D1023" s="4" t="s">
        <v>45</v>
      </c>
      <c r="E1023" s="4">
        <v>1.0</v>
      </c>
      <c r="F1023" s="4">
        <v>65.7475</v>
      </c>
      <c r="G1023" s="4">
        <v>0.1</v>
      </c>
      <c r="H1023" s="4" t="s">
        <v>56</v>
      </c>
      <c r="I1023" s="6">
        <v>-252.483</v>
      </c>
      <c r="J1023" s="4">
        <v>65.99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ht="12.75" customHeight="1">
      <c r="A1024" s="4">
        <v>7830.0</v>
      </c>
      <c r="B1024" s="4">
        <v>56001.0</v>
      </c>
      <c r="C1024" s="5">
        <f>DATE(2012,12,31)-994</f>
        <v>40280</v>
      </c>
      <c r="D1024" s="4" t="s">
        <v>21</v>
      </c>
      <c r="E1024" s="4">
        <v>17.0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ht="12.75" customHeight="1">
      <c r="A1025" s="4">
        <v>7921.0</v>
      </c>
      <c r="B1025" s="4">
        <v>56640.0</v>
      </c>
      <c r="C1025" s="5">
        <f t="shared" ref="C1025:C1026" si="448">DATE(2012,12,31)-494</f>
        <v>40780</v>
      </c>
      <c r="D1025" s="4" t="s">
        <v>30</v>
      </c>
      <c r="E1025" s="4">
        <v>2.0</v>
      </c>
      <c r="F1025" s="4">
        <v>29.31</v>
      </c>
      <c r="G1025" s="4">
        <v>0.0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9">C1025+1</f>
        <v>40781</v>
      </c>
    </row>
    <row r="1026" ht="12.75" customHeight="1">
      <c r="A1026" s="4">
        <v>7922.0</v>
      </c>
      <c r="B1026" s="4">
        <v>56640.0</v>
      </c>
      <c r="C1026" s="5">
        <f t="shared" si="448"/>
        <v>40780</v>
      </c>
      <c r="D1026" s="4" t="s">
        <v>30</v>
      </c>
      <c r="E1026" s="4">
        <v>11.0</v>
      </c>
      <c r="F1026" s="4">
        <v>80.26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9"/>
        <v>40781</v>
      </c>
    </row>
    <row r="1027" ht="12.75" customHeight="1">
      <c r="A1027" s="4">
        <v>8313.0</v>
      </c>
      <c r="B1027" s="4">
        <v>59393.0</v>
      </c>
      <c r="C1027" s="5">
        <f>DATE(2012,12,31)-772</f>
        <v>40502</v>
      </c>
      <c r="D1027" s="4" t="s">
        <v>63</v>
      </c>
      <c r="E1027" s="4">
        <v>34.0</v>
      </c>
      <c r="F1027" s="4">
        <v>398.76</v>
      </c>
      <c r="G1027" s="4">
        <v>0.07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9"/>
        <v>40503</v>
      </c>
    </row>
    <row r="1028" ht="12.75" customHeight="1">
      <c r="A1028" s="4">
        <v>8357.0</v>
      </c>
      <c r="B1028" s="4">
        <v>59712.0</v>
      </c>
      <c r="C1028" s="5">
        <f>DATE(2012,12,31)-930</f>
        <v>40344</v>
      </c>
      <c r="D1028" s="4" t="s">
        <v>78</v>
      </c>
      <c r="E1028" s="4">
        <v>25.0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50">C1028+2</f>
        <v>40346</v>
      </c>
    </row>
    <row r="1029" ht="12.75" customHeight="1">
      <c r="A1029" s="4">
        <v>8382.0</v>
      </c>
      <c r="B1029" s="4">
        <v>59905.0</v>
      </c>
      <c r="C1029" s="5">
        <f t="shared" ref="C1029:C1031" si="451">DATE(2012,12,31)-261</f>
        <v>41013</v>
      </c>
      <c r="D1029" s="4" t="s">
        <v>30</v>
      </c>
      <c r="E1029" s="4">
        <v>19.0</v>
      </c>
      <c r="F1029" s="4">
        <v>159.24</v>
      </c>
      <c r="G1029" s="4">
        <v>0.09</v>
      </c>
      <c r="H1029" s="4" t="s">
        <v>22</v>
      </c>
      <c r="I1029" s="6">
        <v>8.3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50"/>
        <v>41015</v>
      </c>
    </row>
    <row r="1030" ht="12.75" customHeight="1">
      <c r="A1030" s="4">
        <v>8383.0</v>
      </c>
      <c r="B1030" s="4">
        <v>59905.0</v>
      </c>
      <c r="C1030" s="5">
        <f t="shared" si="451"/>
        <v>41013</v>
      </c>
      <c r="D1030" s="4" t="s">
        <v>30</v>
      </c>
      <c r="E1030" s="4">
        <v>6.0</v>
      </c>
      <c r="F1030" s="4">
        <v>48.77</v>
      </c>
      <c r="G1030" s="4">
        <v>0.0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50"/>
        <v>41015</v>
      </c>
    </row>
    <row r="1031" ht="12.75" customHeight="1">
      <c r="A1031" s="4">
        <v>8384.0</v>
      </c>
      <c r="B1031" s="4">
        <v>59905.0</v>
      </c>
      <c r="C1031" s="5">
        <f t="shared" si="451"/>
        <v>41013</v>
      </c>
      <c r="D1031" s="4" t="s">
        <v>30</v>
      </c>
      <c r="E1031" s="4">
        <v>5.0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ht="12.75" customHeight="1">
      <c r="A1032" s="4">
        <v>52.0</v>
      </c>
      <c r="B1032" s="4">
        <v>322.0</v>
      </c>
      <c r="C1032" s="5">
        <f t="shared" ref="C1032:C1033" si="452">DATE(2012,12,31)-288</f>
        <v>40986</v>
      </c>
      <c r="D1032" s="4" t="s">
        <v>78</v>
      </c>
      <c r="E1032" s="4">
        <v>20.0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3">C1032+2</f>
        <v>40988</v>
      </c>
    </row>
    <row r="1033" ht="12.75" customHeight="1">
      <c r="A1033" s="4">
        <v>53.0</v>
      </c>
      <c r="B1033" s="4">
        <v>322.0</v>
      </c>
      <c r="C1033" s="5">
        <f t="shared" si="452"/>
        <v>40986</v>
      </c>
      <c r="D1033" s="4" t="s">
        <v>78</v>
      </c>
      <c r="E1033" s="4">
        <v>46.0</v>
      </c>
      <c r="F1033" s="4">
        <v>281.0</v>
      </c>
      <c r="G1033" s="4">
        <v>0.1</v>
      </c>
      <c r="H1033" s="4" t="s">
        <v>22</v>
      </c>
      <c r="I1033" s="6">
        <v>-291.59</v>
      </c>
      <c r="J1033" s="4">
        <v>6.48</v>
      </c>
      <c r="K1033" s="4">
        <v>10.05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3"/>
        <v>40988</v>
      </c>
    </row>
    <row r="1034" ht="12.75" customHeight="1">
      <c r="A1034" s="4">
        <v>151.0</v>
      </c>
      <c r="B1034" s="4">
        <v>962.0</v>
      </c>
      <c r="C1034" s="5">
        <f t="shared" ref="C1034:C1035" si="454">DATE(2012,12,31)-1336</f>
        <v>39938</v>
      </c>
      <c r="D1034" s="4" t="s">
        <v>21</v>
      </c>
      <c r="E1034" s="4">
        <v>33.0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19.99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3"/>
        <v>39940</v>
      </c>
    </row>
    <row r="1035" ht="12.75" customHeight="1">
      <c r="A1035" s="4">
        <v>152.0</v>
      </c>
      <c r="B1035" s="4">
        <v>962.0</v>
      </c>
      <c r="C1035" s="5">
        <f t="shared" si="454"/>
        <v>39938</v>
      </c>
      <c r="D1035" s="4" t="s">
        <v>21</v>
      </c>
      <c r="E1035" s="4">
        <v>47.0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60.0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3"/>
        <v>39940</v>
      </c>
    </row>
    <row r="1036" ht="12.75" customHeight="1">
      <c r="A1036" s="4">
        <v>185.0</v>
      </c>
      <c r="B1036" s="4">
        <v>1221.0</v>
      </c>
      <c r="C1036" s="5">
        <f t="shared" ref="C1036:C1038" si="455">DATE(2012,12,31)-257</f>
        <v>41017</v>
      </c>
      <c r="D1036" s="4" t="s">
        <v>45</v>
      </c>
      <c r="E1036" s="4">
        <v>1.0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ht="12.75" customHeight="1">
      <c r="A1037" s="4">
        <v>186.0</v>
      </c>
      <c r="B1037" s="4">
        <v>1221.0</v>
      </c>
      <c r="C1037" s="5">
        <f t="shared" si="455"/>
        <v>41017</v>
      </c>
      <c r="D1037" s="4" t="s">
        <v>45</v>
      </c>
      <c r="E1037" s="4">
        <v>11.0</v>
      </c>
      <c r="F1037" s="4">
        <v>10145.14</v>
      </c>
      <c r="G1037" s="4">
        <v>0.03</v>
      </c>
      <c r="H1037" s="4" t="s">
        <v>22</v>
      </c>
      <c r="I1037" s="6">
        <v>3724.5725</v>
      </c>
      <c r="J1037" s="4">
        <v>896.99</v>
      </c>
      <c r="K1037" s="4">
        <v>19.99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6">C1037+2</f>
        <v>41019</v>
      </c>
    </row>
    <row r="1038" ht="12.75" customHeight="1">
      <c r="A1038" s="4">
        <v>187.0</v>
      </c>
      <c r="B1038" s="4">
        <v>1221.0</v>
      </c>
      <c r="C1038" s="5">
        <f t="shared" si="455"/>
        <v>41017</v>
      </c>
      <c r="D1038" s="4" t="s">
        <v>45</v>
      </c>
      <c r="E1038" s="4">
        <v>16.0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6"/>
        <v>41019</v>
      </c>
    </row>
    <row r="1039" ht="12.75" customHeight="1">
      <c r="A1039" s="4">
        <v>222.0</v>
      </c>
      <c r="B1039" s="4">
        <v>1445.0</v>
      </c>
      <c r="C1039" s="5">
        <f t="shared" ref="C1039:C1040" si="457">DATE(2012,12,31)-722</f>
        <v>40552</v>
      </c>
      <c r="D1039" s="4" t="s">
        <v>63</v>
      </c>
      <c r="E1039" s="4">
        <v>3.0</v>
      </c>
      <c r="F1039" s="4">
        <v>1326.09</v>
      </c>
      <c r="G1039" s="4">
        <v>0.0</v>
      </c>
      <c r="H1039" s="4" t="s">
        <v>22</v>
      </c>
      <c r="I1039" s="6">
        <v>-20.5505</v>
      </c>
      <c r="J1039" s="4">
        <v>420.98</v>
      </c>
      <c r="K1039" s="4">
        <v>19.99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ht="12.75" customHeight="1">
      <c r="A1040" s="4">
        <v>223.0</v>
      </c>
      <c r="B1040" s="4">
        <v>1445.0</v>
      </c>
      <c r="C1040" s="5">
        <f t="shared" si="457"/>
        <v>40552</v>
      </c>
      <c r="D1040" s="4" t="s">
        <v>63</v>
      </c>
      <c r="E1040" s="4">
        <v>30.0</v>
      </c>
      <c r="F1040" s="4">
        <v>339.49</v>
      </c>
      <c r="G1040" s="4">
        <v>0.08</v>
      </c>
      <c r="H1040" s="4" t="s">
        <v>22</v>
      </c>
      <c r="I1040" s="6">
        <v>-74.21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8">C1040+2</f>
        <v>40554</v>
      </c>
    </row>
    <row r="1041" ht="12.75" customHeight="1">
      <c r="A1041" s="4">
        <v>259.0</v>
      </c>
      <c r="B1041" s="4">
        <v>1799.0</v>
      </c>
      <c r="C1041" s="5">
        <f t="shared" ref="C1041:C1042" si="459">DATE(2012,12,31)-1396</f>
        <v>39878</v>
      </c>
      <c r="D1041" s="4" t="s">
        <v>45</v>
      </c>
      <c r="E1041" s="4">
        <v>10.0</v>
      </c>
      <c r="F1041" s="4">
        <v>1187.12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30.0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8"/>
        <v>39880</v>
      </c>
    </row>
    <row r="1042" ht="12.75" customHeight="1">
      <c r="A1042" s="4">
        <v>260.0</v>
      </c>
      <c r="B1042" s="4">
        <v>1799.0</v>
      </c>
      <c r="C1042" s="5">
        <f t="shared" si="459"/>
        <v>39878</v>
      </c>
      <c r="D1042" s="4" t="s">
        <v>45</v>
      </c>
      <c r="E1042" s="4">
        <v>16.0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8"/>
        <v>39880</v>
      </c>
    </row>
    <row r="1043" ht="12.75" customHeight="1">
      <c r="A1043" s="4">
        <v>393.0</v>
      </c>
      <c r="B1043" s="4">
        <v>2720.0</v>
      </c>
      <c r="C1043" s="5">
        <f>DATE(2012,12,31)-938</f>
        <v>40336</v>
      </c>
      <c r="D1043" s="4" t="s">
        <v>78</v>
      </c>
      <c r="E1043" s="4">
        <v>36.0</v>
      </c>
      <c r="F1043" s="4">
        <v>2051.016</v>
      </c>
      <c r="G1043" s="4">
        <v>0.02</v>
      </c>
      <c r="H1043" s="4" t="s">
        <v>56</v>
      </c>
      <c r="I1043" s="6">
        <v>483.966</v>
      </c>
      <c r="J1043" s="4">
        <v>65.99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ht="12.75" customHeight="1">
      <c r="A1044" s="4">
        <v>548.0</v>
      </c>
      <c r="B1044" s="4">
        <v>3685.0</v>
      </c>
      <c r="C1044" s="5">
        <f>DATE(2012,12,31)-350</f>
        <v>40924</v>
      </c>
      <c r="D1044" s="4" t="s">
        <v>63</v>
      </c>
      <c r="E1044" s="4">
        <v>29.0</v>
      </c>
      <c r="F1044" s="4">
        <v>106.78</v>
      </c>
      <c r="G1044" s="4">
        <v>0.0</v>
      </c>
      <c r="H1044" s="4" t="s">
        <v>22</v>
      </c>
      <c r="I1044" s="6">
        <v>-98.05</v>
      </c>
      <c r="J1044" s="4">
        <v>3.28</v>
      </c>
      <c r="K1044" s="4">
        <v>5.0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</v>
      </c>
      <c r="U1044" s="5">
        <f>C1044+1</f>
        <v>40925</v>
      </c>
    </row>
    <row r="1045" ht="12.75" customHeight="1">
      <c r="A1045" s="4">
        <v>549.0</v>
      </c>
      <c r="B1045" s="4">
        <v>3687.0</v>
      </c>
      <c r="C1045" s="5">
        <f>DATE(2012,12,31)-1063</f>
        <v>40211</v>
      </c>
      <c r="D1045" s="4" t="s">
        <v>78</v>
      </c>
      <c r="E1045" s="4">
        <v>25.0</v>
      </c>
      <c r="F1045" s="4">
        <v>79.37</v>
      </c>
      <c r="G1045" s="4">
        <v>0.07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60">C1045+0</f>
        <v>40211</v>
      </c>
    </row>
    <row r="1046" ht="12.75" customHeight="1">
      <c r="A1046" s="4">
        <v>574.0</v>
      </c>
      <c r="B1046" s="4">
        <v>3907.0</v>
      </c>
      <c r="C1046" s="5">
        <f>DATE(2012,12,31)-135</f>
        <v>41139</v>
      </c>
      <c r="D1046" s="4" t="s">
        <v>63</v>
      </c>
      <c r="E1046" s="4">
        <v>36.0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</v>
      </c>
      <c r="K1046" s="4">
        <v>49.0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60"/>
        <v>41139</v>
      </c>
    </row>
    <row r="1047" ht="12.75" customHeight="1">
      <c r="A1047" s="4">
        <v>594.0</v>
      </c>
      <c r="B1047" s="4">
        <v>4067.0</v>
      </c>
      <c r="C1047" s="5">
        <f>DATE(2012,12,31)-86</f>
        <v>41188</v>
      </c>
      <c r="D1047" s="4" t="s">
        <v>30</v>
      </c>
      <c r="E1047" s="4">
        <v>16.0</v>
      </c>
      <c r="F1047" s="4">
        <v>118.38</v>
      </c>
      <c r="G1047" s="4">
        <v>0.04</v>
      </c>
      <c r="H1047" s="4" t="s">
        <v>22</v>
      </c>
      <c r="I1047" s="6">
        <v>-42.458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1">C1047+2</f>
        <v>41190</v>
      </c>
    </row>
    <row r="1048" ht="12.75" customHeight="1">
      <c r="A1048" s="4">
        <v>617.0</v>
      </c>
      <c r="B1048" s="4">
        <v>4257.0</v>
      </c>
      <c r="C1048" s="5">
        <f>DATE(2012,12,31)-648</f>
        <v>40626</v>
      </c>
      <c r="D1048" s="4" t="s">
        <v>63</v>
      </c>
      <c r="E1048" s="4">
        <v>45.0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1"/>
        <v>40628</v>
      </c>
    </row>
    <row r="1049" ht="12.75" customHeight="1">
      <c r="A1049" s="4">
        <v>618.0</v>
      </c>
      <c r="B1049" s="4">
        <v>4261.0</v>
      </c>
      <c r="C1049" s="5">
        <f t="shared" ref="C1049:C1052" si="462">DATE(2012,12,31)-90</f>
        <v>41184</v>
      </c>
      <c r="D1049" s="4" t="s">
        <v>78</v>
      </c>
      <c r="E1049" s="4">
        <v>22.0</v>
      </c>
      <c r="F1049" s="4">
        <v>1556.87</v>
      </c>
      <c r="G1049" s="4">
        <v>0.04</v>
      </c>
      <c r="H1049" s="4" t="s">
        <v>31</v>
      </c>
      <c r="I1049" s="6">
        <v>-521.42</v>
      </c>
      <c r="J1049" s="4">
        <v>68.81</v>
      </c>
      <c r="K1049" s="4">
        <v>60.0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ht="12.75" customHeight="1">
      <c r="A1050" s="4">
        <v>619.0</v>
      </c>
      <c r="B1050" s="4">
        <v>4261.0</v>
      </c>
      <c r="C1050" s="5">
        <f t="shared" si="462"/>
        <v>41184</v>
      </c>
      <c r="D1050" s="4" t="s">
        <v>78</v>
      </c>
      <c r="E1050" s="4">
        <v>33.0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3">C1050+2</f>
        <v>41186</v>
      </c>
    </row>
    <row r="1051" ht="12.75" customHeight="1">
      <c r="A1051" s="4">
        <v>620.0</v>
      </c>
      <c r="B1051" s="4">
        <v>4261.0</v>
      </c>
      <c r="C1051" s="5">
        <f t="shared" si="462"/>
        <v>41184</v>
      </c>
      <c r="D1051" s="4" t="s">
        <v>78</v>
      </c>
      <c r="E1051" s="4">
        <v>32.0</v>
      </c>
      <c r="F1051" s="4">
        <v>9235.97</v>
      </c>
      <c r="G1051" s="4">
        <v>0.04</v>
      </c>
      <c r="H1051" s="4" t="s">
        <v>22</v>
      </c>
      <c r="I1051" s="6">
        <v>2848.17</v>
      </c>
      <c r="J1051" s="4">
        <v>300.65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3"/>
        <v>41186</v>
      </c>
    </row>
    <row r="1052" ht="12.75" customHeight="1">
      <c r="A1052" s="4">
        <v>621.0</v>
      </c>
      <c r="B1052" s="4">
        <v>4261.0</v>
      </c>
      <c r="C1052" s="5">
        <f t="shared" si="462"/>
        <v>41184</v>
      </c>
      <c r="D1052" s="4" t="s">
        <v>78</v>
      </c>
      <c r="E1052" s="4">
        <v>48.0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3"/>
        <v>41186</v>
      </c>
    </row>
    <row r="1053" ht="12.75" customHeight="1">
      <c r="A1053" s="4">
        <v>622.0</v>
      </c>
      <c r="B1053" s="4">
        <v>4294.0</v>
      </c>
      <c r="C1053" s="5">
        <f>DATE(2012,12,31)-139</f>
        <v>41135</v>
      </c>
      <c r="D1053" s="4" t="s">
        <v>63</v>
      </c>
      <c r="E1053" s="4">
        <v>8.0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3"/>
        <v>41137</v>
      </c>
    </row>
    <row r="1054" ht="12.75" customHeight="1">
      <c r="A1054" s="4">
        <v>657.0</v>
      </c>
      <c r="B1054" s="4">
        <v>4642.0</v>
      </c>
      <c r="C1054" s="5">
        <f t="shared" ref="C1054:C1055" si="464">DATE(2012,12,31)-674</f>
        <v>40600</v>
      </c>
      <c r="D1054" s="4" t="s">
        <v>78</v>
      </c>
      <c r="E1054" s="4">
        <v>9.0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ht="12.75" customHeight="1">
      <c r="A1055" s="4">
        <v>658.0</v>
      </c>
      <c r="B1055" s="4">
        <v>4642.0</v>
      </c>
      <c r="C1055" s="5">
        <f t="shared" si="464"/>
        <v>40600</v>
      </c>
      <c r="D1055" s="4" t="s">
        <v>78</v>
      </c>
      <c r="E1055" s="4">
        <v>21.0</v>
      </c>
      <c r="F1055" s="4">
        <v>309.62</v>
      </c>
      <c r="G1055" s="4">
        <v>0.0</v>
      </c>
      <c r="H1055" s="4" t="s">
        <v>56</v>
      </c>
      <c r="I1055" s="6">
        <v>-80.2</v>
      </c>
      <c r="J1055" s="4">
        <v>14.03</v>
      </c>
      <c r="K1055" s="4">
        <v>9.37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</v>
      </c>
      <c r="U1055" s="5">
        <f>C1055+0</f>
        <v>40600</v>
      </c>
    </row>
    <row r="1056" ht="12.75" customHeight="1">
      <c r="A1056" s="4">
        <v>695.0</v>
      </c>
      <c r="B1056" s="4">
        <v>4864.0</v>
      </c>
      <c r="C1056" s="5">
        <f>DATE(2012,12,31)-51</f>
        <v>41223</v>
      </c>
      <c r="D1056" s="4" t="s">
        <v>21</v>
      </c>
      <c r="E1056" s="4">
        <v>16.0</v>
      </c>
      <c r="F1056" s="4">
        <v>4901.99</v>
      </c>
      <c r="G1056" s="4">
        <v>0.04</v>
      </c>
      <c r="H1056" s="4" t="s">
        <v>22</v>
      </c>
      <c r="I1056" s="6">
        <v>1724.6755</v>
      </c>
      <c r="J1056" s="4">
        <v>315.98</v>
      </c>
      <c r="K1056" s="4">
        <v>19.99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ht="12.75" customHeight="1">
      <c r="A1057" s="4">
        <v>710.0</v>
      </c>
      <c r="B1057" s="4">
        <v>4996.0</v>
      </c>
      <c r="C1057" s="5">
        <f>DATE(2012,12,31)-109</f>
        <v>41165</v>
      </c>
      <c r="D1057" s="4" t="s">
        <v>63</v>
      </c>
      <c r="E1057" s="4">
        <v>30.0</v>
      </c>
      <c r="F1057" s="4">
        <v>4305.79</v>
      </c>
      <c r="G1057" s="4">
        <v>0.0</v>
      </c>
      <c r="H1057" s="4" t="s">
        <v>22</v>
      </c>
      <c r="I1057" s="6">
        <v>1020.32</v>
      </c>
      <c r="J1057" s="4">
        <v>142.86</v>
      </c>
      <c r="K1057" s="4">
        <v>19.99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</v>
      </c>
      <c r="U1057" s="5">
        <f t="shared" ref="U1057:U1059" si="465">C1057+1</f>
        <v>41166</v>
      </c>
    </row>
    <row r="1058" ht="12.75" customHeight="1">
      <c r="A1058" s="4">
        <v>718.0</v>
      </c>
      <c r="B1058" s="4">
        <v>5121.0</v>
      </c>
      <c r="C1058" s="5">
        <f>DATE(2012,12,31)-235</f>
        <v>41039</v>
      </c>
      <c r="D1058" s="4" t="s">
        <v>45</v>
      </c>
      <c r="E1058" s="4">
        <v>45.0</v>
      </c>
      <c r="F1058" s="4">
        <v>1991.7029999999997</v>
      </c>
      <c r="G1058" s="4">
        <v>0.07</v>
      </c>
      <c r="H1058" s="4" t="s">
        <v>22</v>
      </c>
      <c r="I1058" s="6">
        <v>559.107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</v>
      </c>
      <c r="U1058" s="5">
        <f t="shared" si="465"/>
        <v>41040</v>
      </c>
    </row>
    <row r="1059" ht="12.75" customHeight="1">
      <c r="A1059" s="4">
        <v>741.0</v>
      </c>
      <c r="B1059" s="4">
        <v>5346.0</v>
      </c>
      <c r="C1059" s="5">
        <f t="shared" ref="C1059:C1061" si="466">DATE(2012,12,31)-737</f>
        <v>40537</v>
      </c>
      <c r="D1059" s="4" t="s">
        <v>78</v>
      </c>
      <c r="E1059" s="4">
        <v>34.0</v>
      </c>
      <c r="F1059" s="4">
        <v>2932.99</v>
      </c>
      <c r="G1059" s="4">
        <v>0.07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5"/>
        <v>40538</v>
      </c>
    </row>
    <row r="1060" ht="12.75" customHeight="1">
      <c r="A1060" s="4">
        <v>742.0</v>
      </c>
      <c r="B1060" s="4">
        <v>5346.0</v>
      </c>
      <c r="C1060" s="5">
        <f t="shared" si="466"/>
        <v>40537</v>
      </c>
      <c r="D1060" s="4" t="s">
        <v>78</v>
      </c>
      <c r="E1060" s="4">
        <v>45.0</v>
      </c>
      <c r="F1060" s="4">
        <v>9194.8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7">C1060+2</f>
        <v>40539</v>
      </c>
    </row>
    <row r="1061" ht="12.75" customHeight="1">
      <c r="A1061" s="4">
        <v>743.0</v>
      </c>
      <c r="B1061" s="4">
        <v>5346.0</v>
      </c>
      <c r="C1061" s="5">
        <f t="shared" si="466"/>
        <v>40537</v>
      </c>
      <c r="D1061" s="4" t="s">
        <v>78</v>
      </c>
      <c r="E1061" s="4">
        <v>17.0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140.98</v>
      </c>
      <c r="K1061" s="4">
        <v>36.09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7"/>
        <v>40539</v>
      </c>
    </row>
    <row r="1062" ht="12.75" customHeight="1">
      <c r="A1062" s="4">
        <v>766.0</v>
      </c>
      <c r="B1062" s="4">
        <v>5473.0</v>
      </c>
      <c r="C1062" s="5">
        <f>DATE(2012,12,31)-282</f>
        <v>40992</v>
      </c>
      <c r="D1062" s="4" t="s">
        <v>45</v>
      </c>
      <c r="E1062" s="4">
        <v>42.0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8.29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7"/>
        <v>40994</v>
      </c>
    </row>
    <row r="1063" ht="12.75" customHeight="1">
      <c r="A1063" s="4">
        <v>795.0</v>
      </c>
      <c r="B1063" s="4">
        <v>5698.0</v>
      </c>
      <c r="C1063" s="5">
        <f t="shared" ref="C1063:C1064" si="468">DATE(2012,12,31)-1321</f>
        <v>39953</v>
      </c>
      <c r="D1063" s="4" t="s">
        <v>63</v>
      </c>
      <c r="E1063" s="4">
        <v>15.0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0.58</v>
      </c>
      <c r="U1063" s="5">
        <f t="shared" ref="U1063:U1064" si="469">C1063+1</f>
        <v>39954</v>
      </c>
    </row>
    <row r="1064" ht="12.75" customHeight="1">
      <c r="A1064" s="4">
        <v>796.0</v>
      </c>
      <c r="B1064" s="4">
        <v>5698.0</v>
      </c>
      <c r="C1064" s="5">
        <f t="shared" si="468"/>
        <v>39953</v>
      </c>
      <c r="D1064" s="4" t="s">
        <v>63</v>
      </c>
      <c r="E1064" s="4">
        <v>7.0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9"/>
        <v>39954</v>
      </c>
    </row>
    <row r="1065" ht="12.75" customHeight="1">
      <c r="A1065" s="4">
        <v>855.0</v>
      </c>
      <c r="B1065" s="4">
        <v>6144.0</v>
      </c>
      <c r="C1065" s="5">
        <f t="shared" ref="C1065:C1066" si="470">DATE(2012,12,31)-1289</f>
        <v>39985</v>
      </c>
      <c r="D1065" s="4" t="s">
        <v>78</v>
      </c>
      <c r="E1065" s="4">
        <v>24.0</v>
      </c>
      <c r="F1065" s="4">
        <v>67.35</v>
      </c>
      <c r="G1065" s="4">
        <v>0.07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ht="12.75" customHeight="1">
      <c r="A1066" s="4">
        <v>856.0</v>
      </c>
      <c r="B1066" s="4">
        <v>6144.0</v>
      </c>
      <c r="C1066" s="5">
        <f t="shared" si="470"/>
        <v>39985</v>
      </c>
      <c r="D1066" s="4" t="s">
        <v>78</v>
      </c>
      <c r="E1066" s="4">
        <v>4.0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1">C1066+1</f>
        <v>39986</v>
      </c>
    </row>
    <row r="1067" ht="12.75" customHeight="1">
      <c r="A1067" s="4">
        <v>888.0</v>
      </c>
      <c r="B1067" s="4">
        <v>6374.0</v>
      </c>
      <c r="C1067" s="5">
        <f t="shared" ref="C1067:C1068" si="472">DATE(2012,12,31)-512</f>
        <v>40762</v>
      </c>
      <c r="D1067" s="4" t="s">
        <v>78</v>
      </c>
      <c r="E1067" s="4">
        <v>29.0</v>
      </c>
      <c r="F1067" s="4">
        <v>857.42</v>
      </c>
      <c r="G1067" s="4">
        <v>0.07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1"/>
        <v>40763</v>
      </c>
    </row>
    <row r="1068" ht="12.75" customHeight="1">
      <c r="A1068" s="4">
        <v>889.0</v>
      </c>
      <c r="B1068" s="4">
        <v>6374.0</v>
      </c>
      <c r="C1068" s="5">
        <f t="shared" si="472"/>
        <v>40762</v>
      </c>
      <c r="D1068" s="4" t="s">
        <v>78</v>
      </c>
      <c r="E1068" s="4">
        <v>1.0</v>
      </c>
      <c r="F1068" s="4">
        <v>2.24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3">C1068+2</f>
        <v>40764</v>
      </c>
    </row>
    <row r="1069" ht="12.75" customHeight="1">
      <c r="A1069" s="4">
        <v>992.0</v>
      </c>
      <c r="B1069" s="4">
        <v>7169.0</v>
      </c>
      <c r="C1069" s="5">
        <f t="shared" ref="C1069:C1070" si="474">DATE(2012,12,31)-1011</f>
        <v>40263</v>
      </c>
      <c r="D1069" s="4" t="s">
        <v>63</v>
      </c>
      <c r="E1069" s="4">
        <v>22.0</v>
      </c>
      <c r="F1069" s="4">
        <v>446.72</v>
      </c>
      <c r="G1069" s="4">
        <v>0.05</v>
      </c>
      <c r="H1069" s="4" t="s">
        <v>22</v>
      </c>
      <c r="I1069" s="6">
        <v>-39.0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3"/>
        <v>40265</v>
      </c>
    </row>
    <row r="1070" ht="12.75" customHeight="1">
      <c r="A1070" s="4">
        <v>993.0</v>
      </c>
      <c r="B1070" s="4">
        <v>7169.0</v>
      </c>
      <c r="C1070" s="5">
        <f t="shared" si="474"/>
        <v>40263</v>
      </c>
      <c r="D1070" s="4" t="s">
        <v>63</v>
      </c>
      <c r="E1070" s="4">
        <v>30.0</v>
      </c>
      <c r="F1070" s="4">
        <v>1580.6005</v>
      </c>
      <c r="G1070" s="4">
        <v>0.07</v>
      </c>
      <c r="H1070" s="4" t="s">
        <v>22</v>
      </c>
      <c r="I1070" s="6">
        <v>303.525</v>
      </c>
      <c r="J1070" s="4">
        <v>65.99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</v>
      </c>
      <c r="U1070" s="5">
        <f t="shared" si="473"/>
        <v>40265</v>
      </c>
    </row>
    <row r="1071" ht="12.75" customHeight="1">
      <c r="A1071" s="4">
        <v>1013.0</v>
      </c>
      <c r="B1071" s="4">
        <v>7427.0</v>
      </c>
      <c r="C1071" s="5">
        <f t="shared" ref="C1071:C1072" si="475">DATE(2012,12,31)-16</f>
        <v>41258</v>
      </c>
      <c r="D1071" s="4" t="s">
        <v>45</v>
      </c>
      <c r="E1071" s="4">
        <v>47.0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19.99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0.57</v>
      </c>
      <c r="U1071" s="5">
        <f>C1071+0</f>
        <v>41258</v>
      </c>
    </row>
    <row r="1072" ht="12.75" customHeight="1">
      <c r="A1072" s="4">
        <v>1014.0</v>
      </c>
      <c r="B1072" s="4">
        <v>7427.0</v>
      </c>
      <c r="C1072" s="5">
        <f t="shared" si="475"/>
        <v>41258</v>
      </c>
      <c r="D1072" s="4" t="s">
        <v>45</v>
      </c>
      <c r="E1072" s="4">
        <v>9.0</v>
      </c>
      <c r="F1072" s="4">
        <v>182.26</v>
      </c>
      <c r="G1072" s="4">
        <v>0.01</v>
      </c>
      <c r="H1072" s="4" t="s">
        <v>22</v>
      </c>
      <c r="I1072" s="6">
        <v>60.6135</v>
      </c>
      <c r="J1072" s="4">
        <v>18.94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ht="12.75" customHeight="1">
      <c r="A1073" s="4">
        <v>1123.0</v>
      </c>
      <c r="B1073" s="4">
        <v>8229.0</v>
      </c>
      <c r="C1073" s="5">
        <f t="shared" ref="C1073:C1074" si="476">DATE(2012,12,31)-1120</f>
        <v>40154</v>
      </c>
      <c r="D1073" s="4" t="s">
        <v>63</v>
      </c>
      <c r="E1073" s="4">
        <v>7.0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</v>
      </c>
      <c r="U1073" s="5">
        <f t="shared" ref="U1073:U1075" si="477">C1073+2</f>
        <v>40156</v>
      </c>
    </row>
    <row r="1074" ht="12.75" customHeight="1">
      <c r="A1074" s="4">
        <v>1124.0</v>
      </c>
      <c r="B1074" s="4">
        <v>8229.0</v>
      </c>
      <c r="C1074" s="5">
        <f t="shared" si="476"/>
        <v>40154</v>
      </c>
      <c r="D1074" s="4" t="s">
        <v>63</v>
      </c>
      <c r="E1074" s="4">
        <v>50.0</v>
      </c>
      <c r="F1074" s="4">
        <v>241.01</v>
      </c>
      <c r="G1074" s="4">
        <v>0.0</v>
      </c>
      <c r="H1074" s="4" t="s">
        <v>22</v>
      </c>
      <c r="I1074" s="6">
        <v>-4.69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7"/>
        <v>40156</v>
      </c>
    </row>
    <row r="1075" ht="12.75" customHeight="1">
      <c r="A1075" s="4">
        <v>1134.0</v>
      </c>
      <c r="B1075" s="4">
        <v>8290.0</v>
      </c>
      <c r="C1075" s="5">
        <f>DATE(2012,12,31)-1118</f>
        <v>40156</v>
      </c>
      <c r="D1075" s="4" t="s">
        <v>78</v>
      </c>
      <c r="E1075" s="4">
        <v>32.0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7"/>
        <v>40158</v>
      </c>
    </row>
    <row r="1076" ht="12.75" customHeight="1">
      <c r="A1076" s="4">
        <v>1167.0</v>
      </c>
      <c r="B1076" s="4">
        <v>8515.0</v>
      </c>
      <c r="C1076" s="5">
        <f>DATE(2012,12,31)-741</f>
        <v>40533</v>
      </c>
      <c r="D1076" s="4" t="s">
        <v>78</v>
      </c>
      <c r="E1076" s="4">
        <v>33.0</v>
      </c>
      <c r="F1076" s="4">
        <v>729.92</v>
      </c>
      <c r="G1076" s="4">
        <v>0.0</v>
      </c>
      <c r="H1076" s="4" t="s">
        <v>22</v>
      </c>
      <c r="I1076" s="6">
        <v>99.31</v>
      </c>
      <c r="J1076" s="4">
        <v>20.95</v>
      </c>
      <c r="K1076" s="4">
        <v>4.0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ht="12.75" customHeight="1">
      <c r="A1077" s="4">
        <v>1197.0</v>
      </c>
      <c r="B1077" s="4">
        <v>8801.0</v>
      </c>
      <c r="C1077" s="5">
        <f t="shared" ref="C1077:C1078" si="478">DATE(2012,12,31)-143</f>
        <v>41131</v>
      </c>
      <c r="D1077" s="4" t="s">
        <v>21</v>
      </c>
      <c r="E1077" s="4">
        <v>32.0</v>
      </c>
      <c r="F1077" s="4">
        <v>2593.08</v>
      </c>
      <c r="G1077" s="4">
        <v>0.0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ht="12.75" customHeight="1">
      <c r="A1078" s="4">
        <v>1198.0</v>
      </c>
      <c r="B1078" s="4">
        <v>8801.0</v>
      </c>
      <c r="C1078" s="5">
        <f t="shared" si="478"/>
        <v>41131</v>
      </c>
      <c r="D1078" s="4" t="s">
        <v>21</v>
      </c>
      <c r="E1078" s="4">
        <v>25.0</v>
      </c>
      <c r="F1078" s="4">
        <v>2529.396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3.0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ht="12.75" customHeight="1">
      <c r="A1079" s="4">
        <v>1221.0</v>
      </c>
      <c r="B1079" s="4">
        <v>8992.0</v>
      </c>
      <c r="C1079" s="5">
        <f t="shared" ref="C1079:C1081" si="479">DATE(2012,12,31)-780</f>
        <v>40494</v>
      </c>
      <c r="D1079" s="4" t="s">
        <v>30</v>
      </c>
      <c r="E1079" s="4">
        <v>3.0</v>
      </c>
      <c r="F1079" s="4">
        <v>441.43</v>
      </c>
      <c r="G1079" s="4">
        <v>0.06</v>
      </c>
      <c r="H1079" s="4" t="s">
        <v>22</v>
      </c>
      <c r="I1079" s="6">
        <v>-154.45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0.57</v>
      </c>
      <c r="U1079" s="5">
        <f>C1079+1</f>
        <v>40495</v>
      </c>
    </row>
    <row r="1080" ht="12.75" customHeight="1">
      <c r="A1080" s="4">
        <v>1222.0</v>
      </c>
      <c r="B1080" s="4">
        <v>8992.0</v>
      </c>
      <c r="C1080" s="5">
        <f t="shared" si="479"/>
        <v>40494</v>
      </c>
      <c r="D1080" s="4" t="s">
        <v>30</v>
      </c>
      <c r="E1080" s="4">
        <v>14.0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ht="12.75" customHeight="1">
      <c r="A1081" s="4">
        <v>1223.0</v>
      </c>
      <c r="B1081" s="4">
        <v>8992.0</v>
      </c>
      <c r="C1081" s="5">
        <f t="shared" si="479"/>
        <v>40494</v>
      </c>
      <c r="D1081" s="4" t="s">
        <v>30</v>
      </c>
      <c r="E1081" s="4">
        <v>18.0</v>
      </c>
      <c r="F1081" s="4">
        <v>1341.963</v>
      </c>
      <c r="G1081" s="4">
        <v>0.0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0.58</v>
      </c>
      <c r="U1081" s="5">
        <f>C1081+1</f>
        <v>40495</v>
      </c>
    </row>
    <row r="1082" ht="12.75" customHeight="1">
      <c r="A1082" s="4">
        <v>1288.0</v>
      </c>
      <c r="B1082" s="4">
        <v>9409.0</v>
      </c>
      <c r="C1082" s="5">
        <f>DATE(2012,12,31)-240</f>
        <v>41034</v>
      </c>
      <c r="D1082" s="4" t="s">
        <v>78</v>
      </c>
      <c r="E1082" s="4">
        <v>12.0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152.48</v>
      </c>
      <c r="K1082" s="4">
        <v>4.0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ht="12.75" customHeight="1">
      <c r="A1083" s="4">
        <v>1420.0</v>
      </c>
      <c r="B1083" s="4">
        <v>10306.0</v>
      </c>
      <c r="C1083" s="5">
        <f>DATE(2012,12,31)-894</f>
        <v>40380</v>
      </c>
      <c r="D1083" s="4" t="s">
        <v>21</v>
      </c>
      <c r="E1083" s="4">
        <v>20.0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ht="12.75" customHeight="1">
      <c r="A1084" s="4">
        <v>1455.0</v>
      </c>
      <c r="B1084" s="4">
        <v>10470.0</v>
      </c>
      <c r="C1084" s="5">
        <f>DATE(2012,12,31)-241</f>
        <v>41033</v>
      </c>
      <c r="D1084" s="4" t="s">
        <v>78</v>
      </c>
      <c r="E1084" s="4">
        <v>35.0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</v>
      </c>
      <c r="U1084" s="5">
        <f>C1084+5</f>
        <v>41038</v>
      </c>
    </row>
    <row r="1085" ht="12.75" customHeight="1">
      <c r="A1085" s="4">
        <v>1497.0</v>
      </c>
      <c r="B1085" s="4">
        <v>10819.0</v>
      </c>
      <c r="C1085" s="5">
        <f>DATE(2012,12,31)-860</f>
        <v>40414</v>
      </c>
      <c r="D1085" s="4" t="s">
        <v>78</v>
      </c>
      <c r="E1085" s="4">
        <v>35.0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9.54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80">C1085+0</f>
        <v>40414</v>
      </c>
    </row>
    <row r="1086" ht="12.75" customHeight="1">
      <c r="A1086" s="4">
        <v>1509.0</v>
      </c>
      <c r="B1086" s="4">
        <v>10916.0</v>
      </c>
      <c r="C1086" s="5">
        <f>DATE(2012,12,31)-662</f>
        <v>40612</v>
      </c>
      <c r="D1086" s="4" t="s">
        <v>63</v>
      </c>
      <c r="E1086" s="4">
        <v>23.0</v>
      </c>
      <c r="F1086" s="4">
        <v>135.31</v>
      </c>
      <c r="G1086" s="4">
        <v>0.06</v>
      </c>
      <c r="H1086" s="4" t="s">
        <v>22</v>
      </c>
      <c r="I1086" s="6">
        <v>-49.3235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80"/>
        <v>40612</v>
      </c>
    </row>
    <row r="1087" ht="12.75" customHeight="1">
      <c r="A1087" s="4">
        <v>1512.0</v>
      </c>
      <c r="B1087" s="4">
        <v>10944.0</v>
      </c>
      <c r="C1087" s="5">
        <f>DATE(2012,12,31)-415</f>
        <v>40859</v>
      </c>
      <c r="D1087" s="4" t="s">
        <v>30</v>
      </c>
      <c r="E1087" s="4">
        <v>9.0</v>
      </c>
      <c r="F1087" s="4">
        <v>181.66</v>
      </c>
      <c r="G1087" s="4">
        <v>0.0</v>
      </c>
      <c r="H1087" s="4" t="s">
        <v>22</v>
      </c>
      <c r="I1087" s="6">
        <v>-27.4746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ht="12.75" customHeight="1">
      <c r="A1088" s="4">
        <v>1565.0</v>
      </c>
      <c r="B1088" s="4">
        <v>11301.0</v>
      </c>
      <c r="C1088" s="5">
        <f>DATE(2012,12,31)-284</f>
        <v>40990</v>
      </c>
      <c r="D1088" s="4" t="s">
        <v>63</v>
      </c>
      <c r="E1088" s="4">
        <v>29.0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39.98</v>
      </c>
      <c r="K1088" s="4">
        <v>4.0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ht="12.75" customHeight="1">
      <c r="A1089" s="4">
        <v>1567.0</v>
      </c>
      <c r="B1089" s="4">
        <v>11332.0</v>
      </c>
      <c r="C1089" s="5">
        <f t="shared" ref="C1089:C1090" si="481">DATE(2012,12,31)-1141</f>
        <v>40133</v>
      </c>
      <c r="D1089" s="4" t="s">
        <v>21</v>
      </c>
      <c r="E1089" s="4">
        <v>6.0</v>
      </c>
      <c r="F1089" s="4">
        <v>184.33100000000002</v>
      </c>
      <c r="G1089" s="4">
        <v>0.07</v>
      </c>
      <c r="H1089" s="4" t="s">
        <v>22</v>
      </c>
      <c r="I1089" s="6">
        <v>-89.199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ht="12.75" customHeight="1">
      <c r="A1090" s="4">
        <v>1568.0</v>
      </c>
      <c r="B1090" s="4">
        <v>11332.0</v>
      </c>
      <c r="C1090" s="5">
        <f t="shared" si="481"/>
        <v>40133</v>
      </c>
      <c r="D1090" s="4" t="s">
        <v>21</v>
      </c>
      <c r="E1090" s="4">
        <v>23.0</v>
      </c>
      <c r="F1090" s="4">
        <v>1223.3795</v>
      </c>
      <c r="G1090" s="4">
        <v>0.08</v>
      </c>
      <c r="H1090" s="4" t="s">
        <v>56</v>
      </c>
      <c r="I1090" s="6">
        <v>83.565</v>
      </c>
      <c r="J1090" s="4">
        <v>65.99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0.58</v>
      </c>
      <c r="U1090" s="5">
        <f>C1090+7</f>
        <v>40140</v>
      </c>
    </row>
    <row r="1091" ht="12.75" customHeight="1">
      <c r="A1091" s="4">
        <v>1575.0</v>
      </c>
      <c r="B1091" s="4">
        <v>11392.0</v>
      </c>
      <c r="C1091" s="5">
        <f>DATE(2012,12,31)-1213</f>
        <v>40061</v>
      </c>
      <c r="D1091" s="4" t="s">
        <v>21</v>
      </c>
      <c r="E1091" s="4">
        <v>28.0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ht="12.75" customHeight="1">
      <c r="A1092" s="4">
        <v>1623.0</v>
      </c>
      <c r="B1092" s="4">
        <v>11745.0</v>
      </c>
      <c r="C1092" s="5">
        <f>DATE(2012,12,31)-165</f>
        <v>41109</v>
      </c>
      <c r="D1092" s="4" t="s">
        <v>30</v>
      </c>
      <c r="E1092" s="4">
        <v>17.0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40.48</v>
      </c>
      <c r="K1092" s="4">
        <v>19.99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2">C1092+1</f>
        <v>41110</v>
      </c>
    </row>
    <row r="1093" ht="12.75" customHeight="1">
      <c r="A1093" s="4">
        <v>1644.0</v>
      </c>
      <c r="B1093" s="4">
        <v>11875.0</v>
      </c>
      <c r="C1093" s="5">
        <f>DATE(2012,12,31)-133</f>
        <v>41141</v>
      </c>
      <c r="D1093" s="4" t="s">
        <v>63</v>
      </c>
      <c r="E1093" s="4">
        <v>19.0</v>
      </c>
      <c r="F1093" s="4">
        <v>242.63</v>
      </c>
      <c r="G1093" s="4">
        <v>0.0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0.57</v>
      </c>
      <c r="U1093" s="5">
        <f t="shared" si="482"/>
        <v>41142</v>
      </c>
    </row>
    <row r="1094" ht="12.75" customHeight="1">
      <c r="A1094" s="4">
        <v>1650.0</v>
      </c>
      <c r="B1094" s="4">
        <v>11907.0</v>
      </c>
      <c r="C1094" s="5">
        <f>DATE(2012,12,31)-861</f>
        <v>40413</v>
      </c>
      <c r="D1094" s="4" t="s">
        <v>21</v>
      </c>
      <c r="E1094" s="4">
        <v>45.0</v>
      </c>
      <c r="F1094" s="4">
        <v>4729.85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14.0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ht="12.75" customHeight="1">
      <c r="A1095" s="4">
        <v>1681.0</v>
      </c>
      <c r="B1095" s="4">
        <v>12129.0</v>
      </c>
      <c r="C1095" s="5">
        <f>DATE(2012,12,31)-6</f>
        <v>41268</v>
      </c>
      <c r="D1095" s="4" t="s">
        <v>63</v>
      </c>
      <c r="E1095" s="4">
        <v>36.0</v>
      </c>
      <c r="F1095" s="4">
        <v>4852.05</v>
      </c>
      <c r="G1095" s="4">
        <v>0.0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ht="12.75" customHeight="1">
      <c r="A1096" s="4">
        <v>1753.0</v>
      </c>
      <c r="B1096" s="4">
        <v>12579.0</v>
      </c>
      <c r="C1096" s="5">
        <f>DATE(2012,12,31)-564</f>
        <v>40710</v>
      </c>
      <c r="D1096" s="4" t="s">
        <v>45</v>
      </c>
      <c r="E1096" s="4">
        <v>5.0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ht="12.75" customHeight="1">
      <c r="A1097" s="4">
        <v>1779.0</v>
      </c>
      <c r="B1097" s="4">
        <v>12743.0</v>
      </c>
      <c r="C1097" s="5">
        <f>DATE(2012,12,31)-922</f>
        <v>40352</v>
      </c>
      <c r="D1097" s="4" t="s">
        <v>30</v>
      </c>
      <c r="E1097" s="4">
        <v>39.0</v>
      </c>
      <c r="F1097" s="4">
        <v>677.518</v>
      </c>
      <c r="G1097" s="4">
        <v>0.09</v>
      </c>
      <c r="H1097" s="4" t="s">
        <v>22</v>
      </c>
      <c r="I1097" s="6">
        <v>168.219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0.57</v>
      </c>
      <c r="U1097" s="5">
        <f t="shared" ref="U1097:U1098" si="483">C1097+2</f>
        <v>40354</v>
      </c>
    </row>
    <row r="1098" ht="12.75" customHeight="1">
      <c r="A1098" s="4">
        <v>1803.0</v>
      </c>
      <c r="B1098" s="4">
        <v>12902.0</v>
      </c>
      <c r="C1098" s="5">
        <f>DATE(2012,12,31)-794</f>
        <v>40480</v>
      </c>
      <c r="D1098" s="4" t="s">
        <v>45</v>
      </c>
      <c r="E1098" s="4">
        <v>9.0</v>
      </c>
      <c r="F1098" s="4">
        <v>302.05</v>
      </c>
      <c r="G1098" s="4">
        <v>0.0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3"/>
        <v>40482</v>
      </c>
    </row>
    <row r="1099" ht="12.75" customHeight="1">
      <c r="A1099" s="4">
        <v>1860.0</v>
      </c>
      <c r="B1099" s="4">
        <v>13380.0</v>
      </c>
      <c r="C1099" s="5">
        <f>DATE(2012,12,31)-1265</f>
        <v>40009</v>
      </c>
      <c r="D1099" s="4" t="s">
        <v>78</v>
      </c>
      <c r="E1099" s="4">
        <v>24.0</v>
      </c>
      <c r="F1099" s="4">
        <v>66.12</v>
      </c>
      <c r="G1099" s="4">
        <v>0.09</v>
      </c>
      <c r="H1099" s="4" t="s">
        <v>22</v>
      </c>
      <c r="I1099" s="6">
        <v>4.85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</v>
      </c>
      <c r="U1099" s="5">
        <f>C1099+0</f>
        <v>40009</v>
      </c>
    </row>
    <row r="1100" ht="12.75" customHeight="1">
      <c r="A1100" s="4">
        <v>1898.0</v>
      </c>
      <c r="B1100" s="4">
        <v>13606.0</v>
      </c>
      <c r="C1100" s="5">
        <f>DATE(2012,12,31)-1345</f>
        <v>39929</v>
      </c>
      <c r="D1100" s="4" t="s">
        <v>45</v>
      </c>
      <c r="E1100" s="4">
        <v>34.0</v>
      </c>
      <c r="F1100" s="4">
        <v>109.86</v>
      </c>
      <c r="G1100" s="4">
        <v>0.07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ht="12.75" customHeight="1">
      <c r="A1101" s="4">
        <v>1936.0</v>
      </c>
      <c r="B1101" s="4">
        <v>13889.0</v>
      </c>
      <c r="C1101" s="5">
        <f>DATE(2012,12,31)-484</f>
        <v>40790</v>
      </c>
      <c r="D1101" s="4" t="s">
        <v>63</v>
      </c>
      <c r="E1101" s="4">
        <v>49.0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</v>
      </c>
      <c r="U1101" s="5">
        <f>C1101+1</f>
        <v>40791</v>
      </c>
    </row>
    <row r="1102" ht="12.75" customHeight="1">
      <c r="A1102" s="4">
        <v>1952.0</v>
      </c>
      <c r="B1102" s="4">
        <v>13984.0</v>
      </c>
      <c r="C1102" s="5">
        <f>DATE(2012,12,31)-98</f>
        <v>41176</v>
      </c>
      <c r="D1102" s="4" t="s">
        <v>78</v>
      </c>
      <c r="E1102" s="4">
        <v>30.0</v>
      </c>
      <c r="F1102" s="4">
        <v>2052.82</v>
      </c>
      <c r="G1102" s="4">
        <v>0.05</v>
      </c>
      <c r="H1102" s="4" t="s">
        <v>22</v>
      </c>
      <c r="I1102" s="6">
        <v>-870.61</v>
      </c>
      <c r="J1102" s="4">
        <v>70.71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ht="12.75" customHeight="1">
      <c r="A1103" s="4">
        <v>1953.0</v>
      </c>
      <c r="B1103" s="4">
        <v>13986.0</v>
      </c>
      <c r="C1103" s="5">
        <f>DATE(2012,12,31)-447</f>
        <v>40827</v>
      </c>
      <c r="D1103" s="4" t="s">
        <v>30</v>
      </c>
      <c r="E1103" s="4">
        <v>46.0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39.48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ht="12.75" customHeight="1">
      <c r="A1104" s="4">
        <v>1995.0</v>
      </c>
      <c r="B1104" s="4">
        <v>14240.0</v>
      </c>
      <c r="C1104" s="5">
        <f>DATE(2012,12,31)-318</f>
        <v>40956</v>
      </c>
      <c r="D1104" s="4" t="s">
        <v>30</v>
      </c>
      <c r="E1104" s="4">
        <v>24.0</v>
      </c>
      <c r="F1104" s="4">
        <v>68.88</v>
      </c>
      <c r="G1104" s="4">
        <v>0.0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4">C1104+1</f>
        <v>40957</v>
      </c>
    </row>
    <row r="1105" ht="12.75" customHeight="1">
      <c r="A1105" s="4">
        <v>2006.0</v>
      </c>
      <c r="B1105" s="4">
        <v>14276.0</v>
      </c>
      <c r="C1105" s="5">
        <f>DATE(2012,12,31)-1292</f>
        <v>39982</v>
      </c>
      <c r="D1105" s="4" t="s">
        <v>63</v>
      </c>
      <c r="E1105" s="4">
        <v>11.0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4"/>
        <v>39983</v>
      </c>
    </row>
    <row r="1106" ht="12.75" customHeight="1">
      <c r="A1106" s="4">
        <v>2029.0</v>
      </c>
      <c r="B1106" s="4">
        <v>14471.0</v>
      </c>
      <c r="C1106" s="5">
        <f t="shared" ref="C1106:C1107" si="485">DATE(2012,12,31)-585</f>
        <v>40689</v>
      </c>
      <c r="D1106" s="4" t="s">
        <v>45</v>
      </c>
      <c r="E1106" s="4">
        <v>44.0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18.65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ht="12.75" customHeight="1">
      <c r="A1107" s="4">
        <v>2030.0</v>
      </c>
      <c r="B1107" s="4">
        <v>14471.0</v>
      </c>
      <c r="C1107" s="5">
        <f t="shared" si="485"/>
        <v>40689</v>
      </c>
      <c r="D1107" s="4" t="s">
        <v>45</v>
      </c>
      <c r="E1107" s="4">
        <v>42.0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ht="12.75" customHeight="1">
      <c r="A1108" s="4">
        <v>2037.0</v>
      </c>
      <c r="B1108" s="4">
        <v>14529.0</v>
      </c>
      <c r="C1108" s="5">
        <f t="shared" ref="C1108:C1109" si="486">DATE(2012,12,31)-833</f>
        <v>40441</v>
      </c>
      <c r="D1108" s="4" t="s">
        <v>21</v>
      </c>
      <c r="E1108" s="4">
        <v>44.0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42.0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ht="12.75" customHeight="1">
      <c r="A1109" s="4">
        <v>2038.0</v>
      </c>
      <c r="B1109" s="4">
        <v>14529.0</v>
      </c>
      <c r="C1109" s="5">
        <f t="shared" si="486"/>
        <v>40441</v>
      </c>
      <c r="D1109" s="4" t="s">
        <v>21</v>
      </c>
      <c r="E1109" s="4">
        <v>42.0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2.03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ht="12.75" customHeight="1">
      <c r="A1110" s="4">
        <v>2087.0</v>
      </c>
      <c r="B1110" s="4">
        <v>14948.0</v>
      </c>
      <c r="C1110" s="5">
        <f>DATE(2012,12,31)-583</f>
        <v>40691</v>
      </c>
      <c r="D1110" s="4" t="s">
        <v>63</v>
      </c>
      <c r="E1110" s="4">
        <v>6.0</v>
      </c>
      <c r="F1110" s="4">
        <v>647.78</v>
      </c>
      <c r="G1110" s="4">
        <v>0.0</v>
      </c>
      <c r="H1110" s="4" t="s">
        <v>31</v>
      </c>
      <c r="I1110" s="6">
        <v>-144.87</v>
      </c>
      <c r="J1110" s="4">
        <v>100.98</v>
      </c>
      <c r="K1110" s="4">
        <v>35.84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7">C1110+1</f>
        <v>40692</v>
      </c>
    </row>
    <row r="1111" ht="12.75" customHeight="1">
      <c r="A1111" s="4">
        <v>2237.0</v>
      </c>
      <c r="B1111" s="4">
        <v>16161.0</v>
      </c>
      <c r="C1111" s="5">
        <f t="shared" ref="C1111:C1112" si="488">DATE(2012,12,31)-156</f>
        <v>41118</v>
      </c>
      <c r="D1111" s="4" t="s">
        <v>63</v>
      </c>
      <c r="E1111" s="4">
        <v>49.0</v>
      </c>
      <c r="F1111" s="4">
        <v>2692.6895</v>
      </c>
      <c r="G1111" s="4">
        <v>0.03</v>
      </c>
      <c r="H1111" s="4" t="s">
        <v>22</v>
      </c>
      <c r="I1111" s="6">
        <v>768.321</v>
      </c>
      <c r="J1111" s="4">
        <v>65.99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</v>
      </c>
      <c r="U1111" s="5">
        <f t="shared" si="487"/>
        <v>41119</v>
      </c>
    </row>
    <row r="1112" ht="12.75" customHeight="1">
      <c r="A1112" s="4">
        <v>2238.0</v>
      </c>
      <c r="B1112" s="4">
        <v>16161.0</v>
      </c>
      <c r="C1112" s="5">
        <f t="shared" si="488"/>
        <v>41118</v>
      </c>
      <c r="D1112" s="4" t="s">
        <v>63</v>
      </c>
      <c r="E1112" s="4">
        <v>38.0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ht="12.75" customHeight="1">
      <c r="A1113" s="4">
        <v>2261.0</v>
      </c>
      <c r="B1113" s="4">
        <v>16257.0</v>
      </c>
      <c r="C1113" s="5">
        <f>DATE(2012,12,31)-240</f>
        <v>41034</v>
      </c>
      <c r="D1113" s="4" t="s">
        <v>45</v>
      </c>
      <c r="E1113" s="4">
        <v>16.0</v>
      </c>
      <c r="F1113" s="4">
        <v>102.73</v>
      </c>
      <c r="G1113" s="4">
        <v>0.03</v>
      </c>
      <c r="H1113" s="4" t="s">
        <v>22</v>
      </c>
      <c r="I1113" s="6">
        <v>16.33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9">C1113+1</f>
        <v>41035</v>
      </c>
    </row>
    <row r="1114" ht="12.75" customHeight="1">
      <c r="A1114" s="4">
        <v>2335.0</v>
      </c>
      <c r="B1114" s="4">
        <v>16806.0</v>
      </c>
      <c r="C1114" s="5">
        <f t="shared" ref="C1114:C1115" si="490">DATE(2012,12,31)-928</f>
        <v>40346</v>
      </c>
      <c r="D1114" s="4" t="s">
        <v>30</v>
      </c>
      <c r="E1114" s="4">
        <v>4.0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4.0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9"/>
        <v>40347</v>
      </c>
    </row>
    <row r="1115" ht="12.75" customHeight="1">
      <c r="A1115" s="4">
        <v>2336.0</v>
      </c>
      <c r="B1115" s="4">
        <v>16806.0</v>
      </c>
      <c r="C1115" s="5">
        <f t="shared" si="490"/>
        <v>40346</v>
      </c>
      <c r="D1115" s="4" t="s">
        <v>30</v>
      </c>
      <c r="E1115" s="4">
        <v>18.0</v>
      </c>
      <c r="F1115" s="4">
        <v>1026.6385</v>
      </c>
      <c r="G1115" s="4">
        <v>0.0</v>
      </c>
      <c r="H1115" s="4" t="s">
        <v>22</v>
      </c>
      <c r="I1115" s="6">
        <v>-201.04700000000003</v>
      </c>
      <c r="J1115" s="4">
        <v>65.99</v>
      </c>
      <c r="K1115" s="4">
        <v>19.99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1">C1115+2</f>
        <v>40348</v>
      </c>
    </row>
    <row r="1116" ht="12.75" customHeight="1">
      <c r="A1116" s="4">
        <v>2393.0</v>
      </c>
      <c r="B1116" s="4">
        <v>17344.0</v>
      </c>
      <c r="C1116" s="5">
        <f>DATE(2012,12,31)-896</f>
        <v>40378</v>
      </c>
      <c r="D1116" s="4" t="s">
        <v>78</v>
      </c>
      <c r="E1116" s="4">
        <v>40.0</v>
      </c>
      <c r="F1116" s="4">
        <v>2405.4575</v>
      </c>
      <c r="G1116" s="4">
        <v>0.01</v>
      </c>
      <c r="H1116" s="4" t="s">
        <v>22</v>
      </c>
      <c r="I1116" s="6">
        <v>571.536</v>
      </c>
      <c r="J1116" s="4">
        <v>65.99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1"/>
        <v>40380</v>
      </c>
    </row>
    <row r="1117" ht="12.75" customHeight="1">
      <c r="A1117" s="4">
        <v>2399.0</v>
      </c>
      <c r="B1117" s="4">
        <v>17382.0</v>
      </c>
      <c r="C1117" s="5">
        <f>DATE(2012,12,31)-546</f>
        <v>40728</v>
      </c>
      <c r="D1117" s="4" t="s">
        <v>45</v>
      </c>
      <c r="E1117" s="4">
        <v>20.0</v>
      </c>
      <c r="F1117" s="4">
        <v>2162.8165</v>
      </c>
      <c r="G1117" s="4">
        <v>0.01</v>
      </c>
      <c r="H1117" s="4" t="s">
        <v>22</v>
      </c>
      <c r="I1117" s="6">
        <v>223.254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ht="12.75" customHeight="1">
      <c r="A1118" s="4">
        <v>2411.0</v>
      </c>
      <c r="B1118" s="4">
        <v>17507.0</v>
      </c>
      <c r="C1118" s="5">
        <f t="shared" ref="C1118:C1119" si="492">DATE(2012,12,31)-202</f>
        <v>41072</v>
      </c>
      <c r="D1118" s="4" t="s">
        <v>63</v>
      </c>
      <c r="E1118" s="4">
        <v>27.0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0.58</v>
      </c>
      <c r="U1118" s="5">
        <f>C1118+0</f>
        <v>41072</v>
      </c>
    </row>
    <row r="1119" ht="12.75" customHeight="1">
      <c r="A1119" s="4">
        <v>2412.0</v>
      </c>
      <c r="B1119" s="4">
        <v>17507.0</v>
      </c>
      <c r="C1119" s="5">
        <f t="shared" si="492"/>
        <v>41072</v>
      </c>
      <c r="D1119" s="4" t="s">
        <v>63</v>
      </c>
      <c r="E1119" s="4">
        <v>22.0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</v>
      </c>
      <c r="U1119" s="5">
        <f>C1119+2</f>
        <v>41074</v>
      </c>
    </row>
    <row r="1120" ht="12.75" customHeight="1">
      <c r="A1120" s="4">
        <v>2442.0</v>
      </c>
      <c r="B1120" s="4">
        <v>17702.0</v>
      </c>
      <c r="C1120" s="5">
        <f>DATE(2012,12,31)-262</f>
        <v>41012</v>
      </c>
      <c r="D1120" s="4" t="s">
        <v>30</v>
      </c>
      <c r="E1120" s="4">
        <v>9.0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4.0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ht="12.75" customHeight="1">
      <c r="A1121" s="4">
        <v>2453.0</v>
      </c>
      <c r="B1121" s="4">
        <v>17831.0</v>
      </c>
      <c r="C1121" s="5">
        <f t="shared" ref="C1121:C1122" si="493">DATE(2012,12,31)-67</f>
        <v>41207</v>
      </c>
      <c r="D1121" s="4" t="s">
        <v>78</v>
      </c>
      <c r="E1121" s="4">
        <v>34.0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ht="12.75" customHeight="1">
      <c r="A1122" s="4">
        <v>2454.0</v>
      </c>
      <c r="B1122" s="4">
        <v>17831.0</v>
      </c>
      <c r="C1122" s="5">
        <f t="shared" si="493"/>
        <v>41207</v>
      </c>
      <c r="D1122" s="4" t="s">
        <v>78</v>
      </c>
      <c r="E1122" s="4">
        <v>38.0</v>
      </c>
      <c r="F1122" s="4">
        <v>260.41</v>
      </c>
      <c r="G1122" s="4">
        <v>0.0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ht="12.75" customHeight="1">
      <c r="A1123" s="4">
        <v>2498.0</v>
      </c>
      <c r="B1123" s="4">
        <v>18179.0</v>
      </c>
      <c r="C1123" s="5">
        <f t="shared" ref="C1123:C1125" si="494">DATE(2012,12,31)-1248</f>
        <v>40026</v>
      </c>
      <c r="D1123" s="4" t="s">
        <v>45</v>
      </c>
      <c r="E1123" s="4">
        <v>50.0</v>
      </c>
      <c r="F1123" s="4">
        <v>3075.83</v>
      </c>
      <c r="G1123" s="4">
        <v>0.03</v>
      </c>
      <c r="H1123" s="4" t="s">
        <v>22</v>
      </c>
      <c r="I1123" s="6">
        <v>1207.91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ht="12.75" customHeight="1">
      <c r="A1124" s="4">
        <v>2499.0</v>
      </c>
      <c r="B1124" s="4">
        <v>18179.0</v>
      </c>
      <c r="C1124" s="5">
        <f t="shared" si="494"/>
        <v>40026</v>
      </c>
      <c r="D1124" s="4" t="s">
        <v>45</v>
      </c>
      <c r="E1124" s="4">
        <v>24.0</v>
      </c>
      <c r="F1124" s="4">
        <v>73.37</v>
      </c>
      <c r="G1124" s="4">
        <v>0.04</v>
      </c>
      <c r="H1124" s="4" t="s">
        <v>22</v>
      </c>
      <c r="I1124" s="6">
        <v>16.1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ht="12.75" customHeight="1">
      <c r="A1125" s="4">
        <v>2500.0</v>
      </c>
      <c r="B1125" s="4">
        <v>18179.0</v>
      </c>
      <c r="C1125" s="5">
        <f t="shared" si="494"/>
        <v>40026</v>
      </c>
      <c r="D1125" s="4" t="s">
        <v>45</v>
      </c>
      <c r="E1125" s="4">
        <v>50.0</v>
      </c>
      <c r="F1125" s="4">
        <v>527.6</v>
      </c>
      <c r="G1125" s="4">
        <v>0.0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5">C1125+2</f>
        <v>40028</v>
      </c>
    </row>
    <row r="1126" ht="12.75" customHeight="1">
      <c r="A1126" s="4">
        <v>2629.0</v>
      </c>
      <c r="B1126" s="4">
        <v>19044.0</v>
      </c>
      <c r="C1126" s="5">
        <f t="shared" ref="C1126:C1127" si="496">DATE(2012,12,31)-264</f>
        <v>41010</v>
      </c>
      <c r="D1126" s="4" t="s">
        <v>21</v>
      </c>
      <c r="E1126" s="4">
        <v>32.0</v>
      </c>
      <c r="F1126" s="4">
        <v>4800.44</v>
      </c>
      <c r="G1126" s="4">
        <v>0.08</v>
      </c>
      <c r="H1126" s="4" t="s">
        <v>22</v>
      </c>
      <c r="I1126" s="6">
        <v>1912.92</v>
      </c>
      <c r="J1126" s="4">
        <v>150.98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5"/>
        <v>41012</v>
      </c>
    </row>
    <row r="1127" ht="12.75" customHeight="1">
      <c r="A1127" s="4">
        <v>2630.0</v>
      </c>
      <c r="B1127" s="4">
        <v>19044.0</v>
      </c>
      <c r="C1127" s="5">
        <f t="shared" si="496"/>
        <v>41010</v>
      </c>
      <c r="D1127" s="4" t="s">
        <v>21</v>
      </c>
      <c r="E1127" s="4">
        <v>29.0</v>
      </c>
      <c r="F1127" s="4">
        <v>271.33</v>
      </c>
      <c r="G1127" s="4">
        <v>0.07</v>
      </c>
      <c r="H1127" s="4" t="s">
        <v>22</v>
      </c>
      <c r="I1127" s="6">
        <v>-191.09</v>
      </c>
      <c r="J1127" s="4">
        <v>9.71</v>
      </c>
      <c r="K1127" s="4">
        <v>9.45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ht="12.75" customHeight="1">
      <c r="A1128" s="4">
        <v>2690.0</v>
      </c>
      <c r="B1128" s="4">
        <v>19462.0</v>
      </c>
      <c r="C1128" s="5">
        <f>DATE(2012,12,31)-468</f>
        <v>40806</v>
      </c>
      <c r="D1128" s="4" t="s">
        <v>63</v>
      </c>
      <c r="E1128" s="4">
        <v>2.0</v>
      </c>
      <c r="F1128" s="4">
        <v>206.68</v>
      </c>
      <c r="G1128" s="4">
        <v>0.0</v>
      </c>
      <c r="H1128" s="4" t="s">
        <v>22</v>
      </c>
      <c r="I1128" s="6">
        <v>-156.47</v>
      </c>
      <c r="J1128" s="4">
        <v>80.98</v>
      </c>
      <c r="K1128" s="4">
        <v>35.0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7">C1128+1</f>
        <v>40807</v>
      </c>
    </row>
    <row r="1129" ht="12.75" customHeight="1">
      <c r="A1129" s="4">
        <v>2758.0</v>
      </c>
      <c r="B1129" s="4">
        <v>19936.0</v>
      </c>
      <c r="C1129" s="5">
        <f t="shared" ref="C1129:C1130" si="498">DATE(2012,12,31)-48</f>
        <v>41226</v>
      </c>
      <c r="D1129" s="4" t="s">
        <v>78</v>
      </c>
      <c r="E1129" s="4">
        <v>19.0</v>
      </c>
      <c r="F1129" s="4">
        <v>36.75</v>
      </c>
      <c r="G1129" s="4">
        <v>0.06</v>
      </c>
      <c r="H1129" s="4" t="s">
        <v>22</v>
      </c>
      <c r="I1129" s="6">
        <v>-9.821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7"/>
        <v>41227</v>
      </c>
    </row>
    <row r="1130" ht="12.75" customHeight="1">
      <c r="A1130" s="4">
        <v>2759.0</v>
      </c>
      <c r="B1130" s="4">
        <v>19936.0</v>
      </c>
      <c r="C1130" s="5">
        <f t="shared" si="498"/>
        <v>41226</v>
      </c>
      <c r="D1130" s="4" t="s">
        <v>78</v>
      </c>
      <c r="E1130" s="4">
        <v>41.0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7"/>
        <v>41227</v>
      </c>
    </row>
    <row r="1131" ht="12.75" customHeight="1">
      <c r="A1131" s="4">
        <v>2761.0</v>
      </c>
      <c r="B1131" s="4">
        <v>19972.0</v>
      </c>
      <c r="C1131" s="5">
        <f>DATE(2012,12,31)-198</f>
        <v>41076</v>
      </c>
      <c r="D1131" s="4" t="s">
        <v>78</v>
      </c>
      <c r="E1131" s="4">
        <v>6.0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9">C1131+2</f>
        <v>41078</v>
      </c>
    </row>
    <row r="1132" ht="12.75" customHeight="1">
      <c r="A1132" s="4">
        <v>2777.0</v>
      </c>
      <c r="B1132" s="4">
        <v>20038.0</v>
      </c>
      <c r="C1132" s="5">
        <f>DATE(2012,12,31)-1039</f>
        <v>40235</v>
      </c>
      <c r="D1132" s="4" t="s">
        <v>21</v>
      </c>
      <c r="E1132" s="4">
        <v>42.0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4.14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9"/>
        <v>40237</v>
      </c>
    </row>
    <row r="1133" ht="12.75" customHeight="1">
      <c r="A1133" s="4">
        <v>2824.0</v>
      </c>
      <c r="B1133" s="4">
        <v>20389.0</v>
      </c>
      <c r="C1133" s="5">
        <f t="shared" ref="C1133:C1135" si="500">DATE(2012,12,31)-1238</f>
        <v>40036</v>
      </c>
      <c r="D1133" s="4" t="s">
        <v>30</v>
      </c>
      <c r="E1133" s="4">
        <v>31.0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9"/>
        <v>40038</v>
      </c>
    </row>
    <row r="1134" ht="12.75" customHeight="1">
      <c r="A1134" s="4">
        <v>2825.0</v>
      </c>
      <c r="B1134" s="4">
        <v>20389.0</v>
      </c>
      <c r="C1134" s="5">
        <f t="shared" si="500"/>
        <v>40036</v>
      </c>
      <c r="D1134" s="4" t="s">
        <v>30</v>
      </c>
      <c r="E1134" s="4">
        <v>24.0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9"/>
        <v>40038</v>
      </c>
    </row>
    <row r="1135" ht="12.75" customHeight="1">
      <c r="A1135" s="4">
        <v>2826.0</v>
      </c>
      <c r="B1135" s="4">
        <v>20389.0</v>
      </c>
      <c r="C1135" s="5">
        <f t="shared" si="500"/>
        <v>40036</v>
      </c>
      <c r="D1135" s="4" t="s">
        <v>30</v>
      </c>
      <c r="E1135" s="4">
        <v>30.0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9"/>
        <v>40038</v>
      </c>
    </row>
    <row r="1136" ht="12.75" customHeight="1">
      <c r="A1136" s="4">
        <v>2829.0</v>
      </c>
      <c r="B1136" s="4">
        <v>20422.0</v>
      </c>
      <c r="C1136" s="5">
        <f>DATE(2012,12,31)-1435</f>
        <v>39839</v>
      </c>
      <c r="D1136" s="4" t="s">
        <v>30</v>
      </c>
      <c r="E1136" s="4">
        <v>5.0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9"/>
        <v>39841</v>
      </c>
    </row>
    <row r="1137" ht="12.75" customHeight="1">
      <c r="A1137" s="4">
        <v>2864.0</v>
      </c>
      <c r="B1137" s="4">
        <v>20676.0</v>
      </c>
      <c r="C1137" s="5">
        <f>DATE(2012,12,31)-39</f>
        <v>41235</v>
      </c>
      <c r="D1137" s="4" t="s">
        <v>21</v>
      </c>
      <c r="E1137" s="4">
        <v>22.0</v>
      </c>
      <c r="F1137" s="4">
        <v>43.97</v>
      </c>
      <c r="G1137" s="4">
        <v>0.04</v>
      </c>
      <c r="H1137" s="4" t="s">
        <v>22</v>
      </c>
      <c r="I1137" s="6">
        <v>-9.0505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ht="12.75" customHeight="1">
      <c r="A1138" s="4">
        <v>2887.0</v>
      </c>
      <c r="B1138" s="4">
        <v>20807.0</v>
      </c>
      <c r="C1138" s="5">
        <f>DATE(2012,12,31)-163</f>
        <v>41111</v>
      </c>
      <c r="D1138" s="4" t="s">
        <v>45</v>
      </c>
      <c r="E1138" s="4">
        <v>39.0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160.98</v>
      </c>
      <c r="K1138" s="4">
        <v>30.0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ht="12.75" customHeight="1">
      <c r="A1139" s="4">
        <v>2890.0</v>
      </c>
      <c r="B1139" s="4">
        <v>20838.0</v>
      </c>
      <c r="C1139" s="5">
        <f t="shared" ref="C1139:C1140" si="501">DATE(2012,12,31)-1361</f>
        <v>39913</v>
      </c>
      <c r="D1139" s="4" t="s">
        <v>45</v>
      </c>
      <c r="E1139" s="4">
        <v>5.0</v>
      </c>
      <c r="F1139" s="4">
        <v>20.17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</v>
      </c>
      <c r="U1139" s="5">
        <f t="shared" ref="U1139:U1140" si="502">C1139+1</f>
        <v>39914</v>
      </c>
    </row>
    <row r="1140" ht="12.75" customHeight="1">
      <c r="A1140" s="4">
        <v>2891.0</v>
      </c>
      <c r="B1140" s="4">
        <v>20838.0</v>
      </c>
      <c r="C1140" s="5">
        <f t="shared" si="501"/>
        <v>39913</v>
      </c>
      <c r="D1140" s="4" t="s">
        <v>45</v>
      </c>
      <c r="E1140" s="4">
        <v>21.0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0.57</v>
      </c>
      <c r="U1140" s="5">
        <f t="shared" si="502"/>
        <v>39914</v>
      </c>
    </row>
    <row r="1141" ht="12.75" customHeight="1">
      <c r="A1141" s="4">
        <v>2901.0</v>
      </c>
      <c r="B1141" s="4">
        <v>20960.0</v>
      </c>
      <c r="C1141" s="5">
        <f>DATE(2012,12,31)-409</f>
        <v>40865</v>
      </c>
      <c r="D1141" s="4" t="s">
        <v>21</v>
      </c>
      <c r="E1141" s="4">
        <v>19.0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ht="12.75" customHeight="1">
      <c r="A1142" s="4">
        <v>2902.0</v>
      </c>
      <c r="B1142" s="4">
        <v>20961.0</v>
      </c>
      <c r="C1142" s="5">
        <f>DATE(2012,12,31)-1082</f>
        <v>40192</v>
      </c>
      <c r="D1142" s="4" t="s">
        <v>45</v>
      </c>
      <c r="E1142" s="4">
        <v>34.0</v>
      </c>
      <c r="F1142" s="4">
        <v>6607.92</v>
      </c>
      <c r="G1142" s="4">
        <v>0.06</v>
      </c>
      <c r="H1142" s="4" t="s">
        <v>22</v>
      </c>
      <c r="I1142" s="6">
        <v>1462.724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ht="12.75" customHeight="1">
      <c r="A1143" s="4">
        <v>2949.0</v>
      </c>
      <c r="B1143" s="4">
        <v>21350.0</v>
      </c>
      <c r="C1143" s="5">
        <f>DATE(2012,12,31)-676</f>
        <v>40598</v>
      </c>
      <c r="D1143" s="4" t="s">
        <v>63</v>
      </c>
      <c r="E1143" s="4">
        <v>30.0</v>
      </c>
      <c r="F1143" s="4">
        <v>278.94</v>
      </c>
      <c r="G1143" s="4">
        <v>0.01</v>
      </c>
      <c r="H1143" s="4" t="s">
        <v>22</v>
      </c>
      <c r="I1143" s="6">
        <v>-143.7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ht="12.75" customHeight="1">
      <c r="A1144" s="4">
        <v>2986.0</v>
      </c>
      <c r="B1144" s="4">
        <v>21572.0</v>
      </c>
      <c r="C1144" s="5">
        <f>DATE(2012,12,31)-1417</f>
        <v>39857</v>
      </c>
      <c r="D1144" s="4" t="s">
        <v>78</v>
      </c>
      <c r="E1144" s="4">
        <v>42.0</v>
      </c>
      <c r="F1144" s="4">
        <v>8549.04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ht="12.75" customHeight="1">
      <c r="A1145" s="4">
        <v>3014.0</v>
      </c>
      <c r="B1145" s="4">
        <v>21671.0</v>
      </c>
      <c r="C1145" s="5">
        <f>DATE(2012,12,31)-930</f>
        <v>40344</v>
      </c>
      <c r="D1145" s="4" t="s">
        <v>30</v>
      </c>
      <c r="E1145" s="4">
        <v>15.0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</v>
      </c>
      <c r="U1145" s="5">
        <f>C1145+3</f>
        <v>40347</v>
      </c>
    </row>
    <row r="1146" ht="12.75" customHeight="1">
      <c r="A1146" s="4">
        <v>3156.0</v>
      </c>
      <c r="B1146" s="4">
        <v>22657.0</v>
      </c>
      <c r="C1146" s="5">
        <f t="shared" ref="C1146:C1147" si="503">DATE(2012,12,31)-429</f>
        <v>40845</v>
      </c>
      <c r="D1146" s="4" t="s">
        <v>30</v>
      </c>
      <c r="E1146" s="4">
        <v>36.0</v>
      </c>
      <c r="F1146" s="4">
        <v>9544.18</v>
      </c>
      <c r="G1146" s="4">
        <v>0.0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4">C1146+1</f>
        <v>40846</v>
      </c>
    </row>
    <row r="1147" ht="12.75" customHeight="1">
      <c r="A1147" s="4">
        <v>3157.0</v>
      </c>
      <c r="B1147" s="4">
        <v>22657.0</v>
      </c>
      <c r="C1147" s="5">
        <f t="shared" si="503"/>
        <v>40845</v>
      </c>
      <c r="D1147" s="4" t="s">
        <v>30</v>
      </c>
      <c r="E1147" s="4">
        <v>8.0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2.0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4"/>
        <v>40846</v>
      </c>
    </row>
    <row r="1148" ht="12.75" customHeight="1">
      <c r="A1148" s="4">
        <v>3238.0</v>
      </c>
      <c r="B1148" s="4">
        <v>23207.0</v>
      </c>
      <c r="C1148" s="5">
        <f>DATE(2012,12,31)-801</f>
        <v>40473</v>
      </c>
      <c r="D1148" s="4" t="s">
        <v>78</v>
      </c>
      <c r="E1148" s="4">
        <v>11.0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4"/>
        <v>40474</v>
      </c>
    </row>
    <row r="1149" ht="12.75" customHeight="1">
      <c r="A1149" s="4">
        <v>3346.0</v>
      </c>
      <c r="B1149" s="4">
        <v>23940.0</v>
      </c>
      <c r="C1149" s="5">
        <f t="shared" ref="C1149:C1150" si="505">DATE(2012,12,31)-633</f>
        <v>40641</v>
      </c>
      <c r="D1149" s="4" t="s">
        <v>63</v>
      </c>
      <c r="E1149" s="4">
        <v>20.0</v>
      </c>
      <c r="F1149" s="4">
        <v>138.52</v>
      </c>
      <c r="G1149" s="4">
        <v>0.03</v>
      </c>
      <c r="H1149" s="4" t="s">
        <v>22</v>
      </c>
      <c r="I1149" s="6">
        <v>-895.24</v>
      </c>
      <c r="J1149" s="4">
        <v>4.48</v>
      </c>
      <c r="K1149" s="4">
        <v>49.0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4"/>
        <v>40642</v>
      </c>
    </row>
    <row r="1150" ht="12.75" customHeight="1">
      <c r="A1150" s="4">
        <v>3347.0</v>
      </c>
      <c r="B1150" s="4">
        <v>23940.0</v>
      </c>
      <c r="C1150" s="5">
        <f t="shared" si="505"/>
        <v>40641</v>
      </c>
      <c r="D1150" s="4" t="s">
        <v>63</v>
      </c>
      <c r="E1150" s="4">
        <v>11.0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ht="12.75" customHeight="1">
      <c r="A1151" s="4">
        <v>3425.0</v>
      </c>
      <c r="B1151" s="4">
        <v>24450.0</v>
      </c>
      <c r="C1151" s="5">
        <f t="shared" ref="C1151:C1153" si="506">DATE(2012,12,31)-175</f>
        <v>41099</v>
      </c>
      <c r="D1151" s="4" t="s">
        <v>78</v>
      </c>
      <c r="E1151" s="4">
        <v>37.0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0.58</v>
      </c>
      <c r="U1151" s="5">
        <f>C1151+2</f>
        <v>41101</v>
      </c>
    </row>
    <row r="1152" ht="12.75" customHeight="1">
      <c r="A1152" s="4">
        <v>3426.0</v>
      </c>
      <c r="B1152" s="4">
        <v>24450.0</v>
      </c>
      <c r="C1152" s="5">
        <f t="shared" si="506"/>
        <v>41099</v>
      </c>
      <c r="D1152" s="4" t="s">
        <v>78</v>
      </c>
      <c r="E1152" s="4">
        <v>41.0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ht="12.75" customHeight="1">
      <c r="A1153" s="4">
        <v>3427.0</v>
      </c>
      <c r="B1153" s="4">
        <v>24450.0</v>
      </c>
      <c r="C1153" s="5">
        <f t="shared" si="506"/>
        <v>41099</v>
      </c>
      <c r="D1153" s="4" t="s">
        <v>78</v>
      </c>
      <c r="E1153" s="4">
        <v>4.0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ht="12.75" customHeight="1">
      <c r="A1154" s="4">
        <v>3446.0</v>
      </c>
      <c r="B1154" s="4">
        <v>24580.0</v>
      </c>
      <c r="C1154" s="5">
        <f t="shared" ref="C1154:C1155" si="507">DATE(2012,12,31)-191</f>
        <v>41083</v>
      </c>
      <c r="D1154" s="4" t="s">
        <v>30</v>
      </c>
      <c r="E1154" s="4">
        <v>25.0</v>
      </c>
      <c r="F1154" s="4">
        <v>1081.22</v>
      </c>
      <c r="G1154" s="4">
        <v>0.08</v>
      </c>
      <c r="H1154" s="4" t="s">
        <v>22</v>
      </c>
      <c r="I1154" s="6">
        <v>130.8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0.58</v>
      </c>
      <c r="U1154" s="5">
        <f>C1154+1</f>
        <v>41084</v>
      </c>
    </row>
    <row r="1155" ht="12.75" customHeight="1">
      <c r="A1155" s="4">
        <v>3447.0</v>
      </c>
      <c r="B1155" s="4">
        <v>24580.0</v>
      </c>
      <c r="C1155" s="5">
        <f t="shared" si="507"/>
        <v>41083</v>
      </c>
      <c r="D1155" s="4" t="s">
        <v>30</v>
      </c>
      <c r="E1155" s="4">
        <v>14.0</v>
      </c>
      <c r="F1155" s="4">
        <v>36.41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8">C1155+2</f>
        <v>41085</v>
      </c>
    </row>
    <row r="1156" ht="12.75" customHeight="1">
      <c r="A1156" s="4">
        <v>3488.0</v>
      </c>
      <c r="B1156" s="4">
        <v>24833.0</v>
      </c>
      <c r="C1156" s="5">
        <f>DATE(2012,12,31)-899</f>
        <v>40375</v>
      </c>
      <c r="D1156" s="4" t="s">
        <v>45</v>
      </c>
      <c r="E1156" s="4">
        <v>45.0</v>
      </c>
      <c r="F1156" s="4">
        <v>5205.83</v>
      </c>
      <c r="G1156" s="4">
        <v>0.08</v>
      </c>
      <c r="H1156" s="4" t="s">
        <v>31</v>
      </c>
      <c r="I1156" s="6">
        <v>-818.7660000000001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8"/>
        <v>40377</v>
      </c>
    </row>
    <row r="1157" ht="12.75" customHeight="1">
      <c r="A1157" s="4">
        <v>3498.0</v>
      </c>
      <c r="B1157" s="4">
        <v>24933.0</v>
      </c>
      <c r="C1157" s="5">
        <f t="shared" ref="C1157:C1158" si="509">DATE(2012,12,31)-1254</f>
        <v>40020</v>
      </c>
      <c r="D1157" s="4" t="s">
        <v>21</v>
      </c>
      <c r="E1157" s="4">
        <v>32.0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8"/>
        <v>40022</v>
      </c>
    </row>
    <row r="1158" ht="12.75" customHeight="1">
      <c r="A1158" s="4">
        <v>3499.0</v>
      </c>
      <c r="B1158" s="4">
        <v>24933.0</v>
      </c>
      <c r="C1158" s="5">
        <f t="shared" si="509"/>
        <v>40020</v>
      </c>
      <c r="D1158" s="4" t="s">
        <v>21</v>
      </c>
      <c r="E1158" s="4">
        <v>14.0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8"/>
        <v>40022</v>
      </c>
    </row>
    <row r="1159" ht="12.75" customHeight="1">
      <c r="A1159" s="4">
        <v>3514.0</v>
      </c>
      <c r="B1159" s="4">
        <v>25031.0</v>
      </c>
      <c r="C1159" s="5">
        <f t="shared" ref="C1159:C1160" si="510">DATE(2012,12,31)-1226</f>
        <v>40048</v>
      </c>
      <c r="D1159" s="4" t="s">
        <v>30</v>
      </c>
      <c r="E1159" s="4">
        <v>24.0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69.0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8"/>
        <v>40050</v>
      </c>
    </row>
    <row r="1160" ht="12.75" customHeight="1">
      <c r="A1160" s="4">
        <v>3515.0</v>
      </c>
      <c r="B1160" s="4">
        <v>25031.0</v>
      </c>
      <c r="C1160" s="5">
        <f t="shared" si="510"/>
        <v>40048</v>
      </c>
      <c r="D1160" s="4" t="s">
        <v>30</v>
      </c>
      <c r="E1160" s="4">
        <v>20.0</v>
      </c>
      <c r="F1160" s="4">
        <v>100.11</v>
      </c>
      <c r="G1160" s="4">
        <v>0.07</v>
      </c>
      <c r="H1160" s="4" t="s">
        <v>22</v>
      </c>
      <c r="I1160" s="6">
        <v>-41.7</v>
      </c>
      <c r="J1160" s="4">
        <v>4.98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ht="12.75" customHeight="1">
      <c r="A1161" s="4">
        <v>3590.0</v>
      </c>
      <c r="B1161" s="4">
        <v>25633.0</v>
      </c>
      <c r="C1161" s="5">
        <f>DATE(2012,12,31)-518</f>
        <v>40756</v>
      </c>
      <c r="D1161" s="4" t="s">
        <v>21</v>
      </c>
      <c r="E1161" s="4">
        <v>36.0</v>
      </c>
      <c r="F1161" s="4">
        <v>5140.08</v>
      </c>
      <c r="G1161" s="4">
        <v>0.06</v>
      </c>
      <c r="H1161" s="4" t="s">
        <v>31</v>
      </c>
      <c r="I1161" s="6">
        <v>-582.426</v>
      </c>
      <c r="J1161" s="4">
        <v>145.98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ht="12.75" customHeight="1">
      <c r="A1162" s="4">
        <v>3593.0</v>
      </c>
      <c r="B1162" s="4">
        <v>25635.0</v>
      </c>
      <c r="C1162" s="5">
        <f t="shared" ref="C1162:C1163" si="511">DATE(2012,12,31)-216</f>
        <v>41058</v>
      </c>
      <c r="D1162" s="4" t="s">
        <v>78</v>
      </c>
      <c r="E1162" s="4">
        <v>14.0</v>
      </c>
      <c r="F1162" s="4">
        <v>633.08</v>
      </c>
      <c r="G1162" s="4">
        <v>0.04</v>
      </c>
      <c r="H1162" s="4" t="s">
        <v>56</v>
      </c>
      <c r="I1162" s="6">
        <v>145.48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</v>
      </c>
      <c r="U1162" s="5">
        <f t="shared" ref="U1162:U1163" si="512">C1162+1</f>
        <v>41059</v>
      </c>
    </row>
    <row r="1163" ht="12.75" customHeight="1">
      <c r="A1163" s="4">
        <v>3594.0</v>
      </c>
      <c r="B1163" s="4">
        <v>25635.0</v>
      </c>
      <c r="C1163" s="5">
        <f t="shared" si="511"/>
        <v>41058</v>
      </c>
      <c r="D1163" s="4" t="s">
        <v>78</v>
      </c>
      <c r="E1163" s="4">
        <v>22.0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2"/>
        <v>41059</v>
      </c>
    </row>
    <row r="1164" ht="12.75" customHeight="1">
      <c r="A1164" s="4">
        <v>3618.0</v>
      </c>
      <c r="B1164" s="4">
        <v>25830.0</v>
      </c>
      <c r="C1164" s="5">
        <f t="shared" ref="C1164:C1165" si="513">DATE(2012,12,31)-970</f>
        <v>40304</v>
      </c>
      <c r="D1164" s="4" t="s">
        <v>21</v>
      </c>
      <c r="E1164" s="4">
        <v>5.0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ht="12.75" customHeight="1">
      <c r="A1165" s="4">
        <v>3619.0</v>
      </c>
      <c r="B1165" s="4">
        <v>25830.0</v>
      </c>
      <c r="C1165" s="5">
        <f t="shared" si="513"/>
        <v>40304</v>
      </c>
      <c r="D1165" s="4" t="s">
        <v>21</v>
      </c>
      <c r="E1165" s="4">
        <v>11.0</v>
      </c>
      <c r="F1165" s="4">
        <v>178.57</v>
      </c>
      <c r="G1165" s="4">
        <v>0.05</v>
      </c>
      <c r="H1165" s="4" t="s">
        <v>22</v>
      </c>
      <c r="I1165" s="6">
        <v>-37.3865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ht="12.75" customHeight="1">
      <c r="A1166" s="4">
        <v>3684.0</v>
      </c>
      <c r="B1166" s="4">
        <v>26342.0</v>
      </c>
      <c r="C1166" s="5">
        <f t="shared" ref="C1166:C1168" si="514">DATE(2012,12,31)-1170</f>
        <v>40104</v>
      </c>
      <c r="D1166" s="4" t="s">
        <v>21</v>
      </c>
      <c r="E1166" s="4">
        <v>24.0</v>
      </c>
      <c r="F1166" s="4">
        <v>265.35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ht="12.75" customHeight="1">
      <c r="A1167" s="4">
        <v>3685.0</v>
      </c>
      <c r="B1167" s="4">
        <v>26342.0</v>
      </c>
      <c r="C1167" s="5">
        <f t="shared" si="514"/>
        <v>40104</v>
      </c>
      <c r="D1167" s="4" t="s">
        <v>21</v>
      </c>
      <c r="E1167" s="4">
        <v>41.0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ht="12.75" customHeight="1">
      <c r="A1168" s="4">
        <v>3686.0</v>
      </c>
      <c r="B1168" s="4">
        <v>26342.0</v>
      </c>
      <c r="C1168" s="5">
        <f t="shared" si="514"/>
        <v>40104</v>
      </c>
      <c r="D1168" s="4" t="s">
        <v>21</v>
      </c>
      <c r="E1168" s="4">
        <v>3.0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ht="12.75" customHeight="1">
      <c r="A1169" s="4">
        <v>3687.0</v>
      </c>
      <c r="B1169" s="4">
        <v>26368.0</v>
      </c>
      <c r="C1169" s="5">
        <f>DATE(2012,12,31)-900</f>
        <v>40374</v>
      </c>
      <c r="D1169" s="4" t="s">
        <v>63</v>
      </c>
      <c r="E1169" s="4">
        <v>25.0</v>
      </c>
      <c r="F1169" s="4">
        <v>1809.0125</v>
      </c>
      <c r="G1169" s="4">
        <v>0.01</v>
      </c>
      <c r="H1169" s="4" t="s">
        <v>22</v>
      </c>
      <c r="I1169" s="6">
        <v>795.0509999999999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ht="12.75" customHeight="1">
      <c r="A1170" s="4">
        <v>3690.0</v>
      </c>
      <c r="B1170" s="4">
        <v>26372.0</v>
      </c>
      <c r="C1170" s="5">
        <f>DATE(2012,12,31)-1268</f>
        <v>40006</v>
      </c>
      <c r="D1170" s="4" t="s">
        <v>21</v>
      </c>
      <c r="E1170" s="4">
        <v>1.0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ht="12.75" customHeight="1">
      <c r="A1171" s="4">
        <v>3743.0</v>
      </c>
      <c r="B1171" s="4">
        <v>26756.0</v>
      </c>
      <c r="C1171" s="5">
        <f t="shared" ref="C1171:C1173" si="515">DATE(2012,12,31)-235</f>
        <v>41039</v>
      </c>
      <c r="D1171" s="4" t="s">
        <v>63</v>
      </c>
      <c r="E1171" s="4">
        <v>25.0</v>
      </c>
      <c r="F1171" s="4">
        <v>767.26</v>
      </c>
      <c r="G1171" s="4">
        <v>0.07</v>
      </c>
      <c r="H1171" s="4" t="s">
        <v>22</v>
      </c>
      <c r="I1171" s="6">
        <v>-29.56</v>
      </c>
      <c r="J1171" s="4">
        <v>30.97</v>
      </c>
      <c r="K1171" s="4">
        <v>4.0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ht="12.75" customHeight="1">
      <c r="A1172" s="4">
        <v>3744.0</v>
      </c>
      <c r="B1172" s="4">
        <v>26756.0</v>
      </c>
      <c r="C1172" s="5">
        <f t="shared" si="515"/>
        <v>41039</v>
      </c>
      <c r="D1172" s="4" t="s">
        <v>63</v>
      </c>
      <c r="E1172" s="4">
        <v>40.0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6">C1172+2</f>
        <v>41041</v>
      </c>
    </row>
    <row r="1173" ht="12.75" customHeight="1">
      <c r="A1173" s="4">
        <v>3745.0</v>
      </c>
      <c r="B1173" s="4">
        <v>26756.0</v>
      </c>
      <c r="C1173" s="5">
        <f t="shared" si="515"/>
        <v>41039</v>
      </c>
      <c r="D1173" s="4" t="s">
        <v>63</v>
      </c>
      <c r="E1173" s="4">
        <v>20.0</v>
      </c>
      <c r="F1173" s="4">
        <v>127.9</v>
      </c>
      <c r="G1173" s="4">
        <v>0.07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6"/>
        <v>41041</v>
      </c>
    </row>
    <row r="1174" ht="12.75" customHeight="1">
      <c r="A1174" s="4">
        <v>3757.0</v>
      </c>
      <c r="B1174" s="4">
        <v>26851.0</v>
      </c>
      <c r="C1174" s="5">
        <f>DATE(2012,12,31)-526</f>
        <v>40748</v>
      </c>
      <c r="D1174" s="4" t="s">
        <v>30</v>
      </c>
      <c r="E1174" s="4">
        <v>44.0</v>
      </c>
      <c r="F1174" s="4">
        <v>73.64</v>
      </c>
      <c r="G1174" s="4">
        <v>0.07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6"/>
        <v>40750</v>
      </c>
    </row>
    <row r="1175" ht="12.75" customHeight="1">
      <c r="A1175" s="4">
        <v>3787.0</v>
      </c>
      <c r="B1175" s="4">
        <v>26981.0</v>
      </c>
      <c r="C1175" s="5">
        <f t="shared" ref="C1175:C1176" si="517">DATE(2012,12,31)-123</f>
        <v>41151</v>
      </c>
      <c r="D1175" s="4" t="s">
        <v>63</v>
      </c>
      <c r="E1175" s="4">
        <v>13.0</v>
      </c>
      <c r="F1175" s="4">
        <v>603.347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ht="12.75" customHeight="1">
      <c r="A1176" s="4">
        <v>3788.0</v>
      </c>
      <c r="B1176" s="4">
        <v>26981.0</v>
      </c>
      <c r="C1176" s="5">
        <f t="shared" si="517"/>
        <v>41151</v>
      </c>
      <c r="D1176" s="4" t="s">
        <v>63</v>
      </c>
      <c r="E1176" s="4">
        <v>44.0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0.58</v>
      </c>
      <c r="U1176" s="5">
        <f>C1176+1</f>
        <v>41152</v>
      </c>
    </row>
    <row r="1177" ht="12.75" customHeight="1">
      <c r="A1177" s="4">
        <v>3827.0</v>
      </c>
      <c r="B1177" s="4">
        <v>27298.0</v>
      </c>
      <c r="C1177" s="5">
        <f t="shared" ref="C1177:C1178" si="518">DATE(2012,12,31)-408</f>
        <v>40866</v>
      </c>
      <c r="D1177" s="4" t="s">
        <v>21</v>
      </c>
      <c r="E1177" s="4">
        <v>40.0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ht="12.75" customHeight="1">
      <c r="A1178" s="4">
        <v>3828.0</v>
      </c>
      <c r="B1178" s="4">
        <v>27298.0</v>
      </c>
      <c r="C1178" s="5">
        <f t="shared" si="518"/>
        <v>40866</v>
      </c>
      <c r="D1178" s="4" t="s">
        <v>21</v>
      </c>
      <c r="E1178" s="4">
        <v>31.0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</v>
      </c>
      <c r="K1178" s="4">
        <v>4.86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ht="12.75" customHeight="1">
      <c r="A1179" s="4">
        <v>3834.0</v>
      </c>
      <c r="B1179" s="4">
        <v>27330.0</v>
      </c>
      <c r="C1179" s="5">
        <f t="shared" ref="C1179:C1180" si="519">DATE(2012,12,31)-1202</f>
        <v>40072</v>
      </c>
      <c r="D1179" s="4" t="s">
        <v>21</v>
      </c>
      <c r="E1179" s="4">
        <v>8.0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ht="12.75" customHeight="1">
      <c r="A1180" s="4">
        <v>3835.0</v>
      </c>
      <c r="B1180" s="4">
        <v>27330.0</v>
      </c>
      <c r="C1180" s="5">
        <f t="shared" si="519"/>
        <v>40072</v>
      </c>
      <c r="D1180" s="4" t="s">
        <v>21</v>
      </c>
      <c r="E1180" s="4">
        <v>30.0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</v>
      </c>
      <c r="U1180" s="5">
        <f>C1180+9</f>
        <v>40081</v>
      </c>
    </row>
    <row r="1181" ht="12.75" customHeight="1">
      <c r="A1181" s="4">
        <v>3896.0</v>
      </c>
      <c r="B1181" s="4">
        <v>27781.0</v>
      </c>
      <c r="C1181" s="5">
        <f>DATE(2012,12,31)-473</f>
        <v>40801</v>
      </c>
      <c r="D1181" s="4" t="s">
        <v>30</v>
      </c>
      <c r="E1181" s="4">
        <v>47.0</v>
      </c>
      <c r="F1181" s="4">
        <v>181.13</v>
      </c>
      <c r="G1181" s="4">
        <v>0.0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ht="12.75" customHeight="1">
      <c r="A1182" s="4">
        <v>3956.0</v>
      </c>
      <c r="B1182" s="4">
        <v>28225.0</v>
      </c>
      <c r="C1182" s="5">
        <f>DATE(2012,12,31)-1439</f>
        <v>39835</v>
      </c>
      <c r="D1182" s="4" t="s">
        <v>78</v>
      </c>
      <c r="E1182" s="4">
        <v>9.0</v>
      </c>
      <c r="F1182" s="4">
        <v>206.04</v>
      </c>
      <c r="G1182" s="4">
        <v>0.0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ht="12.75" customHeight="1">
      <c r="A1183" s="4">
        <v>3975.0</v>
      </c>
      <c r="B1183" s="4">
        <v>28389.0</v>
      </c>
      <c r="C1183" s="5">
        <f t="shared" ref="C1183:C1185" si="520">DATE(2012,12,31)-1154</f>
        <v>40120</v>
      </c>
      <c r="D1183" s="4" t="s">
        <v>30</v>
      </c>
      <c r="E1183" s="4">
        <v>22.0</v>
      </c>
      <c r="F1183" s="4">
        <v>668.39</v>
      </c>
      <c r="G1183" s="4">
        <v>0.07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1">C1183+1</f>
        <v>40121</v>
      </c>
    </row>
    <row r="1184" ht="12.75" customHeight="1">
      <c r="A1184" s="4">
        <v>3976.0</v>
      </c>
      <c r="B1184" s="4">
        <v>28389.0</v>
      </c>
      <c r="C1184" s="5">
        <f t="shared" si="520"/>
        <v>40120</v>
      </c>
      <c r="D1184" s="4" t="s">
        <v>30</v>
      </c>
      <c r="E1184" s="4">
        <v>16.0</v>
      </c>
      <c r="F1184" s="4">
        <v>4657.35</v>
      </c>
      <c r="G1184" s="4">
        <v>0.05</v>
      </c>
      <c r="H1184" s="4" t="s">
        <v>31</v>
      </c>
      <c r="I1184" s="6">
        <v>322.66</v>
      </c>
      <c r="J1184" s="4">
        <v>297.48</v>
      </c>
      <c r="K1184" s="4">
        <v>18.06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1"/>
        <v>40121</v>
      </c>
    </row>
    <row r="1185" ht="12.75" customHeight="1">
      <c r="A1185" s="4">
        <v>3977.0</v>
      </c>
      <c r="B1185" s="4">
        <v>28389.0</v>
      </c>
      <c r="C1185" s="5">
        <f t="shared" si="520"/>
        <v>40120</v>
      </c>
      <c r="D1185" s="4" t="s">
        <v>30</v>
      </c>
      <c r="E1185" s="4">
        <v>7.0</v>
      </c>
      <c r="F1185" s="4">
        <v>2097.94</v>
      </c>
      <c r="G1185" s="4">
        <v>0.07</v>
      </c>
      <c r="H1185" s="4" t="s">
        <v>31</v>
      </c>
      <c r="I1185" s="6">
        <v>-404.046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ht="12.75" customHeight="1">
      <c r="A1186" s="4">
        <v>4054.0</v>
      </c>
      <c r="B1186" s="4">
        <v>28898.0</v>
      </c>
      <c r="C1186" s="5">
        <f>DATE(2012,12,31)-583</f>
        <v>40691</v>
      </c>
      <c r="D1186" s="4" t="s">
        <v>21</v>
      </c>
      <c r="E1186" s="4">
        <v>44.0</v>
      </c>
      <c r="F1186" s="4">
        <v>246.0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ht="12.75" customHeight="1">
      <c r="A1187" s="4">
        <v>4056.0</v>
      </c>
      <c r="B1187" s="4">
        <v>28901.0</v>
      </c>
      <c r="C1187" s="5">
        <f>DATE(2012,12,31)-203</f>
        <v>41071</v>
      </c>
      <c r="D1187" s="4" t="s">
        <v>30</v>
      </c>
      <c r="E1187" s="4">
        <v>23.0</v>
      </c>
      <c r="F1187" s="4">
        <v>871.32</v>
      </c>
      <c r="G1187" s="4">
        <v>0.1</v>
      </c>
      <c r="H1187" s="4" t="s">
        <v>22</v>
      </c>
      <c r="I1187" s="6">
        <v>315.16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2">C1187+1</f>
        <v>41072</v>
      </c>
    </row>
    <row r="1188" ht="12.75" customHeight="1">
      <c r="A1188" s="4">
        <v>4091.0</v>
      </c>
      <c r="B1188" s="4">
        <v>29185.0</v>
      </c>
      <c r="C1188" s="5">
        <f t="shared" ref="C1188:C1190" si="523">DATE(2012,12,31)-1076</f>
        <v>40198</v>
      </c>
      <c r="D1188" s="4" t="s">
        <v>30</v>
      </c>
      <c r="E1188" s="4">
        <v>8.0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</v>
      </c>
      <c r="U1188" s="5">
        <f t="shared" si="522"/>
        <v>40199</v>
      </c>
    </row>
    <row r="1189" ht="12.75" customHeight="1">
      <c r="A1189" s="4">
        <v>4092.0</v>
      </c>
      <c r="B1189" s="4">
        <v>29185.0</v>
      </c>
      <c r="C1189" s="5">
        <f t="shared" si="523"/>
        <v>40198</v>
      </c>
      <c r="D1189" s="4" t="s">
        <v>30</v>
      </c>
      <c r="E1189" s="4">
        <v>48.0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8.37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4">C1189+2</f>
        <v>40200</v>
      </c>
    </row>
    <row r="1190" ht="12.75" customHeight="1">
      <c r="A1190" s="4">
        <v>4093.0</v>
      </c>
      <c r="B1190" s="4">
        <v>29185.0</v>
      </c>
      <c r="C1190" s="5">
        <f t="shared" si="523"/>
        <v>40198</v>
      </c>
      <c r="D1190" s="4" t="s">
        <v>30</v>
      </c>
      <c r="E1190" s="4">
        <v>5.0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4"/>
        <v>40200</v>
      </c>
    </row>
    <row r="1191" ht="12.75" customHeight="1">
      <c r="A1191" s="4">
        <v>4143.0</v>
      </c>
      <c r="B1191" s="4">
        <v>29408.0</v>
      </c>
      <c r="C1191" s="5">
        <f>DATE(2012,12,31)-974</f>
        <v>40300</v>
      </c>
      <c r="D1191" s="4" t="s">
        <v>45</v>
      </c>
      <c r="E1191" s="4">
        <v>44.0</v>
      </c>
      <c r="F1191" s="4">
        <v>4260.73</v>
      </c>
      <c r="G1191" s="4">
        <v>0.07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5">C1191+1</f>
        <v>40301</v>
      </c>
    </row>
    <row r="1192" ht="12.75" customHeight="1">
      <c r="A1192" s="4">
        <v>4219.0</v>
      </c>
      <c r="B1192" s="4">
        <v>29985.0</v>
      </c>
      <c r="C1192" s="5">
        <f>DATE(2012,12,31)-173</f>
        <v>41101</v>
      </c>
      <c r="D1192" s="4" t="s">
        <v>78</v>
      </c>
      <c r="E1192" s="4">
        <v>22.0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5"/>
        <v>41102</v>
      </c>
    </row>
    <row r="1193" ht="12.75" customHeight="1">
      <c r="A1193" s="4">
        <v>4220.0</v>
      </c>
      <c r="B1193" s="4">
        <v>29986.0</v>
      </c>
      <c r="C1193" s="5">
        <f>DATE(2012,12,31)-547</f>
        <v>40727</v>
      </c>
      <c r="D1193" s="4" t="s">
        <v>78</v>
      </c>
      <c r="E1193" s="4">
        <v>40.0</v>
      </c>
      <c r="F1193" s="4">
        <v>1477.39</v>
      </c>
      <c r="G1193" s="4">
        <v>0.03</v>
      </c>
      <c r="H1193" s="4" t="s">
        <v>22</v>
      </c>
      <c r="I1193" s="6">
        <v>641.4015</v>
      </c>
      <c r="J1193" s="4">
        <v>37.7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ht="12.75" customHeight="1">
      <c r="A1194" s="4">
        <v>4237.0</v>
      </c>
      <c r="B1194" s="4">
        <v>30147.0</v>
      </c>
      <c r="C1194" s="5">
        <f>DATE(2012,12,31)-197</f>
        <v>41077</v>
      </c>
      <c r="D1194" s="4" t="s">
        <v>45</v>
      </c>
      <c r="E1194" s="4">
        <v>37.0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ht="12.75" customHeight="1">
      <c r="A1195" s="4">
        <v>4238.0</v>
      </c>
      <c r="B1195" s="4">
        <v>30149.0</v>
      </c>
      <c r="C1195" s="5">
        <f t="shared" ref="C1195:C1197" si="526">DATE(2012,12,31)-750</f>
        <v>40524</v>
      </c>
      <c r="D1195" s="4" t="s">
        <v>63</v>
      </c>
      <c r="E1195" s="4">
        <v>8.0</v>
      </c>
      <c r="F1195" s="4">
        <v>16.47</v>
      </c>
      <c r="G1195" s="4">
        <v>0.1</v>
      </c>
      <c r="H1195" s="4" t="s">
        <v>22</v>
      </c>
      <c r="I1195" s="6">
        <v>-6.8195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ht="12.75" customHeight="1">
      <c r="A1196" s="4">
        <v>4239.0</v>
      </c>
      <c r="B1196" s="4">
        <v>30149.0</v>
      </c>
      <c r="C1196" s="5">
        <f t="shared" si="526"/>
        <v>40524</v>
      </c>
      <c r="D1196" s="4" t="s">
        <v>63</v>
      </c>
      <c r="E1196" s="4">
        <v>5.0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0.58</v>
      </c>
      <c r="U1196" s="5">
        <f>C1196+2</f>
        <v>40526</v>
      </c>
    </row>
    <row r="1197" ht="12.75" customHeight="1">
      <c r="A1197" s="4">
        <v>4240.0</v>
      </c>
      <c r="B1197" s="4">
        <v>30149.0</v>
      </c>
      <c r="C1197" s="5">
        <f t="shared" si="526"/>
        <v>40524</v>
      </c>
      <c r="D1197" s="4" t="s">
        <v>63</v>
      </c>
      <c r="E1197" s="4">
        <v>50.0</v>
      </c>
      <c r="F1197" s="4">
        <v>690.97</v>
      </c>
      <c r="G1197" s="4">
        <v>0.03</v>
      </c>
      <c r="H1197" s="4" t="s">
        <v>22</v>
      </c>
      <c r="I1197" s="6">
        <v>-16.94</v>
      </c>
      <c r="J1197" s="4">
        <v>13.79</v>
      </c>
      <c r="K1197" s="4">
        <v>8.78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ht="12.75" customHeight="1">
      <c r="A1198" s="4">
        <v>4257.0</v>
      </c>
      <c r="B1198" s="4">
        <v>30310.0</v>
      </c>
      <c r="C1198" s="5">
        <f>DATE(2012,12,31)-249</f>
        <v>41025</v>
      </c>
      <c r="D1198" s="4" t="s">
        <v>63</v>
      </c>
      <c r="E1198" s="4">
        <v>21.0</v>
      </c>
      <c r="F1198" s="4">
        <v>2024.0285</v>
      </c>
      <c r="G1198" s="4">
        <v>0.1</v>
      </c>
      <c r="H1198" s="4" t="s">
        <v>22</v>
      </c>
      <c r="I1198" s="6">
        <v>4.896000000000011</v>
      </c>
      <c r="J1198" s="4">
        <v>125.99</v>
      </c>
      <c r="K1198" s="4">
        <v>8.8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ht="12.75" customHeight="1">
      <c r="A1199" s="4">
        <v>4407.0</v>
      </c>
      <c r="B1199" s="4">
        <v>31426.0</v>
      </c>
      <c r="C1199" s="5">
        <f>DATE(2012,12,31)-1244</f>
        <v>40030</v>
      </c>
      <c r="D1199" s="4" t="s">
        <v>21</v>
      </c>
      <c r="E1199" s="4">
        <v>40.0</v>
      </c>
      <c r="F1199" s="4">
        <v>4054.0579999999995</v>
      </c>
      <c r="G1199" s="4">
        <v>0.09</v>
      </c>
      <c r="H1199" s="4" t="s">
        <v>22</v>
      </c>
      <c r="I1199" s="6">
        <v>914.193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7">C1199+4</f>
        <v>40034</v>
      </c>
    </row>
    <row r="1200" ht="12.75" customHeight="1">
      <c r="A1200" s="4">
        <v>4471.0</v>
      </c>
      <c r="B1200" s="4">
        <v>31872.0</v>
      </c>
      <c r="C1200" s="5">
        <f t="shared" ref="C1200:C1201" si="528">DATE(2012,12,31)-847</f>
        <v>40427</v>
      </c>
      <c r="D1200" s="4" t="s">
        <v>21</v>
      </c>
      <c r="E1200" s="4">
        <v>34.0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7"/>
        <v>40431</v>
      </c>
    </row>
    <row r="1201" ht="12.75" customHeight="1">
      <c r="A1201" s="4">
        <v>4472.0</v>
      </c>
      <c r="B1201" s="4">
        <v>31872.0</v>
      </c>
      <c r="C1201" s="5">
        <f t="shared" si="528"/>
        <v>40427</v>
      </c>
      <c r="D1201" s="4" t="s">
        <v>21</v>
      </c>
      <c r="E1201" s="4">
        <v>30.0</v>
      </c>
      <c r="F1201" s="4">
        <v>4452.65</v>
      </c>
      <c r="G1201" s="4">
        <v>0.09</v>
      </c>
      <c r="H1201" s="4" t="s">
        <v>31</v>
      </c>
      <c r="I1201" s="6">
        <v>-265.122</v>
      </c>
      <c r="J1201" s="4">
        <v>159.31</v>
      </c>
      <c r="K1201" s="4">
        <v>60.0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</v>
      </c>
      <c r="U1201" s="5">
        <f t="shared" si="527"/>
        <v>40431</v>
      </c>
    </row>
    <row r="1202" ht="12.75" customHeight="1">
      <c r="A1202" s="4">
        <v>4477.0</v>
      </c>
      <c r="B1202" s="4">
        <v>31874.0</v>
      </c>
      <c r="C1202" s="5">
        <f t="shared" ref="C1202:C1203" si="529">DATE(2012,12,31)-107</f>
        <v>41167</v>
      </c>
      <c r="D1202" s="4" t="s">
        <v>30</v>
      </c>
      <c r="E1202" s="4">
        <v>29.0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0.57</v>
      </c>
      <c r="U1202" s="5">
        <f t="shared" ref="U1202:U1203" si="530">C1202+0</f>
        <v>41167</v>
      </c>
    </row>
    <row r="1203" ht="12.75" customHeight="1">
      <c r="A1203" s="4">
        <v>4478.0</v>
      </c>
      <c r="B1203" s="4">
        <v>31874.0</v>
      </c>
      <c r="C1203" s="5">
        <f t="shared" si="529"/>
        <v>41167</v>
      </c>
      <c r="D1203" s="4" t="s">
        <v>30</v>
      </c>
      <c r="E1203" s="4">
        <v>39.0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30"/>
        <v>41167</v>
      </c>
    </row>
    <row r="1204" ht="12.75" customHeight="1">
      <c r="A1204" s="4">
        <v>4485.0</v>
      </c>
      <c r="B1204" s="4">
        <v>31938.0</v>
      </c>
      <c r="C1204" s="5">
        <f t="shared" ref="C1204:C1205" si="531">DATE(2012,12,31)-523</f>
        <v>40751</v>
      </c>
      <c r="D1204" s="4" t="s">
        <v>63</v>
      </c>
      <c r="E1204" s="4">
        <v>13.0</v>
      </c>
      <c r="F1204" s="4">
        <v>1193.62</v>
      </c>
      <c r="G1204" s="4">
        <v>0.08</v>
      </c>
      <c r="H1204" s="4" t="s">
        <v>31</v>
      </c>
      <c r="I1204" s="6">
        <v>-304.47</v>
      </c>
      <c r="J1204" s="4">
        <v>89.99</v>
      </c>
      <c r="K1204" s="4">
        <v>42.0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ht="12.75" customHeight="1">
      <c r="A1205" s="4">
        <v>4486.0</v>
      </c>
      <c r="B1205" s="4">
        <v>31938.0</v>
      </c>
      <c r="C1205" s="5">
        <f t="shared" si="531"/>
        <v>40751</v>
      </c>
      <c r="D1205" s="4" t="s">
        <v>63</v>
      </c>
      <c r="E1205" s="4">
        <v>47.0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4.0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ht="12.75" customHeight="1">
      <c r="A1206" s="4">
        <v>4576.0</v>
      </c>
      <c r="B1206" s="4">
        <v>32582.0</v>
      </c>
      <c r="C1206" s="5">
        <f>DATE(2012,12,31)-1285</f>
        <v>39989</v>
      </c>
      <c r="D1206" s="4" t="s">
        <v>45</v>
      </c>
      <c r="E1206" s="4">
        <v>27.0</v>
      </c>
      <c r="F1206" s="4">
        <v>2780.88</v>
      </c>
      <c r="G1206" s="4">
        <v>0.07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ht="12.75" customHeight="1">
      <c r="A1207" s="4">
        <v>4580.0</v>
      </c>
      <c r="B1207" s="4">
        <v>32611.0</v>
      </c>
      <c r="C1207" s="5">
        <f t="shared" ref="C1207:C1210" si="532">DATE(2012,12,31)-1222</f>
        <v>40052</v>
      </c>
      <c r="D1207" s="4" t="s">
        <v>63</v>
      </c>
      <c r="E1207" s="4">
        <v>16.0</v>
      </c>
      <c r="F1207" s="4">
        <v>33.76</v>
      </c>
      <c r="G1207" s="4">
        <v>0.04</v>
      </c>
      <c r="H1207" s="4" t="s">
        <v>22</v>
      </c>
      <c r="I1207" s="6">
        <v>-7.153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ht="12.75" customHeight="1">
      <c r="A1208" s="4">
        <v>4581.0</v>
      </c>
      <c r="B1208" s="4">
        <v>32611.0</v>
      </c>
      <c r="C1208" s="5">
        <f t="shared" si="532"/>
        <v>40052</v>
      </c>
      <c r="D1208" s="4" t="s">
        <v>63</v>
      </c>
      <c r="E1208" s="4">
        <v>19.0</v>
      </c>
      <c r="F1208" s="4">
        <v>3537.39</v>
      </c>
      <c r="G1208" s="4">
        <v>0.0</v>
      </c>
      <c r="H1208" s="4" t="s">
        <v>31</v>
      </c>
      <c r="I1208" s="6">
        <v>232.78</v>
      </c>
      <c r="J1208" s="4">
        <v>180.98</v>
      </c>
      <c r="K1208" s="4">
        <v>30.0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3">C1208+1</f>
        <v>40053</v>
      </c>
    </row>
    <row r="1209" ht="12.75" customHeight="1">
      <c r="A1209" s="4">
        <v>4582.0</v>
      </c>
      <c r="B1209" s="4">
        <v>32611.0</v>
      </c>
      <c r="C1209" s="5">
        <f t="shared" si="532"/>
        <v>40052</v>
      </c>
      <c r="D1209" s="4" t="s">
        <v>63</v>
      </c>
      <c r="E1209" s="4">
        <v>18.0</v>
      </c>
      <c r="F1209" s="4">
        <v>986.24</v>
      </c>
      <c r="G1209" s="4">
        <v>0.02</v>
      </c>
      <c r="H1209" s="4" t="s">
        <v>56</v>
      </c>
      <c r="I1209" s="6">
        <v>68.9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3"/>
        <v>40053</v>
      </c>
    </row>
    <row r="1210" ht="12.75" customHeight="1">
      <c r="A1210" s="4">
        <v>4583.0</v>
      </c>
      <c r="B1210" s="4">
        <v>32611.0</v>
      </c>
      <c r="C1210" s="5">
        <f t="shared" si="532"/>
        <v>40052</v>
      </c>
      <c r="D1210" s="4" t="s">
        <v>63</v>
      </c>
      <c r="E1210" s="4">
        <v>15.0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</v>
      </c>
      <c r="K1210" s="4">
        <v>5.02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ht="12.75" customHeight="1">
      <c r="A1211" s="4">
        <v>4620.0</v>
      </c>
      <c r="B1211" s="4">
        <v>32901.0</v>
      </c>
      <c r="C1211" s="5">
        <f>DATE(2012,12,31)-721</f>
        <v>40553</v>
      </c>
      <c r="D1211" s="4" t="s">
        <v>78</v>
      </c>
      <c r="E1211" s="4">
        <v>13.0</v>
      </c>
      <c r="F1211" s="4">
        <v>49.74</v>
      </c>
      <c r="G1211" s="4">
        <v>0.0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ht="12.75" customHeight="1">
      <c r="A1212" s="4">
        <v>4678.0</v>
      </c>
      <c r="B1212" s="4">
        <v>33284.0</v>
      </c>
      <c r="C1212" s="5">
        <f>DATE(2012,12,31)-275</f>
        <v>40999</v>
      </c>
      <c r="D1212" s="4" t="s">
        <v>21</v>
      </c>
      <c r="E1212" s="4">
        <v>21.0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ht="12.75" customHeight="1">
      <c r="A1213" s="4">
        <v>4680.0</v>
      </c>
      <c r="B1213" s="4">
        <v>33287.0</v>
      </c>
      <c r="C1213" s="5">
        <f>DATE(2012,12,31)-619</f>
        <v>40655</v>
      </c>
      <c r="D1213" s="4" t="s">
        <v>78</v>
      </c>
      <c r="E1213" s="4">
        <v>44.0</v>
      </c>
      <c r="F1213" s="4">
        <v>11904.55</v>
      </c>
      <c r="G1213" s="4">
        <v>0.0</v>
      </c>
      <c r="H1213" s="4" t="s">
        <v>31</v>
      </c>
      <c r="I1213" s="6">
        <v>3909.33</v>
      </c>
      <c r="J1213" s="4">
        <v>270.97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</v>
      </c>
      <c r="U1213" s="5">
        <f>C1213+3</f>
        <v>40658</v>
      </c>
    </row>
    <row r="1214" ht="12.75" customHeight="1">
      <c r="A1214" s="4">
        <v>4745.0</v>
      </c>
      <c r="B1214" s="4">
        <v>33732.0</v>
      </c>
      <c r="C1214" s="5">
        <f>DATE(2012,12,31)-1221</f>
        <v>40053</v>
      </c>
      <c r="D1214" s="4" t="s">
        <v>45</v>
      </c>
      <c r="E1214" s="4">
        <v>33.0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</v>
      </c>
      <c r="U1214" s="5">
        <f>C1214+1</f>
        <v>40054</v>
      </c>
    </row>
    <row r="1215" ht="12.75" customHeight="1">
      <c r="A1215" s="4">
        <v>4843.0</v>
      </c>
      <c r="B1215" s="4">
        <v>34435.0</v>
      </c>
      <c r="C1215" s="5">
        <f>DATE(2012,12,31)-1244</f>
        <v>40030</v>
      </c>
      <c r="D1215" s="4" t="s">
        <v>21</v>
      </c>
      <c r="E1215" s="4">
        <v>42.0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ht="12.75" customHeight="1">
      <c r="A1216" s="4">
        <v>4899.0</v>
      </c>
      <c r="B1216" s="4">
        <v>34852.0</v>
      </c>
      <c r="C1216" s="5">
        <f>DATE(2012,12,31)-117</f>
        <v>41157</v>
      </c>
      <c r="D1216" s="4" t="s">
        <v>21</v>
      </c>
      <c r="E1216" s="4">
        <v>26.0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ht="12.75" customHeight="1">
      <c r="A1217" s="4">
        <v>5001.0</v>
      </c>
      <c r="B1217" s="4">
        <v>35649.0</v>
      </c>
      <c r="C1217" s="5">
        <f t="shared" ref="C1217:C1218" si="534">DATE(2012,12,31)-449</f>
        <v>40825</v>
      </c>
      <c r="D1217" s="4" t="s">
        <v>63</v>
      </c>
      <c r="E1217" s="4">
        <v>9.0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5">C1217+2</f>
        <v>40827</v>
      </c>
    </row>
    <row r="1218" ht="12.75" customHeight="1">
      <c r="A1218" s="4">
        <v>5002.0</v>
      </c>
      <c r="B1218" s="4">
        <v>35649.0</v>
      </c>
      <c r="C1218" s="5">
        <f t="shared" si="534"/>
        <v>40825</v>
      </c>
      <c r="D1218" s="4" t="s">
        <v>63</v>
      </c>
      <c r="E1218" s="4">
        <v>25.0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5"/>
        <v>40827</v>
      </c>
    </row>
    <row r="1219" ht="12.75" customHeight="1">
      <c r="A1219" s="4">
        <v>5121.0</v>
      </c>
      <c r="B1219" s="4">
        <v>36480.0</v>
      </c>
      <c r="C1219" s="5">
        <f>DATE(2012,12,31)-862</f>
        <v>40412</v>
      </c>
      <c r="D1219" s="4" t="s">
        <v>63</v>
      </c>
      <c r="E1219" s="4">
        <v>44.0</v>
      </c>
      <c r="F1219" s="4">
        <v>1190.8</v>
      </c>
      <c r="G1219" s="4">
        <v>0.07</v>
      </c>
      <c r="H1219" s="4" t="s">
        <v>22</v>
      </c>
      <c r="I1219" s="6">
        <v>502.486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ht="12.75" customHeight="1">
      <c r="A1220" s="4">
        <v>5171.0</v>
      </c>
      <c r="B1220" s="4">
        <v>36803.0</v>
      </c>
      <c r="C1220" s="5">
        <f t="shared" ref="C1220:C1222" si="536">DATE(2012,12,31)-149</f>
        <v>41125</v>
      </c>
      <c r="D1220" s="4" t="s">
        <v>45</v>
      </c>
      <c r="E1220" s="4">
        <v>42.0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7">C1220+2</f>
        <v>41127</v>
      </c>
    </row>
    <row r="1221" ht="12.75" customHeight="1">
      <c r="A1221" s="4">
        <v>5172.0</v>
      </c>
      <c r="B1221" s="4">
        <v>36803.0</v>
      </c>
      <c r="C1221" s="5">
        <f t="shared" si="536"/>
        <v>41125</v>
      </c>
      <c r="D1221" s="4" t="s">
        <v>45</v>
      </c>
      <c r="E1221" s="4">
        <v>2.0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7"/>
        <v>41127</v>
      </c>
    </row>
    <row r="1222" ht="12.75" customHeight="1">
      <c r="A1222" s="4">
        <v>5173.0</v>
      </c>
      <c r="B1222" s="4">
        <v>36803.0</v>
      </c>
      <c r="C1222" s="5">
        <f t="shared" si="536"/>
        <v>41125</v>
      </c>
      <c r="D1222" s="4" t="s">
        <v>45</v>
      </c>
      <c r="E1222" s="4">
        <v>2.0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65.99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</v>
      </c>
      <c r="U1222" s="5">
        <f t="shared" si="537"/>
        <v>41127</v>
      </c>
    </row>
    <row r="1223" ht="12.75" customHeight="1">
      <c r="A1223" s="4">
        <v>5174.0</v>
      </c>
      <c r="B1223" s="4">
        <v>36805.0</v>
      </c>
      <c r="C1223" s="5">
        <f t="shared" ref="C1223:C1224" si="538">DATE(2012,12,31)-748</f>
        <v>40526</v>
      </c>
      <c r="D1223" s="4" t="s">
        <v>63</v>
      </c>
      <c r="E1223" s="4">
        <v>7.0</v>
      </c>
      <c r="F1223" s="4">
        <v>263.8</v>
      </c>
      <c r="G1223" s="4">
        <v>0.0</v>
      </c>
      <c r="H1223" s="4" t="s">
        <v>22</v>
      </c>
      <c r="I1223" s="6">
        <v>165.33</v>
      </c>
      <c r="J1223" s="4">
        <v>34.23</v>
      </c>
      <c r="K1223" s="4">
        <v>5.02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</v>
      </c>
      <c r="U1223" s="5">
        <f t="shared" si="537"/>
        <v>40528</v>
      </c>
    </row>
    <row r="1224" ht="12.75" customHeight="1">
      <c r="A1224" s="4">
        <v>5175.0</v>
      </c>
      <c r="B1224" s="4">
        <v>36805.0</v>
      </c>
      <c r="C1224" s="5">
        <f t="shared" si="538"/>
        <v>40526</v>
      </c>
      <c r="D1224" s="4" t="s">
        <v>63</v>
      </c>
      <c r="E1224" s="4">
        <v>28.0</v>
      </c>
      <c r="F1224" s="4">
        <v>1546.3964999999998</v>
      </c>
      <c r="G1224" s="4">
        <v>0.07</v>
      </c>
      <c r="H1224" s="4" t="s">
        <v>56</v>
      </c>
      <c r="I1224" s="6">
        <v>226.719</v>
      </c>
      <c r="J1224" s="4">
        <v>65.99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7"/>
        <v>40528</v>
      </c>
    </row>
    <row r="1225" ht="12.75" customHeight="1">
      <c r="A1225" s="4">
        <v>5180.0</v>
      </c>
      <c r="B1225" s="4">
        <v>36834.0</v>
      </c>
      <c r="C1225" s="5">
        <f>DATE(2012,12,31)-1103</f>
        <v>40171</v>
      </c>
      <c r="D1225" s="4" t="s">
        <v>21</v>
      </c>
      <c r="E1225" s="4">
        <v>11.0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7"/>
        <v>40173</v>
      </c>
    </row>
    <row r="1226" ht="12.75" customHeight="1">
      <c r="A1226" s="4">
        <v>5255.0</v>
      </c>
      <c r="B1226" s="4">
        <v>37410.0</v>
      </c>
      <c r="C1226" s="5">
        <f>DATE(2012,12,31)-811</f>
        <v>40463</v>
      </c>
      <c r="D1226" s="4" t="s">
        <v>63</v>
      </c>
      <c r="E1226" s="4">
        <v>45.0</v>
      </c>
      <c r="F1226" s="4">
        <v>18775.76</v>
      </c>
      <c r="G1226" s="4">
        <v>0.03</v>
      </c>
      <c r="H1226" s="4" t="s">
        <v>31</v>
      </c>
      <c r="I1226" s="6">
        <v>8504.47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7"/>
        <v>40465</v>
      </c>
    </row>
    <row r="1227" ht="12.75" customHeight="1">
      <c r="A1227" s="4">
        <v>5297.0</v>
      </c>
      <c r="B1227" s="4">
        <v>37729.0</v>
      </c>
      <c r="C1227" s="5">
        <f>DATE(2012,12,31)-1446</f>
        <v>39828</v>
      </c>
      <c r="D1227" s="4" t="s">
        <v>45</v>
      </c>
      <c r="E1227" s="4">
        <v>48.0</v>
      </c>
      <c r="F1227" s="4">
        <v>447.89</v>
      </c>
      <c r="G1227" s="4">
        <v>0.0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9">C1227+0</f>
        <v>39828</v>
      </c>
    </row>
    <row r="1228" ht="12.75" customHeight="1">
      <c r="A1228" s="4">
        <v>5346.0</v>
      </c>
      <c r="B1228" s="4">
        <v>37988.0</v>
      </c>
      <c r="C1228" s="5">
        <f>DATE(2012,12,31)-636</f>
        <v>40638</v>
      </c>
      <c r="D1228" s="4" t="s">
        <v>45</v>
      </c>
      <c r="E1228" s="4">
        <v>12.0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16.06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9"/>
        <v>40638</v>
      </c>
    </row>
    <row r="1229" ht="12.75" customHeight="1">
      <c r="A1229" s="4">
        <v>5449.0</v>
      </c>
      <c r="B1229" s="4">
        <v>38690.0</v>
      </c>
      <c r="C1229" s="5">
        <f>DATE(2012,12,31)-346</f>
        <v>40928</v>
      </c>
      <c r="D1229" s="4" t="s">
        <v>21</v>
      </c>
      <c r="E1229" s="4">
        <v>28.0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ht="12.75" customHeight="1">
      <c r="A1230" s="4">
        <v>5457.0</v>
      </c>
      <c r="B1230" s="4">
        <v>38758.0</v>
      </c>
      <c r="C1230" s="5">
        <f>DATE(2012,12,31)-464</f>
        <v>40810</v>
      </c>
      <c r="D1230" s="4" t="s">
        <v>45</v>
      </c>
      <c r="E1230" s="4">
        <v>7.0</v>
      </c>
      <c r="F1230" s="4">
        <v>497.2</v>
      </c>
      <c r="G1230" s="4">
        <v>0.0</v>
      </c>
      <c r="H1230" s="4" t="s">
        <v>22</v>
      </c>
      <c r="I1230" s="6">
        <v>-219.61</v>
      </c>
      <c r="J1230" s="4">
        <v>60.98</v>
      </c>
      <c r="K1230" s="4">
        <v>49.0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ht="12.75" customHeight="1">
      <c r="A1231" s="4">
        <v>5554.0</v>
      </c>
      <c r="B1231" s="4">
        <v>39332.0</v>
      </c>
      <c r="C1231" s="5">
        <f>DATE(2012,12,31)-449</f>
        <v>40825</v>
      </c>
      <c r="D1231" s="4" t="s">
        <v>78</v>
      </c>
      <c r="E1231" s="4">
        <v>4.0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0.57</v>
      </c>
      <c r="U1231" s="5">
        <f t="shared" ref="U1231:U1232" si="540">C1231+1</f>
        <v>40826</v>
      </c>
    </row>
    <row r="1232" ht="12.75" customHeight="1">
      <c r="A1232" s="4">
        <v>5608.0</v>
      </c>
      <c r="B1232" s="4">
        <v>39745.0</v>
      </c>
      <c r="C1232" s="5">
        <f>DATE(2012,12,31)-607</f>
        <v>40667</v>
      </c>
      <c r="D1232" s="4" t="s">
        <v>45</v>
      </c>
      <c r="E1232" s="4">
        <v>8.0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40"/>
        <v>40668</v>
      </c>
    </row>
    <row r="1233" ht="12.75" customHeight="1">
      <c r="A1233" s="4">
        <v>5678.0</v>
      </c>
      <c r="B1233" s="4">
        <v>40134.0</v>
      </c>
      <c r="C1233" s="5">
        <f t="shared" ref="C1233:C1235" si="541">DATE(2012,12,31)-449</f>
        <v>40825</v>
      </c>
      <c r="D1233" s="4" t="s">
        <v>21</v>
      </c>
      <c r="E1233" s="4">
        <v>10.0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ht="12.75" customHeight="1">
      <c r="A1234" s="4">
        <v>5679.0</v>
      </c>
      <c r="B1234" s="4">
        <v>40134.0</v>
      </c>
      <c r="C1234" s="5">
        <f t="shared" si="541"/>
        <v>40825</v>
      </c>
      <c r="D1234" s="4" t="s">
        <v>21</v>
      </c>
      <c r="E1234" s="4">
        <v>43.0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ht="12.75" customHeight="1">
      <c r="A1235" s="4">
        <v>5680.0</v>
      </c>
      <c r="B1235" s="4">
        <v>40134.0</v>
      </c>
      <c r="C1235" s="5">
        <f t="shared" si="541"/>
        <v>40825</v>
      </c>
      <c r="D1235" s="4" t="s">
        <v>21</v>
      </c>
      <c r="E1235" s="4">
        <v>1.0</v>
      </c>
      <c r="F1235" s="4">
        <v>9.75</v>
      </c>
      <c r="G1235" s="4">
        <v>0.0</v>
      </c>
      <c r="H1235" s="4" t="s">
        <v>22</v>
      </c>
      <c r="I1235" s="6">
        <v>-6.72</v>
      </c>
      <c r="J1235" s="4">
        <v>4.98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ht="12.75" customHeight="1">
      <c r="A1236" s="4">
        <v>5683.0</v>
      </c>
      <c r="B1236" s="4">
        <v>40164.0</v>
      </c>
      <c r="C1236" s="5">
        <f>DATE(2012,12,31)-996</f>
        <v>40278</v>
      </c>
      <c r="D1236" s="4" t="s">
        <v>45</v>
      </c>
      <c r="E1236" s="4">
        <v>8.0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2">C1236+2</f>
        <v>40280</v>
      </c>
    </row>
    <row r="1237" ht="12.75" customHeight="1">
      <c r="A1237" s="4">
        <v>5723.0</v>
      </c>
      <c r="B1237" s="4">
        <v>40608.0</v>
      </c>
      <c r="C1237" s="5">
        <f t="shared" ref="C1237:C1238" si="543">DATE(2012,12,31)-134</f>
        <v>41140</v>
      </c>
      <c r="D1237" s="4" t="s">
        <v>45</v>
      </c>
      <c r="E1237" s="4">
        <v>29.0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9.54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2"/>
        <v>41142</v>
      </c>
    </row>
    <row r="1238" ht="12.75" customHeight="1">
      <c r="A1238" s="4">
        <v>5724.0</v>
      </c>
      <c r="B1238" s="4">
        <v>40608.0</v>
      </c>
      <c r="C1238" s="5">
        <f t="shared" si="543"/>
        <v>41140</v>
      </c>
      <c r="D1238" s="4" t="s">
        <v>45</v>
      </c>
      <c r="E1238" s="4">
        <v>39.0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ht="12.75" customHeight="1">
      <c r="A1239" s="4">
        <v>5742.0</v>
      </c>
      <c r="B1239" s="4">
        <v>40801.0</v>
      </c>
      <c r="C1239" s="5">
        <f>DATE(2012,12,31)-183</f>
        <v>41091</v>
      </c>
      <c r="D1239" s="4" t="s">
        <v>45</v>
      </c>
      <c r="E1239" s="4">
        <v>20.0</v>
      </c>
      <c r="F1239" s="4">
        <v>129.16</v>
      </c>
      <c r="G1239" s="4">
        <v>0.07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ht="12.75" customHeight="1">
      <c r="A1240" s="4">
        <v>5775.0</v>
      </c>
      <c r="B1240" s="4">
        <v>40965.0</v>
      </c>
      <c r="C1240" s="5">
        <f>DATE(2012,12,31)-1137</f>
        <v>40137</v>
      </c>
      <c r="D1240" s="4" t="s">
        <v>63</v>
      </c>
      <c r="E1240" s="4">
        <v>29.0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4">C1240+1</f>
        <v>40138</v>
      </c>
    </row>
    <row r="1241" ht="12.75" customHeight="1">
      <c r="A1241" s="4">
        <v>5820.0</v>
      </c>
      <c r="B1241" s="4">
        <v>41286.0</v>
      </c>
      <c r="C1241" s="5">
        <f>DATE(2012,12,31)-106</f>
        <v>41168</v>
      </c>
      <c r="D1241" s="4" t="s">
        <v>63</v>
      </c>
      <c r="E1241" s="4">
        <v>40.0</v>
      </c>
      <c r="F1241" s="4">
        <v>260.96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4"/>
        <v>41169</v>
      </c>
    </row>
    <row r="1242" ht="12.75" customHeight="1">
      <c r="A1242" s="4">
        <v>5836.0</v>
      </c>
      <c r="B1242" s="4">
        <v>41412.0</v>
      </c>
      <c r="C1242" s="5">
        <f>DATE(2012,12,31)-1201</f>
        <v>40073</v>
      </c>
      <c r="D1242" s="4" t="s">
        <v>45</v>
      </c>
      <c r="E1242" s="4">
        <v>47.0</v>
      </c>
      <c r="F1242" s="4">
        <v>263.81</v>
      </c>
      <c r="G1242" s="4">
        <v>0.03</v>
      </c>
      <c r="H1242" s="4" t="s">
        <v>22</v>
      </c>
      <c r="I1242" s="6">
        <v>-237.544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5">C1242+2</f>
        <v>40075</v>
      </c>
    </row>
    <row r="1243" ht="12.75" customHeight="1">
      <c r="A1243" s="4">
        <v>5856.0</v>
      </c>
      <c r="B1243" s="4">
        <v>41569.0</v>
      </c>
      <c r="C1243" s="5">
        <f>DATE(2012,12,31)-894</f>
        <v>40380</v>
      </c>
      <c r="D1243" s="4" t="s">
        <v>78</v>
      </c>
      <c r="E1243" s="4">
        <v>16.0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5"/>
        <v>40382</v>
      </c>
    </row>
    <row r="1244" ht="12.75" customHeight="1">
      <c r="A1244" s="4">
        <v>5866.0</v>
      </c>
      <c r="B1244" s="4">
        <v>41633.0</v>
      </c>
      <c r="C1244" s="5">
        <f>DATE(2012,12,31)-783</f>
        <v>40491</v>
      </c>
      <c r="D1244" s="4" t="s">
        <v>21</v>
      </c>
      <c r="E1244" s="4">
        <v>29.0</v>
      </c>
      <c r="F1244" s="4">
        <v>3636.91</v>
      </c>
      <c r="G1244" s="4">
        <v>0.0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ht="12.75" customHeight="1">
      <c r="A1245" s="4">
        <v>5910.0</v>
      </c>
      <c r="B1245" s="4">
        <v>41895.0</v>
      </c>
      <c r="C1245" s="5">
        <f>DATE(2012,12,31)-721</f>
        <v>40553</v>
      </c>
      <c r="D1245" s="4" t="s">
        <v>78</v>
      </c>
      <c r="E1245" s="4">
        <v>8.0</v>
      </c>
      <c r="F1245" s="4">
        <v>27663.92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6">C1245+2</f>
        <v>40555</v>
      </c>
    </row>
    <row r="1246" ht="12.75" customHeight="1">
      <c r="A1246" s="4">
        <v>5936.0</v>
      </c>
      <c r="B1246" s="4">
        <v>42112.0</v>
      </c>
      <c r="C1246" s="5">
        <f>DATE(2012,12,31)-738</f>
        <v>40536</v>
      </c>
      <c r="D1246" s="4" t="s">
        <v>45</v>
      </c>
      <c r="E1246" s="4">
        <v>16.0</v>
      </c>
      <c r="F1246" s="4">
        <v>2744.361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6"/>
        <v>40538</v>
      </c>
    </row>
    <row r="1247" ht="12.75" customHeight="1">
      <c r="A1247" s="4">
        <v>5942.0</v>
      </c>
      <c r="B1247" s="4">
        <v>42177.0</v>
      </c>
      <c r="C1247" s="5">
        <f t="shared" ref="C1247:C1248" si="547">DATE(2012,12,31)-215</f>
        <v>41059</v>
      </c>
      <c r="D1247" s="4" t="s">
        <v>45</v>
      </c>
      <c r="E1247" s="4">
        <v>49.0</v>
      </c>
      <c r="F1247" s="4">
        <v>1201.934</v>
      </c>
      <c r="G1247" s="4">
        <v>0.03</v>
      </c>
      <c r="H1247" s="4" t="s">
        <v>22</v>
      </c>
      <c r="I1247" s="6">
        <v>47.421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</v>
      </c>
      <c r="U1247" s="5">
        <f>C1247+1</f>
        <v>41060</v>
      </c>
    </row>
    <row r="1248" ht="12.75" customHeight="1">
      <c r="A1248" s="4">
        <v>5943.0</v>
      </c>
      <c r="B1248" s="4">
        <v>42177.0</v>
      </c>
      <c r="C1248" s="5">
        <f t="shared" si="547"/>
        <v>41059</v>
      </c>
      <c r="D1248" s="4" t="s">
        <v>45</v>
      </c>
      <c r="E1248" s="4">
        <v>38.0</v>
      </c>
      <c r="F1248" s="4">
        <v>395.84</v>
      </c>
      <c r="G1248" s="4">
        <v>0.0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ht="12.75" customHeight="1">
      <c r="A1249" s="4">
        <v>5969.0</v>
      </c>
      <c r="B1249" s="4">
        <v>42339.0</v>
      </c>
      <c r="C1249" s="5">
        <f>DATE(2012,12,31)-1418</f>
        <v>39856</v>
      </c>
      <c r="D1249" s="4" t="s">
        <v>78</v>
      </c>
      <c r="E1249" s="4">
        <v>31.0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ht="12.75" customHeight="1">
      <c r="A1250" s="4">
        <v>5971.0</v>
      </c>
      <c r="B1250" s="4">
        <v>42342.0</v>
      </c>
      <c r="C1250" s="5">
        <f>DATE(2012,12,31)-1214</f>
        <v>40060</v>
      </c>
      <c r="D1250" s="4" t="s">
        <v>45</v>
      </c>
      <c r="E1250" s="4">
        <v>25.0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ht="12.75" customHeight="1">
      <c r="A1251" s="4">
        <v>6061.0</v>
      </c>
      <c r="B1251" s="4">
        <v>42947.0</v>
      </c>
      <c r="C1251" s="5">
        <f>DATE(2012,12,31)-858</f>
        <v>40416</v>
      </c>
      <c r="D1251" s="4" t="s">
        <v>21</v>
      </c>
      <c r="E1251" s="4">
        <v>5.0</v>
      </c>
      <c r="F1251" s="4">
        <v>177.05</v>
      </c>
      <c r="G1251" s="4">
        <v>0.0</v>
      </c>
      <c r="H1251" s="4" t="s">
        <v>22</v>
      </c>
      <c r="I1251" s="6">
        <v>-50.67</v>
      </c>
      <c r="J1251" s="4">
        <v>35.41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ht="12.75" customHeight="1">
      <c r="A1252" s="4">
        <v>6080.0</v>
      </c>
      <c r="B1252" s="4">
        <v>43079.0</v>
      </c>
      <c r="C1252" s="5">
        <f>DATE(2012,12,31)-1259</f>
        <v>40015</v>
      </c>
      <c r="D1252" s="4" t="s">
        <v>63</v>
      </c>
      <c r="E1252" s="4">
        <v>40.0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4.0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8">C1252+1</f>
        <v>40016</v>
      </c>
    </row>
    <row r="1253" ht="12.75" customHeight="1">
      <c r="A1253" s="4">
        <v>6087.0</v>
      </c>
      <c r="B1253" s="4">
        <v>43111.0</v>
      </c>
      <c r="C1253" s="5">
        <f>DATE(2012,12,31)-476</f>
        <v>40798</v>
      </c>
      <c r="D1253" s="4" t="s">
        <v>30</v>
      </c>
      <c r="E1253" s="4">
        <v>27.0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19.99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8"/>
        <v>40799</v>
      </c>
    </row>
    <row r="1254" ht="12.75" customHeight="1">
      <c r="A1254" s="4">
        <v>6091.0</v>
      </c>
      <c r="B1254" s="4">
        <v>43140.0</v>
      </c>
      <c r="C1254" s="5">
        <f>DATE(2012,12,31)-1384</f>
        <v>39890</v>
      </c>
      <c r="D1254" s="4" t="s">
        <v>78</v>
      </c>
      <c r="E1254" s="4">
        <v>23.0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ht="12.75" customHeight="1">
      <c r="A1255" s="4">
        <v>6228.0</v>
      </c>
      <c r="B1255" s="4">
        <v>44098.0</v>
      </c>
      <c r="C1255" s="5">
        <f>DATE(2012,12,31)-1069</f>
        <v>40205</v>
      </c>
      <c r="D1255" s="4" t="s">
        <v>21</v>
      </c>
      <c r="E1255" s="4">
        <v>1.0</v>
      </c>
      <c r="F1255" s="4">
        <v>5.06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ht="12.75" customHeight="1">
      <c r="A1256" s="4">
        <v>6282.0</v>
      </c>
      <c r="B1256" s="4">
        <v>44451.0</v>
      </c>
      <c r="C1256" s="5">
        <f>DATE(2012,12,31)-477</f>
        <v>40797</v>
      </c>
      <c r="D1256" s="4" t="s">
        <v>78</v>
      </c>
      <c r="E1256" s="4">
        <v>4.0</v>
      </c>
      <c r="F1256" s="4">
        <v>103.9</v>
      </c>
      <c r="G1256" s="4">
        <v>0.07</v>
      </c>
      <c r="H1256" s="4" t="s">
        <v>56</v>
      </c>
      <c r="I1256" s="6">
        <v>-19.26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ht="12.75" customHeight="1">
      <c r="A1257" s="4">
        <v>6354.0</v>
      </c>
      <c r="B1257" s="4">
        <v>45059.0</v>
      </c>
      <c r="C1257" s="5">
        <f t="shared" ref="C1257:C1258" si="549">DATE(2012,12,31)-697</f>
        <v>40577</v>
      </c>
      <c r="D1257" s="4" t="s">
        <v>45</v>
      </c>
      <c r="E1257" s="4">
        <v>35.0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ht="12.75" customHeight="1">
      <c r="A1258" s="4">
        <v>6355.0</v>
      </c>
      <c r="B1258" s="4">
        <v>45059.0</v>
      </c>
      <c r="C1258" s="5">
        <f t="shared" si="549"/>
        <v>40577</v>
      </c>
      <c r="D1258" s="4" t="s">
        <v>45</v>
      </c>
      <c r="E1258" s="4">
        <v>39.0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19.99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ht="12.75" customHeight="1">
      <c r="A1259" s="4">
        <v>6362.0</v>
      </c>
      <c r="B1259" s="4">
        <v>45155.0</v>
      </c>
      <c r="C1259" s="5">
        <f t="shared" ref="C1259:C1260" si="550">DATE(2012,12,31)-685</f>
        <v>40589</v>
      </c>
      <c r="D1259" s="4" t="s">
        <v>21</v>
      </c>
      <c r="E1259" s="4">
        <v>44.0</v>
      </c>
      <c r="F1259" s="4">
        <v>181.61</v>
      </c>
      <c r="G1259" s="4">
        <v>0.03</v>
      </c>
      <c r="H1259" s="4" t="s">
        <v>22</v>
      </c>
      <c r="I1259" s="6">
        <v>-150.259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ht="12.75" customHeight="1">
      <c r="A1260" s="4">
        <v>6363.0</v>
      </c>
      <c r="B1260" s="4">
        <v>45155.0</v>
      </c>
      <c r="C1260" s="5">
        <f t="shared" si="550"/>
        <v>40589</v>
      </c>
      <c r="D1260" s="4" t="s">
        <v>21</v>
      </c>
      <c r="E1260" s="4">
        <v>35.0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ht="12.75" customHeight="1">
      <c r="A1261" s="4">
        <v>6380.0</v>
      </c>
      <c r="B1261" s="4">
        <v>45317.0</v>
      </c>
      <c r="C1261" s="5">
        <f t="shared" ref="C1261:C1262" si="551">DATE(2012,12,31)-305</f>
        <v>40969</v>
      </c>
      <c r="D1261" s="4" t="s">
        <v>21</v>
      </c>
      <c r="E1261" s="4">
        <v>36.0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2">C1261+7</f>
        <v>40976</v>
      </c>
    </row>
    <row r="1262" ht="12.75" customHeight="1">
      <c r="A1262" s="4">
        <v>6381.0</v>
      </c>
      <c r="B1262" s="4">
        <v>45317.0</v>
      </c>
      <c r="C1262" s="5">
        <f t="shared" si="551"/>
        <v>40969</v>
      </c>
      <c r="D1262" s="4" t="s">
        <v>21</v>
      </c>
      <c r="E1262" s="4">
        <v>28.0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34.23</v>
      </c>
      <c r="K1262" s="4">
        <v>5.02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</v>
      </c>
      <c r="U1262" s="5">
        <f t="shared" si="552"/>
        <v>40976</v>
      </c>
    </row>
    <row r="1263" ht="12.75" customHeight="1">
      <c r="A1263" s="4">
        <v>6432.0</v>
      </c>
      <c r="B1263" s="4">
        <v>45731.0</v>
      </c>
      <c r="C1263" s="5">
        <f t="shared" ref="C1263:C1264" si="553">DATE(2012,12,31)-1239</f>
        <v>40035</v>
      </c>
      <c r="D1263" s="4" t="s">
        <v>78</v>
      </c>
      <c r="E1263" s="4">
        <v>19.0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ht="12.75" customHeight="1">
      <c r="A1264" s="4">
        <v>6433.0</v>
      </c>
      <c r="B1264" s="4">
        <v>45731.0</v>
      </c>
      <c r="C1264" s="5">
        <f t="shared" si="553"/>
        <v>40035</v>
      </c>
      <c r="D1264" s="4" t="s">
        <v>78</v>
      </c>
      <c r="E1264" s="4">
        <v>35.0</v>
      </c>
      <c r="F1264" s="4">
        <v>2506.2675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ht="12.75" customHeight="1">
      <c r="A1265" s="4">
        <v>6578.0</v>
      </c>
      <c r="B1265" s="4">
        <v>46849.0</v>
      </c>
      <c r="C1265" s="5">
        <f>DATE(2012,12,31)-749</f>
        <v>40525</v>
      </c>
      <c r="D1265" s="4" t="s">
        <v>45</v>
      </c>
      <c r="E1265" s="4">
        <v>23.0</v>
      </c>
      <c r="F1265" s="4">
        <v>188.54</v>
      </c>
      <c r="G1265" s="4">
        <v>0.09</v>
      </c>
      <c r="H1265" s="4" t="s">
        <v>22</v>
      </c>
      <c r="I1265" s="6">
        <v>9.820000000000006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4">C1265+1</f>
        <v>40526</v>
      </c>
    </row>
    <row r="1266" ht="12.75" customHeight="1">
      <c r="A1266" s="4">
        <v>6621.0</v>
      </c>
      <c r="B1266" s="4">
        <v>47108.0</v>
      </c>
      <c r="C1266" s="5">
        <f t="shared" ref="C1266:C1269" si="555">DATE(2012,12,31)-1173</f>
        <v>40101</v>
      </c>
      <c r="D1266" s="4" t="s">
        <v>45</v>
      </c>
      <c r="E1266" s="4">
        <v>19.0</v>
      </c>
      <c r="F1266" s="4">
        <v>359.68</v>
      </c>
      <c r="G1266" s="4">
        <v>0.07</v>
      </c>
      <c r="H1266" s="4" t="s">
        <v>22</v>
      </c>
      <c r="I1266" s="6">
        <v>187.15</v>
      </c>
      <c r="J1266" s="4">
        <v>18.65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4"/>
        <v>40102</v>
      </c>
    </row>
    <row r="1267" ht="12.75" customHeight="1">
      <c r="A1267" s="4">
        <v>6622.0</v>
      </c>
      <c r="B1267" s="4">
        <v>47108.0</v>
      </c>
      <c r="C1267" s="5">
        <f t="shared" si="555"/>
        <v>40101</v>
      </c>
      <c r="D1267" s="4" t="s">
        <v>45</v>
      </c>
      <c r="E1267" s="4">
        <v>7.0</v>
      </c>
      <c r="F1267" s="4">
        <v>131.55</v>
      </c>
      <c r="G1267" s="4">
        <v>0.06</v>
      </c>
      <c r="H1267" s="4" t="s">
        <v>22</v>
      </c>
      <c r="I1267" s="6">
        <v>-43.7436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ht="12.75" customHeight="1">
      <c r="A1268" s="4">
        <v>6623.0</v>
      </c>
      <c r="B1268" s="4">
        <v>47108.0</v>
      </c>
      <c r="C1268" s="5">
        <f t="shared" si="555"/>
        <v>40101</v>
      </c>
      <c r="D1268" s="4" t="s">
        <v>45</v>
      </c>
      <c r="E1268" s="4">
        <v>26.0</v>
      </c>
      <c r="F1268" s="4">
        <v>258.11</v>
      </c>
      <c r="G1268" s="4">
        <v>0.1</v>
      </c>
      <c r="H1268" s="4" t="s">
        <v>56</v>
      </c>
      <c r="I1268" s="6">
        <v>9.95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ht="12.75" customHeight="1">
      <c r="A1269" s="4">
        <v>6624.0</v>
      </c>
      <c r="B1269" s="4">
        <v>47108.0</v>
      </c>
      <c r="C1269" s="5">
        <f t="shared" si="555"/>
        <v>40101</v>
      </c>
      <c r="D1269" s="4" t="s">
        <v>45</v>
      </c>
      <c r="E1269" s="4">
        <v>9.0</v>
      </c>
      <c r="F1269" s="4">
        <v>1288.515</v>
      </c>
      <c r="G1269" s="4">
        <v>0.08</v>
      </c>
      <c r="H1269" s="4" t="s">
        <v>56</v>
      </c>
      <c r="I1269" s="6">
        <v>-382.569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0.57</v>
      </c>
      <c r="U1269" s="5">
        <f>C1269+1</f>
        <v>40102</v>
      </c>
    </row>
    <row r="1270" ht="12.75" customHeight="1">
      <c r="A1270" s="4">
        <v>6676.0</v>
      </c>
      <c r="B1270" s="4">
        <v>47520.0</v>
      </c>
      <c r="C1270" s="5">
        <f t="shared" ref="C1270:C1272" si="556">DATE(2012,12,31)-1181</f>
        <v>40093</v>
      </c>
      <c r="D1270" s="4" t="s">
        <v>45</v>
      </c>
      <c r="E1270" s="4">
        <v>36.0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7">C1270+2</f>
        <v>40095</v>
      </c>
    </row>
    <row r="1271" ht="12.75" customHeight="1">
      <c r="A1271" s="4">
        <v>6677.0</v>
      </c>
      <c r="B1271" s="4">
        <v>47520.0</v>
      </c>
      <c r="C1271" s="5">
        <f t="shared" si="556"/>
        <v>40093</v>
      </c>
      <c r="D1271" s="4" t="s">
        <v>45</v>
      </c>
      <c r="E1271" s="4">
        <v>13.0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</v>
      </c>
      <c r="U1271" s="5">
        <f t="shared" si="557"/>
        <v>40095</v>
      </c>
    </row>
    <row r="1272" ht="12.75" customHeight="1">
      <c r="A1272" s="4">
        <v>6678.0</v>
      </c>
      <c r="B1272" s="4">
        <v>47520.0</v>
      </c>
      <c r="C1272" s="5">
        <f t="shared" si="556"/>
        <v>40093</v>
      </c>
      <c r="D1272" s="4" t="s">
        <v>45</v>
      </c>
      <c r="E1272" s="4">
        <v>47.0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7"/>
        <v>40095</v>
      </c>
    </row>
    <row r="1273" ht="12.75" customHeight="1">
      <c r="A1273" s="4">
        <v>6683.0</v>
      </c>
      <c r="B1273" s="4">
        <v>47527.0</v>
      </c>
      <c r="C1273" s="5">
        <f>DATE(2012,12,31)-836</f>
        <v>40438</v>
      </c>
      <c r="D1273" s="4" t="s">
        <v>63</v>
      </c>
      <c r="E1273" s="4">
        <v>48.0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</v>
      </c>
      <c r="U1273" s="5">
        <f>C1273+1</f>
        <v>40439</v>
      </c>
    </row>
    <row r="1274" ht="12.75" customHeight="1">
      <c r="A1274" s="4">
        <v>6699.0</v>
      </c>
      <c r="B1274" s="4">
        <v>47713.0</v>
      </c>
      <c r="C1274" s="5">
        <f>DATE(2012,12,31)-1277</f>
        <v>39997</v>
      </c>
      <c r="D1274" s="4" t="s">
        <v>30</v>
      </c>
      <c r="E1274" s="4">
        <v>34.0</v>
      </c>
      <c r="F1274" s="4">
        <v>3419.1505</v>
      </c>
      <c r="G1274" s="4">
        <v>0.0</v>
      </c>
      <c r="H1274" s="4" t="s">
        <v>22</v>
      </c>
      <c r="I1274" s="6">
        <v>858.582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0.58</v>
      </c>
      <c r="U1274" s="5">
        <f t="shared" ref="U1274:U1275" si="558">C1274+0</f>
        <v>39997</v>
      </c>
    </row>
    <row r="1275" ht="12.75" customHeight="1">
      <c r="A1275" s="4">
        <v>6707.0</v>
      </c>
      <c r="B1275" s="4">
        <v>47750.0</v>
      </c>
      <c r="C1275" s="5">
        <f>DATE(2012,12,31)-930</f>
        <v>40344</v>
      </c>
      <c r="D1275" s="4" t="s">
        <v>21</v>
      </c>
      <c r="E1275" s="4">
        <v>1.0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35.0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8"/>
        <v>40344</v>
      </c>
    </row>
    <row r="1276" ht="12.75" customHeight="1">
      <c r="A1276" s="4">
        <v>6797.0</v>
      </c>
      <c r="B1276" s="4">
        <v>48452.0</v>
      </c>
      <c r="C1276" s="5">
        <f t="shared" ref="C1276:C1280" si="559">DATE(2012,12,31)-814</f>
        <v>40460</v>
      </c>
      <c r="D1276" s="4" t="s">
        <v>30</v>
      </c>
      <c r="E1276" s="4">
        <v>32.0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30.0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ht="12.75" customHeight="1">
      <c r="A1277" s="4">
        <v>6798.0</v>
      </c>
      <c r="B1277" s="4">
        <v>48452.0</v>
      </c>
      <c r="C1277" s="5">
        <f t="shared" si="559"/>
        <v>40460</v>
      </c>
      <c r="D1277" s="4" t="s">
        <v>30</v>
      </c>
      <c r="E1277" s="4">
        <v>19.0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19.99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ht="12.75" customHeight="1">
      <c r="A1278" s="4">
        <v>6799.0</v>
      </c>
      <c r="B1278" s="4">
        <v>48452.0</v>
      </c>
      <c r="C1278" s="5">
        <f t="shared" si="559"/>
        <v>40460</v>
      </c>
      <c r="D1278" s="4" t="s">
        <v>30</v>
      </c>
      <c r="E1278" s="4">
        <v>44.0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ht="12.75" customHeight="1">
      <c r="A1279" s="4">
        <v>6800.0</v>
      </c>
      <c r="B1279" s="4">
        <v>48452.0</v>
      </c>
      <c r="C1279" s="5">
        <f t="shared" si="559"/>
        <v>40460</v>
      </c>
      <c r="D1279" s="4" t="s">
        <v>30</v>
      </c>
      <c r="E1279" s="4">
        <v>15.0</v>
      </c>
      <c r="F1279" s="4">
        <v>73.41</v>
      </c>
      <c r="G1279" s="4">
        <v>0.08</v>
      </c>
      <c r="H1279" s="4" t="s">
        <v>22</v>
      </c>
      <c r="I1279" s="6">
        <v>-44.7925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60">C1279+2</f>
        <v>40462</v>
      </c>
    </row>
    <row r="1280" ht="12.75" customHeight="1">
      <c r="A1280" s="4">
        <v>6801.0</v>
      </c>
      <c r="B1280" s="4">
        <v>48452.0</v>
      </c>
      <c r="C1280" s="5">
        <f t="shared" si="559"/>
        <v>40460</v>
      </c>
      <c r="D1280" s="4" t="s">
        <v>30</v>
      </c>
      <c r="E1280" s="4">
        <v>28.0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60"/>
        <v>40462</v>
      </c>
    </row>
    <row r="1281" ht="12.75" customHeight="1">
      <c r="A1281" s="4">
        <v>6885.0</v>
      </c>
      <c r="B1281" s="4">
        <v>49088.0</v>
      </c>
      <c r="C1281" s="5">
        <f t="shared" ref="C1281:C1283" si="561">DATE(2012,12,31)-1195</f>
        <v>40079</v>
      </c>
      <c r="D1281" s="4" t="s">
        <v>78</v>
      </c>
      <c r="E1281" s="4">
        <v>16.0</v>
      </c>
      <c r="F1281" s="4">
        <v>130.11</v>
      </c>
      <c r="G1281" s="4">
        <v>0.03</v>
      </c>
      <c r="H1281" s="4" t="s">
        <v>22</v>
      </c>
      <c r="I1281" s="6">
        <v>-47.69</v>
      </c>
      <c r="J1281" s="4">
        <v>8.12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2">C1281+1</f>
        <v>40080</v>
      </c>
    </row>
    <row r="1282" ht="12.75" customHeight="1">
      <c r="A1282" s="4">
        <v>6886.0</v>
      </c>
      <c r="B1282" s="4">
        <v>49088.0</v>
      </c>
      <c r="C1282" s="5">
        <f t="shared" si="561"/>
        <v>40079</v>
      </c>
      <c r="D1282" s="4" t="s">
        <v>78</v>
      </c>
      <c r="E1282" s="4">
        <v>15.0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35.0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2"/>
        <v>40080</v>
      </c>
    </row>
    <row r="1283" ht="12.75" customHeight="1">
      <c r="A1283" s="4">
        <v>6887.0</v>
      </c>
      <c r="B1283" s="4">
        <v>49088.0</v>
      </c>
      <c r="C1283" s="5">
        <f t="shared" si="561"/>
        <v>40079</v>
      </c>
      <c r="D1283" s="4" t="s">
        <v>78</v>
      </c>
      <c r="E1283" s="4">
        <v>31.0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ht="12.75" customHeight="1">
      <c r="A1284" s="4">
        <v>6906.0</v>
      </c>
      <c r="B1284" s="4">
        <v>49223.0</v>
      </c>
      <c r="C1284" s="5">
        <f>DATE(2012,12,31)-456</f>
        <v>40818</v>
      </c>
      <c r="D1284" s="4" t="s">
        <v>63</v>
      </c>
      <c r="E1284" s="4">
        <v>24.0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0.57</v>
      </c>
      <c r="U1284" s="5">
        <f>C1284+0</f>
        <v>40818</v>
      </c>
    </row>
    <row r="1285" ht="12.75" customHeight="1">
      <c r="A1285" s="4">
        <v>6947.0</v>
      </c>
      <c r="B1285" s="4">
        <v>49634.0</v>
      </c>
      <c r="C1285" s="5">
        <f t="shared" ref="C1285:C1286" si="563">DATE(2012,12,31)-283</f>
        <v>40991</v>
      </c>
      <c r="D1285" s="4" t="s">
        <v>45</v>
      </c>
      <c r="E1285" s="4">
        <v>39.0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ht="12.75" customHeight="1">
      <c r="A1286" s="4">
        <v>6948.0</v>
      </c>
      <c r="B1286" s="4">
        <v>49634.0</v>
      </c>
      <c r="C1286" s="5">
        <f t="shared" si="563"/>
        <v>40991</v>
      </c>
      <c r="D1286" s="4" t="s">
        <v>45</v>
      </c>
      <c r="E1286" s="4">
        <v>3.0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ht="12.75" customHeight="1">
      <c r="A1287" s="4">
        <v>6999.0</v>
      </c>
      <c r="B1287" s="4">
        <v>49987.0</v>
      </c>
      <c r="C1287" s="5">
        <f t="shared" ref="C1287:C1288" si="564">DATE(2012,12,31)-712</f>
        <v>40562</v>
      </c>
      <c r="D1287" s="4" t="s">
        <v>30</v>
      </c>
      <c r="E1287" s="4">
        <v>15.0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5">C1287+3</f>
        <v>40565</v>
      </c>
    </row>
    <row r="1288" ht="12.75" customHeight="1">
      <c r="A1288" s="4">
        <v>7000.0</v>
      </c>
      <c r="B1288" s="4">
        <v>49987.0</v>
      </c>
      <c r="C1288" s="5">
        <f t="shared" si="564"/>
        <v>40562</v>
      </c>
      <c r="D1288" s="4" t="s">
        <v>30</v>
      </c>
      <c r="E1288" s="4">
        <v>4.0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5"/>
        <v>40565</v>
      </c>
    </row>
    <row r="1289" ht="12.75" customHeight="1">
      <c r="A1289" s="4">
        <v>7032.0</v>
      </c>
      <c r="B1289" s="4">
        <v>50208.0</v>
      </c>
      <c r="C1289" s="5">
        <f>DATE(2012,12,31)-709</f>
        <v>40565</v>
      </c>
      <c r="D1289" s="4" t="s">
        <v>63</v>
      </c>
      <c r="E1289" s="4">
        <v>4.0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ht="12.75" customHeight="1">
      <c r="A1290" s="4">
        <v>7057.0</v>
      </c>
      <c r="B1290" s="4">
        <v>50338.0</v>
      </c>
      <c r="C1290" s="5">
        <f>DATE(2012,12,31)-1379</f>
        <v>39895</v>
      </c>
      <c r="D1290" s="4" t="s">
        <v>45</v>
      </c>
      <c r="E1290" s="4">
        <v>36.0</v>
      </c>
      <c r="F1290" s="4">
        <v>551.44</v>
      </c>
      <c r="G1290" s="4">
        <v>0.0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6">C1290+2</f>
        <v>39897</v>
      </c>
    </row>
    <row r="1291" ht="12.75" customHeight="1">
      <c r="A1291" s="4">
        <v>7138.0</v>
      </c>
      <c r="B1291" s="4">
        <v>50945.0</v>
      </c>
      <c r="C1291" s="5">
        <f>DATE(2012,12,31)-724</f>
        <v>40550</v>
      </c>
      <c r="D1291" s="4" t="s">
        <v>78</v>
      </c>
      <c r="E1291" s="4">
        <v>27.0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0.57</v>
      </c>
      <c r="U1291" s="5">
        <f t="shared" si="566"/>
        <v>40552</v>
      </c>
    </row>
    <row r="1292" ht="12.75" customHeight="1">
      <c r="A1292" s="4">
        <v>7210.0</v>
      </c>
      <c r="B1292" s="4">
        <v>51462.0</v>
      </c>
      <c r="C1292" s="5">
        <f>DATE(2012,12,31)-558</f>
        <v>40716</v>
      </c>
      <c r="D1292" s="4" t="s">
        <v>63</v>
      </c>
      <c r="E1292" s="4">
        <v>15.0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0.57</v>
      </c>
      <c r="U1292" s="5">
        <f t="shared" si="566"/>
        <v>40718</v>
      </c>
    </row>
    <row r="1293" ht="12.75" customHeight="1">
      <c r="A1293" s="4">
        <v>7218.0</v>
      </c>
      <c r="B1293" s="4">
        <v>51494.0</v>
      </c>
      <c r="C1293" s="5">
        <f>DATE(2012,12,31)-516</f>
        <v>40758</v>
      </c>
      <c r="D1293" s="4" t="s">
        <v>78</v>
      </c>
      <c r="E1293" s="4">
        <v>42.0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6"/>
        <v>40760</v>
      </c>
    </row>
    <row r="1294" ht="12.75" customHeight="1">
      <c r="A1294" s="4">
        <v>7221.0</v>
      </c>
      <c r="B1294" s="4">
        <v>51525.0</v>
      </c>
      <c r="C1294" s="5">
        <f t="shared" ref="C1294:C1295" si="567">DATE(2012,12,31)-420</f>
        <v>40854</v>
      </c>
      <c r="D1294" s="4" t="s">
        <v>78</v>
      </c>
      <c r="E1294" s="4">
        <v>18.0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4.0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6"/>
        <v>40856</v>
      </c>
    </row>
    <row r="1295" ht="12.75" customHeight="1">
      <c r="A1295" s="4">
        <v>7222.0</v>
      </c>
      <c r="B1295" s="4">
        <v>51525.0</v>
      </c>
      <c r="C1295" s="5">
        <f t="shared" si="567"/>
        <v>40854</v>
      </c>
      <c r="D1295" s="4" t="s">
        <v>78</v>
      </c>
      <c r="E1295" s="4">
        <v>46.0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0.57</v>
      </c>
      <c r="U1295" s="5">
        <f t="shared" si="566"/>
        <v>40856</v>
      </c>
    </row>
    <row r="1296" ht="12.75" customHeight="1">
      <c r="A1296" s="4">
        <v>7428.0</v>
      </c>
      <c r="B1296" s="4">
        <v>52933.0</v>
      </c>
      <c r="C1296" s="5">
        <f>DATE(2012,12,31)-858</f>
        <v>40416</v>
      </c>
      <c r="D1296" s="4" t="s">
        <v>21</v>
      </c>
      <c r="E1296" s="4">
        <v>44.0</v>
      </c>
      <c r="F1296" s="4">
        <v>210.46</v>
      </c>
      <c r="G1296" s="4">
        <v>0.03</v>
      </c>
      <c r="H1296" s="4" t="s">
        <v>56</v>
      </c>
      <c r="I1296" s="6">
        <v>50.0395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ht="12.75" customHeight="1">
      <c r="A1297" s="4">
        <v>7437.0</v>
      </c>
      <c r="B1297" s="4">
        <v>53025.0</v>
      </c>
      <c r="C1297" s="5">
        <f>DATE(2012,12,31)-1020</f>
        <v>40254</v>
      </c>
      <c r="D1297" s="4" t="s">
        <v>78</v>
      </c>
      <c r="E1297" s="4">
        <v>32.0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8">C1297+1</f>
        <v>40255</v>
      </c>
    </row>
    <row r="1298" ht="12.75" customHeight="1">
      <c r="A1298" s="4">
        <v>7539.0</v>
      </c>
      <c r="B1298" s="4">
        <v>53894.0</v>
      </c>
      <c r="C1298" s="5">
        <f t="shared" ref="C1298:C1300" si="569">DATE(2012,12,31)-1273</f>
        <v>40001</v>
      </c>
      <c r="D1298" s="4" t="s">
        <v>78</v>
      </c>
      <c r="E1298" s="4">
        <v>47.0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8"/>
        <v>40002</v>
      </c>
    </row>
    <row r="1299" ht="12.75" customHeight="1">
      <c r="A1299" s="4">
        <v>7540.0</v>
      </c>
      <c r="B1299" s="4">
        <v>53894.0</v>
      </c>
      <c r="C1299" s="5">
        <f t="shared" si="569"/>
        <v>40001</v>
      </c>
      <c r="D1299" s="4" t="s">
        <v>78</v>
      </c>
      <c r="E1299" s="4">
        <v>37.0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69.0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8"/>
        <v>40002</v>
      </c>
    </row>
    <row r="1300" ht="12.75" customHeight="1">
      <c r="A1300" s="4">
        <v>7541.0</v>
      </c>
      <c r="B1300" s="4">
        <v>53894.0</v>
      </c>
      <c r="C1300" s="5">
        <f t="shared" si="569"/>
        <v>40001</v>
      </c>
      <c r="D1300" s="4" t="s">
        <v>78</v>
      </c>
      <c r="E1300" s="4">
        <v>29.0</v>
      </c>
      <c r="F1300" s="4">
        <v>5159.3725</v>
      </c>
      <c r="G1300" s="4">
        <v>0.02</v>
      </c>
      <c r="H1300" s="4" t="s">
        <v>56</v>
      </c>
      <c r="I1300" s="6">
        <v>1252.476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ht="12.75" customHeight="1">
      <c r="A1301" s="4">
        <v>7544.0</v>
      </c>
      <c r="B1301" s="4">
        <v>53953.0</v>
      </c>
      <c r="C1301" s="5">
        <f>DATE(2012,12,31)-1375</f>
        <v>39899</v>
      </c>
      <c r="D1301" s="4" t="s">
        <v>45</v>
      </c>
      <c r="E1301" s="4">
        <v>36.0</v>
      </c>
      <c r="F1301" s="4">
        <v>307.65</v>
      </c>
      <c r="G1301" s="4">
        <v>0.07</v>
      </c>
      <c r="H1301" s="4" t="s">
        <v>22</v>
      </c>
      <c r="I1301" s="6">
        <v>91.73</v>
      </c>
      <c r="J1301" s="4">
        <v>8.95</v>
      </c>
      <c r="K1301" s="4">
        <v>2.01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ht="12.75" customHeight="1">
      <c r="A1302" s="4">
        <v>7587.0</v>
      </c>
      <c r="B1302" s="4">
        <v>54304.0</v>
      </c>
      <c r="C1302" s="5">
        <f>DATE(2012,12,31)-1048</f>
        <v>40226</v>
      </c>
      <c r="D1302" s="4" t="s">
        <v>30</v>
      </c>
      <c r="E1302" s="4">
        <v>11.0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</v>
      </c>
      <c r="U1302" s="5">
        <f>C1302+2</f>
        <v>40228</v>
      </c>
    </row>
    <row r="1303" ht="12.75" customHeight="1">
      <c r="A1303" s="4">
        <v>7685.0</v>
      </c>
      <c r="B1303" s="4">
        <v>55075.0</v>
      </c>
      <c r="C1303" s="5">
        <f>DATE(2012,12,31)-699</f>
        <v>40575</v>
      </c>
      <c r="D1303" s="4" t="s">
        <v>78</v>
      </c>
      <c r="E1303" s="4">
        <v>21.0</v>
      </c>
      <c r="F1303" s="4">
        <v>556.45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ht="12.75" customHeight="1">
      <c r="A1304" s="4">
        <v>7710.0</v>
      </c>
      <c r="B1304" s="4">
        <v>55268.0</v>
      </c>
      <c r="C1304" s="5">
        <f>DATE(2012,12,31)-289</f>
        <v>40985</v>
      </c>
      <c r="D1304" s="4" t="s">
        <v>30</v>
      </c>
      <c r="E1304" s="4">
        <v>11.0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4.89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70">C1304+1</f>
        <v>40986</v>
      </c>
    </row>
    <row r="1305" ht="12.75" customHeight="1">
      <c r="A1305" s="4">
        <v>7731.0</v>
      </c>
      <c r="B1305" s="4">
        <v>55367.0</v>
      </c>
      <c r="C1305" s="5">
        <f t="shared" ref="C1305:C1306" si="571">DATE(2012,12,31)-1451</f>
        <v>39823</v>
      </c>
      <c r="D1305" s="4" t="s">
        <v>78</v>
      </c>
      <c r="E1305" s="4">
        <v>31.0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</v>
      </c>
      <c r="U1305" s="5">
        <f t="shared" si="570"/>
        <v>39824</v>
      </c>
    </row>
    <row r="1306" ht="12.75" customHeight="1">
      <c r="A1306" s="4">
        <v>7732.0</v>
      </c>
      <c r="B1306" s="4">
        <v>55367.0</v>
      </c>
      <c r="C1306" s="5">
        <f t="shared" si="571"/>
        <v>39823</v>
      </c>
      <c r="D1306" s="4" t="s">
        <v>78</v>
      </c>
      <c r="E1306" s="4">
        <v>48.0</v>
      </c>
      <c r="F1306" s="4">
        <v>571.17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</v>
      </c>
      <c r="U1306" s="5">
        <f t="shared" ref="U1306:U1307" si="572">C1306+2</f>
        <v>39825</v>
      </c>
    </row>
    <row r="1307" ht="12.75" customHeight="1">
      <c r="A1307" s="4">
        <v>7875.0</v>
      </c>
      <c r="B1307" s="4">
        <v>56321.0</v>
      </c>
      <c r="C1307" s="5">
        <f>DATE(2012,12,31)-990</f>
        <v>40284</v>
      </c>
      <c r="D1307" s="4" t="s">
        <v>78</v>
      </c>
      <c r="E1307" s="4">
        <v>24.0</v>
      </c>
      <c r="F1307" s="4">
        <v>135.88</v>
      </c>
      <c r="G1307" s="4">
        <v>0.1</v>
      </c>
      <c r="H1307" s="4" t="s">
        <v>22</v>
      </c>
      <c r="I1307" s="6">
        <v>-75.394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2"/>
        <v>40286</v>
      </c>
    </row>
    <row r="1308" ht="12.75" customHeight="1">
      <c r="A1308" s="4">
        <v>7919.0</v>
      </c>
      <c r="B1308" s="4">
        <v>56610.0</v>
      </c>
      <c r="C1308" s="5">
        <f>DATE(2012,12,31)-1030</f>
        <v>40244</v>
      </c>
      <c r="D1308" s="4" t="s">
        <v>63</v>
      </c>
      <c r="E1308" s="4">
        <v>20.0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4.0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ht="12.75" customHeight="1">
      <c r="A1309" s="4">
        <v>7943.0</v>
      </c>
      <c r="B1309" s="4">
        <v>56740.0</v>
      </c>
      <c r="C1309" s="5">
        <f>DATE(2012,12,31)-76</f>
        <v>41198</v>
      </c>
      <c r="D1309" s="4" t="s">
        <v>78</v>
      </c>
      <c r="E1309" s="4">
        <v>33.0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ht="12.75" customHeight="1">
      <c r="A1310" s="4">
        <v>7962.0</v>
      </c>
      <c r="B1310" s="4">
        <v>56901.0</v>
      </c>
      <c r="C1310" s="5">
        <f>DATE(2012,12,31)-1207</f>
        <v>40067</v>
      </c>
      <c r="D1310" s="4" t="s">
        <v>78</v>
      </c>
      <c r="E1310" s="4">
        <v>36.0</v>
      </c>
      <c r="F1310" s="4">
        <v>100.68</v>
      </c>
      <c r="G1310" s="4">
        <v>0.0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0.58</v>
      </c>
      <c r="U1310" s="5">
        <f>C1310+2</f>
        <v>40069</v>
      </c>
    </row>
    <row r="1311" ht="12.75" customHeight="1">
      <c r="A1311" s="4">
        <v>8020.0</v>
      </c>
      <c r="B1311" s="4">
        <v>57314.0</v>
      </c>
      <c r="C1311" s="5">
        <f t="shared" ref="C1311:C1312" si="573">DATE(2012,12,31)-811</f>
        <v>40463</v>
      </c>
      <c r="D1311" s="4" t="s">
        <v>21</v>
      </c>
      <c r="E1311" s="4">
        <v>22.0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ht="12.75" customHeight="1">
      <c r="A1312" s="4">
        <v>8021.0</v>
      </c>
      <c r="B1312" s="4">
        <v>57314.0</v>
      </c>
      <c r="C1312" s="5">
        <f t="shared" si="573"/>
        <v>40463</v>
      </c>
      <c r="D1312" s="4" t="s">
        <v>21</v>
      </c>
      <c r="E1312" s="4">
        <v>26.0</v>
      </c>
      <c r="F1312" s="4">
        <v>1976.3945</v>
      </c>
      <c r="G1312" s="4">
        <v>0.0</v>
      </c>
      <c r="H1312" s="4" t="s">
        <v>22</v>
      </c>
      <c r="I1312" s="6">
        <v>473.355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0.58</v>
      </c>
      <c r="U1312" s="5">
        <f>C1312+7</f>
        <v>40470</v>
      </c>
    </row>
    <row r="1313" ht="12.75" customHeight="1">
      <c r="A1313" s="4">
        <v>8027.0</v>
      </c>
      <c r="B1313" s="4">
        <v>57376.0</v>
      </c>
      <c r="C1313" s="5">
        <f t="shared" ref="C1313:C1314" si="574">DATE(2012,12,31)-561</f>
        <v>40713</v>
      </c>
      <c r="D1313" s="4" t="s">
        <v>78</v>
      </c>
      <c r="E1313" s="4">
        <v>44.0</v>
      </c>
      <c r="F1313" s="4">
        <v>442.72</v>
      </c>
      <c r="G1313" s="4">
        <v>0.07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ht="12.75" customHeight="1">
      <c r="A1314" s="4">
        <v>8028.0</v>
      </c>
      <c r="B1314" s="4">
        <v>57376.0</v>
      </c>
      <c r="C1314" s="5">
        <f t="shared" si="574"/>
        <v>40713</v>
      </c>
      <c r="D1314" s="4" t="s">
        <v>78</v>
      </c>
      <c r="E1314" s="4">
        <v>6.0</v>
      </c>
      <c r="F1314" s="4">
        <v>326.893</v>
      </c>
      <c r="G1314" s="4">
        <v>0.07</v>
      </c>
      <c r="H1314" s="4" t="s">
        <v>22</v>
      </c>
      <c r="I1314" s="6">
        <v>-223.212</v>
      </c>
      <c r="J1314" s="4">
        <v>65.99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0.57</v>
      </c>
      <c r="U1314" s="5">
        <f>C1314+0</f>
        <v>40713</v>
      </c>
    </row>
    <row r="1315" ht="12.75" customHeight="1">
      <c r="A1315" s="4">
        <v>8086.0</v>
      </c>
      <c r="B1315" s="4">
        <v>57671.0</v>
      </c>
      <c r="C1315" s="5">
        <f>DATE(2012,12,31)-54</f>
        <v>41220</v>
      </c>
      <c r="D1315" s="4" t="s">
        <v>45</v>
      </c>
      <c r="E1315" s="4">
        <v>6.0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ht="12.75" customHeight="1">
      <c r="A1316" s="4">
        <v>8092.0</v>
      </c>
      <c r="B1316" s="4">
        <v>57700.0</v>
      </c>
      <c r="C1316" s="5">
        <f>DATE(2012,12,31)-415</f>
        <v>40859</v>
      </c>
      <c r="D1316" s="4" t="s">
        <v>63</v>
      </c>
      <c r="E1316" s="4">
        <v>38.0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ht="12.75" customHeight="1">
      <c r="A1317" s="4">
        <v>8172.0</v>
      </c>
      <c r="B1317" s="4">
        <v>58407.0</v>
      </c>
      <c r="C1317" s="5">
        <f>DATE(2012,12,31)-605</f>
        <v>40669</v>
      </c>
      <c r="D1317" s="4" t="s">
        <v>30</v>
      </c>
      <c r="E1317" s="4">
        <v>29.0</v>
      </c>
      <c r="F1317" s="4">
        <v>1669.88</v>
      </c>
      <c r="G1317" s="4">
        <v>0.02</v>
      </c>
      <c r="H1317" s="4" t="s">
        <v>22</v>
      </c>
      <c r="I1317" s="6">
        <v>548.92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ht="12.75" customHeight="1">
      <c r="A1318" s="4">
        <v>8191.0</v>
      </c>
      <c r="B1318" s="4">
        <v>58593.0</v>
      </c>
      <c r="C1318" s="5">
        <f>DATE(2012,12,31)-480</f>
        <v>40794</v>
      </c>
      <c r="D1318" s="4" t="s">
        <v>78</v>
      </c>
      <c r="E1318" s="4">
        <v>29.0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70.71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ht="12.75" customHeight="1">
      <c r="A1319" s="4">
        <v>8238.0</v>
      </c>
      <c r="B1319" s="4">
        <v>58884.0</v>
      </c>
      <c r="C1319" s="5">
        <f t="shared" ref="C1319:C1320" si="575">DATE(2012,12,31)-651</f>
        <v>40623</v>
      </c>
      <c r="D1319" s="4" t="s">
        <v>21</v>
      </c>
      <c r="E1319" s="4">
        <v>29.0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6">C1319+5</f>
        <v>40628</v>
      </c>
    </row>
    <row r="1320" ht="12.75" customHeight="1">
      <c r="A1320" s="4">
        <v>8239.0</v>
      </c>
      <c r="B1320" s="4">
        <v>58884.0</v>
      </c>
      <c r="C1320" s="5">
        <f t="shared" si="575"/>
        <v>40623</v>
      </c>
      <c r="D1320" s="4" t="s">
        <v>21</v>
      </c>
      <c r="E1320" s="4">
        <v>46.0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60.0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</v>
      </c>
      <c r="U1320" s="5">
        <f t="shared" si="576"/>
        <v>40628</v>
      </c>
    </row>
    <row r="1321" ht="12.75" customHeight="1">
      <c r="A1321" s="4">
        <v>8240.0</v>
      </c>
      <c r="B1321" s="4">
        <v>58913.0</v>
      </c>
      <c r="C1321" s="5">
        <f>DATE(2012,12,31)-965</f>
        <v>40309</v>
      </c>
      <c r="D1321" s="4" t="s">
        <v>63</v>
      </c>
      <c r="E1321" s="4">
        <v>23.0</v>
      </c>
      <c r="F1321" s="4">
        <v>144.55</v>
      </c>
      <c r="G1321" s="4">
        <v>0.07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ht="12.75" customHeight="1">
      <c r="A1322" s="4">
        <v>8248.0</v>
      </c>
      <c r="B1322" s="4">
        <v>58978.0</v>
      </c>
      <c r="C1322" s="5">
        <f>DATE(2012,12,31)-329</f>
        <v>40945</v>
      </c>
      <c r="D1322" s="4" t="s">
        <v>21</v>
      </c>
      <c r="E1322" s="4">
        <v>13.0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ht="12.75" customHeight="1">
      <c r="A1323" s="4">
        <v>37.0</v>
      </c>
      <c r="B1323" s="4">
        <v>229.0</v>
      </c>
      <c r="C1323" s="5">
        <f>DATE(2012,12,31)-734</f>
        <v>40540</v>
      </c>
      <c r="D1323" s="4" t="s">
        <v>78</v>
      </c>
      <c r="E1323" s="4">
        <v>43.0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7">C1323+2</f>
        <v>40542</v>
      </c>
    </row>
    <row r="1324" ht="12.75" customHeight="1">
      <c r="A1324" s="4">
        <v>108.0</v>
      </c>
      <c r="B1324" s="4">
        <v>706.0</v>
      </c>
      <c r="C1324" s="5">
        <f>DATE(2012,12,31)-480</f>
        <v>40794</v>
      </c>
      <c r="D1324" s="4" t="s">
        <v>78</v>
      </c>
      <c r="E1324" s="4">
        <v>42.0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</v>
      </c>
      <c r="U1324" s="5">
        <f t="shared" si="577"/>
        <v>40796</v>
      </c>
    </row>
    <row r="1325" ht="12.75" customHeight="1">
      <c r="A1325" s="4">
        <v>193.0</v>
      </c>
      <c r="B1325" s="4">
        <v>1285.0</v>
      </c>
      <c r="C1325" s="5">
        <f t="shared" ref="C1325:C1326" si="578">DATE(2012,12,31)-214</f>
        <v>41060</v>
      </c>
      <c r="D1325" s="4" t="s">
        <v>78</v>
      </c>
      <c r="E1325" s="4">
        <v>27.0</v>
      </c>
      <c r="F1325" s="4">
        <v>3874.12</v>
      </c>
      <c r="G1325" s="4">
        <v>0.0</v>
      </c>
      <c r="H1325" s="4" t="s">
        <v>31</v>
      </c>
      <c r="I1325" s="6">
        <v>-305.98</v>
      </c>
      <c r="J1325" s="4">
        <v>130.98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ht="12.75" customHeight="1">
      <c r="A1326" s="4">
        <v>194.0</v>
      </c>
      <c r="B1326" s="4">
        <v>1285.0</v>
      </c>
      <c r="C1326" s="5">
        <f t="shared" si="578"/>
        <v>41060</v>
      </c>
      <c r="D1326" s="4" t="s">
        <v>78</v>
      </c>
      <c r="E1326" s="4">
        <v>8.0</v>
      </c>
      <c r="F1326" s="4">
        <v>1452.2160000000001</v>
      </c>
      <c r="G1326" s="4">
        <v>0.05</v>
      </c>
      <c r="H1326" s="4" t="s">
        <v>31</v>
      </c>
      <c r="I1326" s="6">
        <v>-277.29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ht="12.75" customHeight="1">
      <c r="A1327" s="4">
        <v>198.0</v>
      </c>
      <c r="B1327" s="4">
        <v>1313.0</v>
      </c>
      <c r="C1327" s="5">
        <f>DATE(2012,12,31)-1206</f>
        <v>40068</v>
      </c>
      <c r="D1327" s="4" t="s">
        <v>78</v>
      </c>
      <c r="E1327" s="4">
        <v>34.0</v>
      </c>
      <c r="F1327" s="4">
        <v>840.07</v>
      </c>
      <c r="G1327" s="4">
        <v>0.0</v>
      </c>
      <c r="H1327" s="4" t="s">
        <v>22</v>
      </c>
      <c r="I1327" s="6">
        <v>-83.75</v>
      </c>
      <c r="J1327" s="4">
        <v>22.84</v>
      </c>
      <c r="K1327" s="4">
        <v>16.92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9">C1327+2</f>
        <v>40070</v>
      </c>
    </row>
    <row r="1328" ht="12.75" customHeight="1">
      <c r="A1328" s="4">
        <v>206.0</v>
      </c>
      <c r="B1328" s="4">
        <v>1346.0</v>
      </c>
      <c r="C1328" s="5">
        <f>DATE(2012,12,31)-197</f>
        <v>41077</v>
      </c>
      <c r="D1328" s="4" t="s">
        <v>30</v>
      </c>
      <c r="E1328" s="4">
        <v>48.0</v>
      </c>
      <c r="F1328" s="4">
        <v>4789.89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9"/>
        <v>41079</v>
      </c>
    </row>
    <row r="1329" ht="12.75" customHeight="1">
      <c r="A1329" s="4">
        <v>246.0</v>
      </c>
      <c r="B1329" s="4">
        <v>1699.0</v>
      </c>
      <c r="C1329" s="5">
        <f>DATE(2012,12,31)-733</f>
        <v>40541</v>
      </c>
      <c r="D1329" s="4" t="s">
        <v>78</v>
      </c>
      <c r="E1329" s="4">
        <v>40.0</v>
      </c>
      <c r="F1329" s="4">
        <v>430.88</v>
      </c>
      <c r="G1329" s="4">
        <v>0.05</v>
      </c>
      <c r="H1329" s="4" t="s">
        <v>22</v>
      </c>
      <c r="I1329" s="6">
        <v>39.0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ht="12.75" customHeight="1">
      <c r="A1330" s="4">
        <v>314.0</v>
      </c>
      <c r="B1330" s="4">
        <v>2208.0</v>
      </c>
      <c r="C1330" s="5">
        <f t="shared" ref="C1330:C1331" si="580">DATE(2012,12,31)-611</f>
        <v>40663</v>
      </c>
      <c r="D1330" s="4" t="s">
        <v>45</v>
      </c>
      <c r="E1330" s="4">
        <v>7.0</v>
      </c>
      <c r="F1330" s="4">
        <v>82.06</v>
      </c>
      <c r="G1330" s="4">
        <v>0.07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ht="12.75" customHeight="1">
      <c r="A1331" s="4">
        <v>315.0</v>
      </c>
      <c r="B1331" s="4">
        <v>2208.0</v>
      </c>
      <c r="C1331" s="5">
        <f t="shared" si="580"/>
        <v>40663</v>
      </c>
      <c r="D1331" s="4" t="s">
        <v>45</v>
      </c>
      <c r="E1331" s="4">
        <v>41.0</v>
      </c>
      <c r="F1331" s="4">
        <v>23281.05</v>
      </c>
      <c r="G1331" s="4">
        <v>0.09</v>
      </c>
      <c r="H1331" s="4" t="s">
        <v>22</v>
      </c>
      <c r="I1331" s="6">
        <v>9097.645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1">C1331+1</f>
        <v>40664</v>
      </c>
    </row>
    <row r="1332" ht="12.75" customHeight="1">
      <c r="A1332" s="4">
        <v>382.0</v>
      </c>
      <c r="B1332" s="4">
        <v>2656.0</v>
      </c>
      <c r="C1332" s="5">
        <f t="shared" ref="C1332:C1333" si="582">DATE(2012,12,31)-973</f>
        <v>40301</v>
      </c>
      <c r="D1332" s="4" t="s">
        <v>78</v>
      </c>
      <c r="E1332" s="4">
        <v>3.0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60.0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</v>
      </c>
      <c r="U1332" s="5">
        <f t="shared" si="581"/>
        <v>40302</v>
      </c>
    </row>
    <row r="1333" ht="12.75" customHeight="1">
      <c r="A1333" s="4">
        <v>383.0</v>
      </c>
      <c r="B1333" s="4">
        <v>2656.0</v>
      </c>
      <c r="C1333" s="5">
        <f t="shared" si="582"/>
        <v>40301</v>
      </c>
      <c r="D1333" s="4" t="s">
        <v>78</v>
      </c>
      <c r="E1333" s="4">
        <v>29.0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0.57</v>
      </c>
      <c r="U1333" s="5">
        <f>C1333+2</f>
        <v>40303</v>
      </c>
    </row>
    <row r="1334" ht="12.75" customHeight="1">
      <c r="A1334" s="4">
        <v>483.0</v>
      </c>
      <c r="B1334" s="4">
        <v>3361.0</v>
      </c>
      <c r="C1334" s="5">
        <f t="shared" ref="C1334:C1335" si="583">DATE(2012,12,31)-131</f>
        <v>41143</v>
      </c>
      <c r="D1334" s="4" t="s">
        <v>45</v>
      </c>
      <c r="E1334" s="4">
        <v>49.0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ht="12.75" customHeight="1">
      <c r="A1335" s="4">
        <v>484.0</v>
      </c>
      <c r="B1335" s="4">
        <v>3361.0</v>
      </c>
      <c r="C1335" s="5">
        <f t="shared" si="583"/>
        <v>41143</v>
      </c>
      <c r="D1335" s="4" t="s">
        <v>45</v>
      </c>
      <c r="E1335" s="4">
        <v>23.0</v>
      </c>
      <c r="F1335" s="4">
        <v>133.66</v>
      </c>
      <c r="G1335" s="4">
        <v>0.07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</v>
      </c>
      <c r="U1335" s="5">
        <f t="shared" ref="U1335:U1336" si="584">C1335+1</f>
        <v>41144</v>
      </c>
    </row>
    <row r="1336" ht="12.75" customHeight="1">
      <c r="A1336" s="4">
        <v>488.0</v>
      </c>
      <c r="B1336" s="4">
        <v>3393.0</v>
      </c>
      <c r="C1336" s="5">
        <f t="shared" ref="C1336:C1337" si="585">DATE(2012,12,31)-547</f>
        <v>40727</v>
      </c>
      <c r="D1336" s="4" t="s">
        <v>30</v>
      </c>
      <c r="E1336" s="4">
        <v>7.0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4.0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4"/>
        <v>40728</v>
      </c>
    </row>
    <row r="1337" ht="12.75" customHeight="1">
      <c r="A1337" s="4">
        <v>489.0</v>
      </c>
      <c r="B1337" s="4">
        <v>3393.0</v>
      </c>
      <c r="C1337" s="5">
        <f t="shared" si="585"/>
        <v>40727</v>
      </c>
      <c r="D1337" s="4" t="s">
        <v>30</v>
      </c>
      <c r="E1337" s="4">
        <v>33.0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ht="12.75" customHeight="1">
      <c r="A1338" s="4">
        <v>638.0</v>
      </c>
      <c r="B1338" s="4">
        <v>4487.0</v>
      </c>
      <c r="C1338" s="5">
        <f>DATE(2012,12,31)-1043</f>
        <v>40231</v>
      </c>
      <c r="D1338" s="4" t="s">
        <v>63</v>
      </c>
      <c r="E1338" s="4">
        <v>50.0</v>
      </c>
      <c r="F1338" s="4">
        <v>325.24</v>
      </c>
      <c r="G1338" s="4">
        <v>0.05</v>
      </c>
      <c r="H1338" s="4" t="s">
        <v>22</v>
      </c>
      <c r="I1338" s="6">
        <v>-79.419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6">C1338+1</f>
        <v>40232</v>
      </c>
    </row>
    <row r="1339" ht="12.75" customHeight="1">
      <c r="A1339" s="4">
        <v>649.0</v>
      </c>
      <c r="B1339" s="4">
        <v>4579.0</v>
      </c>
      <c r="C1339" s="5">
        <f>DATE(2012,12,31)-397</f>
        <v>40877</v>
      </c>
      <c r="D1339" s="4" t="s">
        <v>30</v>
      </c>
      <c r="E1339" s="4">
        <v>40.0</v>
      </c>
      <c r="F1339" s="4">
        <v>1765.05</v>
      </c>
      <c r="G1339" s="4">
        <v>0.05</v>
      </c>
      <c r="H1339" s="4" t="s">
        <v>22</v>
      </c>
      <c r="I1339" s="6">
        <v>749.2155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6"/>
        <v>40878</v>
      </c>
    </row>
    <row r="1340" ht="12.75" customHeight="1">
      <c r="A1340" s="4">
        <v>713.0</v>
      </c>
      <c r="B1340" s="4">
        <v>5061.0</v>
      </c>
      <c r="C1340" s="5">
        <f>DATE(2012,12,31)-871</f>
        <v>40403</v>
      </c>
      <c r="D1340" s="4" t="s">
        <v>78</v>
      </c>
      <c r="E1340" s="4">
        <v>4.0</v>
      </c>
      <c r="F1340" s="4">
        <v>12.8</v>
      </c>
      <c r="G1340" s="4">
        <v>0.0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</v>
      </c>
      <c r="U1340" s="5">
        <f>C1340+2</f>
        <v>40405</v>
      </c>
    </row>
    <row r="1341" ht="12.75" customHeight="1">
      <c r="A1341" s="4">
        <v>714.0</v>
      </c>
      <c r="B1341" s="4">
        <v>5092.0</v>
      </c>
      <c r="C1341" s="5">
        <f t="shared" ref="C1341:C1342" si="587">DATE(2012,12,31)-429</f>
        <v>40845</v>
      </c>
      <c r="D1341" s="4" t="s">
        <v>21</v>
      </c>
      <c r="E1341" s="4">
        <v>3.0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ht="12.75" customHeight="1">
      <c r="A1342" s="4">
        <v>715.0</v>
      </c>
      <c r="B1342" s="4">
        <v>5092.0</v>
      </c>
      <c r="C1342" s="5">
        <f t="shared" si="587"/>
        <v>40845</v>
      </c>
      <c r="D1342" s="4" t="s">
        <v>21</v>
      </c>
      <c r="E1342" s="4">
        <v>25.0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ht="12.75" customHeight="1">
      <c r="A1343" s="4">
        <v>773.0</v>
      </c>
      <c r="B1343" s="4">
        <v>5511.0</v>
      </c>
      <c r="C1343" s="5">
        <f t="shared" ref="C1343:C1344" si="588">DATE(2012,12,31)-1129</f>
        <v>40145</v>
      </c>
      <c r="D1343" s="4" t="s">
        <v>78</v>
      </c>
      <c r="E1343" s="4">
        <v>46.0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9">C1343+1</f>
        <v>40146</v>
      </c>
    </row>
    <row r="1344" ht="12.75" customHeight="1">
      <c r="A1344" s="4">
        <v>774.0</v>
      </c>
      <c r="B1344" s="4">
        <v>5511.0</v>
      </c>
      <c r="C1344" s="5">
        <f t="shared" si="588"/>
        <v>40145</v>
      </c>
      <c r="D1344" s="4" t="s">
        <v>78</v>
      </c>
      <c r="E1344" s="4">
        <v>32.0</v>
      </c>
      <c r="F1344" s="4">
        <v>1829.3869999999997</v>
      </c>
      <c r="G1344" s="4">
        <v>0.02</v>
      </c>
      <c r="H1344" s="4" t="s">
        <v>22</v>
      </c>
      <c r="I1344" s="6">
        <v>482.445</v>
      </c>
      <c r="J1344" s="4">
        <v>65.99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</v>
      </c>
      <c r="U1344" s="5">
        <f t="shared" si="589"/>
        <v>40146</v>
      </c>
    </row>
    <row r="1345" ht="12.75" customHeight="1">
      <c r="A1345" s="4">
        <v>807.0</v>
      </c>
      <c r="B1345" s="4">
        <v>5799.0</v>
      </c>
      <c r="C1345" s="5">
        <f>DATE(2012,12,31)-517</f>
        <v>40757</v>
      </c>
      <c r="D1345" s="4" t="s">
        <v>78</v>
      </c>
      <c r="E1345" s="4">
        <v>34.0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0.57</v>
      </c>
      <c r="U1345" s="5">
        <f>C1345+2</f>
        <v>40759</v>
      </c>
    </row>
    <row r="1346" ht="12.75" customHeight="1">
      <c r="A1346" s="4">
        <v>815.0</v>
      </c>
      <c r="B1346" s="4">
        <v>5890.0</v>
      </c>
      <c r="C1346" s="5">
        <f>DATE(2012,12,31)-58</f>
        <v>41216</v>
      </c>
      <c r="D1346" s="4" t="s">
        <v>30</v>
      </c>
      <c r="E1346" s="4">
        <v>42.0</v>
      </c>
      <c r="F1346" s="4">
        <v>813.535</v>
      </c>
      <c r="G1346" s="4">
        <v>0.0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ht="12.75" customHeight="1">
      <c r="A1347" s="4">
        <v>919.0</v>
      </c>
      <c r="B1347" s="4">
        <v>6596.0</v>
      </c>
      <c r="C1347" s="5">
        <f>DATE(2012,12,31)-529</f>
        <v>40745</v>
      </c>
      <c r="D1347" s="4" t="s">
        <v>21</v>
      </c>
      <c r="E1347" s="4">
        <v>36.0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ht="12.75" customHeight="1">
      <c r="A1348" s="4">
        <v>967.0</v>
      </c>
      <c r="B1348" s="4">
        <v>7015.0</v>
      </c>
      <c r="C1348" s="5">
        <f t="shared" ref="C1348:C1349" si="590">DATE(2012,12,31)-811</f>
        <v>40463</v>
      </c>
      <c r="D1348" s="4" t="s">
        <v>45</v>
      </c>
      <c r="E1348" s="4">
        <v>47.0</v>
      </c>
      <c r="F1348" s="4">
        <v>1880.8</v>
      </c>
      <c r="G1348" s="4">
        <v>0.07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ht="12.75" customHeight="1">
      <c r="A1349" s="4">
        <v>968.0</v>
      </c>
      <c r="B1349" s="4">
        <v>7015.0</v>
      </c>
      <c r="C1349" s="5">
        <f t="shared" si="590"/>
        <v>40463</v>
      </c>
      <c r="D1349" s="4" t="s">
        <v>45</v>
      </c>
      <c r="E1349" s="4">
        <v>42.0</v>
      </c>
      <c r="F1349" s="4">
        <v>7143.927000000001</v>
      </c>
      <c r="G1349" s="4">
        <v>0.02</v>
      </c>
      <c r="H1349" s="4" t="s">
        <v>56</v>
      </c>
      <c r="I1349" s="6">
        <v>2374.731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</v>
      </c>
      <c r="U1349" s="5">
        <f>C1349+1</f>
        <v>40464</v>
      </c>
    </row>
    <row r="1350" ht="12.75" customHeight="1">
      <c r="A1350" s="4">
        <v>982.0</v>
      </c>
      <c r="B1350" s="4">
        <v>7106.0</v>
      </c>
      <c r="C1350" s="5">
        <f t="shared" ref="C1350:C1352" si="591">DATE(2012,12,31)-235</f>
        <v>41039</v>
      </c>
      <c r="D1350" s="4" t="s">
        <v>21</v>
      </c>
      <c r="E1350" s="4">
        <v>8.0</v>
      </c>
      <c r="F1350" s="4">
        <v>118.98</v>
      </c>
      <c r="G1350" s="4">
        <v>0.05</v>
      </c>
      <c r="H1350" s="4" t="s">
        <v>22</v>
      </c>
      <c r="I1350" s="6">
        <v>-12.765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2">C1350+2</f>
        <v>41041</v>
      </c>
    </row>
    <row r="1351" ht="12.75" customHeight="1">
      <c r="A1351" s="4">
        <v>983.0</v>
      </c>
      <c r="B1351" s="4">
        <v>7106.0</v>
      </c>
      <c r="C1351" s="5">
        <f t="shared" si="591"/>
        <v>41039</v>
      </c>
      <c r="D1351" s="4" t="s">
        <v>21</v>
      </c>
      <c r="E1351" s="4">
        <v>31.0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2"/>
        <v>41041</v>
      </c>
    </row>
    <row r="1352" ht="12.75" customHeight="1">
      <c r="A1352" s="4">
        <v>984.0</v>
      </c>
      <c r="B1352" s="4">
        <v>7106.0</v>
      </c>
      <c r="C1352" s="5">
        <f t="shared" si="591"/>
        <v>41039</v>
      </c>
      <c r="D1352" s="4" t="s">
        <v>21</v>
      </c>
      <c r="E1352" s="4">
        <v>36.0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19.99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2"/>
        <v>41041</v>
      </c>
    </row>
    <row r="1353" ht="12.75" customHeight="1">
      <c r="A1353" s="4">
        <v>1090.0</v>
      </c>
      <c r="B1353" s="4">
        <v>8007.0</v>
      </c>
      <c r="C1353" s="5">
        <f>DATE(2012,12,31)-324</f>
        <v>40950</v>
      </c>
      <c r="D1353" s="4" t="s">
        <v>21</v>
      </c>
      <c r="E1353" s="4">
        <v>5.0</v>
      </c>
      <c r="F1353" s="4">
        <v>820.5645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3">C1353+0</f>
        <v>40950</v>
      </c>
    </row>
    <row r="1354" ht="12.75" customHeight="1">
      <c r="A1354" s="4">
        <v>1127.0</v>
      </c>
      <c r="B1354" s="4">
        <v>8257.0</v>
      </c>
      <c r="C1354" s="5">
        <f t="shared" ref="C1354:C1356" si="594">DATE(2012,12,31)-1380</f>
        <v>39894</v>
      </c>
      <c r="D1354" s="4" t="s">
        <v>21</v>
      </c>
      <c r="E1354" s="4">
        <v>5.0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0.57</v>
      </c>
      <c r="U1354" s="5">
        <f t="shared" si="593"/>
        <v>39894</v>
      </c>
    </row>
    <row r="1355" ht="12.75" customHeight="1">
      <c r="A1355" s="4">
        <v>1128.0</v>
      </c>
      <c r="B1355" s="4">
        <v>8257.0</v>
      </c>
      <c r="C1355" s="5">
        <f t="shared" si="594"/>
        <v>39894</v>
      </c>
      <c r="D1355" s="4" t="s">
        <v>21</v>
      </c>
      <c r="E1355" s="4">
        <v>18.0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ht="12.75" customHeight="1">
      <c r="A1356" s="4">
        <v>1129.0</v>
      </c>
      <c r="B1356" s="4">
        <v>8257.0</v>
      </c>
      <c r="C1356" s="5">
        <f t="shared" si="594"/>
        <v>39894</v>
      </c>
      <c r="D1356" s="4" t="s">
        <v>21</v>
      </c>
      <c r="E1356" s="4">
        <v>5.0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0.58</v>
      </c>
      <c r="U1356" s="5">
        <f>C1356+7</f>
        <v>39901</v>
      </c>
    </row>
    <row r="1357" ht="12.75" customHeight="1">
      <c r="A1357" s="4">
        <v>1196.0</v>
      </c>
      <c r="B1357" s="4">
        <v>8773.0</v>
      </c>
      <c r="C1357" s="5">
        <f>DATE(2012,12,31)-436</f>
        <v>40838</v>
      </c>
      <c r="D1357" s="4" t="s">
        <v>78</v>
      </c>
      <c r="E1357" s="4">
        <v>5.0</v>
      </c>
      <c r="F1357" s="4">
        <v>220.7875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5.0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5">C1357+0</f>
        <v>40838</v>
      </c>
    </row>
    <row r="1358" ht="12.75" customHeight="1">
      <c r="A1358" s="4">
        <v>1243.0</v>
      </c>
      <c r="B1358" s="4">
        <v>9057.0</v>
      </c>
      <c r="C1358" s="5">
        <f>DATE(2012,12,31)-1153</f>
        <v>40121</v>
      </c>
      <c r="D1358" s="4" t="s">
        <v>78</v>
      </c>
      <c r="E1358" s="4">
        <v>20.0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4.0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5"/>
        <v>40121</v>
      </c>
    </row>
    <row r="1359" ht="12.75" customHeight="1">
      <c r="A1359" s="4">
        <v>1279.0</v>
      </c>
      <c r="B1359" s="4">
        <v>9285.0</v>
      </c>
      <c r="C1359" s="5">
        <f>DATE(2012,12,31)-1459</f>
        <v>39815</v>
      </c>
      <c r="D1359" s="4" t="s">
        <v>78</v>
      </c>
      <c r="E1359" s="4">
        <v>3.0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ht="12.75" customHeight="1">
      <c r="A1360" s="4">
        <v>1353.0</v>
      </c>
      <c r="B1360" s="4">
        <v>9861.0</v>
      </c>
      <c r="C1360" s="5">
        <f>DATE(2012,12,31)-64</f>
        <v>41210</v>
      </c>
      <c r="D1360" s="4" t="s">
        <v>21</v>
      </c>
      <c r="E1360" s="4">
        <v>47.0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</v>
      </c>
      <c r="U1360" s="5">
        <f>C1360+4</f>
        <v>41214</v>
      </c>
    </row>
    <row r="1361" ht="12.75" customHeight="1">
      <c r="A1361" s="4">
        <v>1363.0</v>
      </c>
      <c r="B1361" s="4">
        <v>9922.0</v>
      </c>
      <c r="C1361" s="5">
        <f>DATE(2012,12,31)-638</f>
        <v>40636</v>
      </c>
      <c r="D1361" s="4" t="s">
        <v>45</v>
      </c>
      <c r="E1361" s="4">
        <v>24.0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ht="12.75" customHeight="1">
      <c r="A1362" s="4">
        <v>1364.0</v>
      </c>
      <c r="B1362" s="4">
        <v>9923.0</v>
      </c>
      <c r="C1362" s="5">
        <f t="shared" ref="C1362:C1363" si="596">DATE(2012,12,31)-1183</f>
        <v>40091</v>
      </c>
      <c r="D1362" s="4" t="s">
        <v>30</v>
      </c>
      <c r="E1362" s="4">
        <v>27.0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ht="12.75" customHeight="1">
      <c r="A1363" s="4">
        <v>1365.0</v>
      </c>
      <c r="B1363" s="4">
        <v>9923.0</v>
      </c>
      <c r="C1363" s="5">
        <f t="shared" si="596"/>
        <v>40091</v>
      </c>
      <c r="D1363" s="4" t="s">
        <v>30</v>
      </c>
      <c r="E1363" s="4">
        <v>14.0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99.0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ht="12.75" customHeight="1">
      <c r="A1364" s="4">
        <v>1366.0</v>
      </c>
      <c r="B1364" s="4">
        <v>9925.0</v>
      </c>
      <c r="C1364" s="5">
        <f t="shared" ref="C1364:C1366" si="597">DATE(2012,12,31)-336</f>
        <v>40938</v>
      </c>
      <c r="D1364" s="4" t="s">
        <v>78</v>
      </c>
      <c r="E1364" s="4">
        <v>43.0</v>
      </c>
      <c r="F1364" s="4">
        <v>1751.68</v>
      </c>
      <c r="G1364" s="4">
        <v>0.1</v>
      </c>
      <c r="H1364" s="4" t="s">
        <v>56</v>
      </c>
      <c r="I1364" s="6">
        <v>771.8254999999999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ht="12.75" customHeight="1">
      <c r="A1365" s="4">
        <v>1367.0</v>
      </c>
      <c r="B1365" s="4">
        <v>9925.0</v>
      </c>
      <c r="C1365" s="5">
        <f t="shared" si="597"/>
        <v>40938</v>
      </c>
      <c r="D1365" s="4" t="s">
        <v>78</v>
      </c>
      <c r="E1365" s="4">
        <v>17.0</v>
      </c>
      <c r="F1365" s="4">
        <v>86.47</v>
      </c>
      <c r="G1365" s="4">
        <v>0.07</v>
      </c>
      <c r="H1365" s="4" t="s">
        <v>22</v>
      </c>
      <c r="I1365" s="6">
        <v>-9.3495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8">C1365+2</f>
        <v>40940</v>
      </c>
    </row>
    <row r="1366" ht="12.75" customHeight="1">
      <c r="A1366" s="4">
        <v>1368.0</v>
      </c>
      <c r="B1366" s="4">
        <v>9925.0</v>
      </c>
      <c r="C1366" s="5">
        <f t="shared" si="597"/>
        <v>40938</v>
      </c>
      <c r="D1366" s="4" t="s">
        <v>78</v>
      </c>
      <c r="E1366" s="4">
        <v>31.0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8"/>
        <v>40940</v>
      </c>
    </row>
    <row r="1367" ht="12.75" customHeight="1">
      <c r="A1367" s="4">
        <v>1468.0</v>
      </c>
      <c r="B1367" s="4">
        <v>10593.0</v>
      </c>
      <c r="C1367" s="5">
        <f t="shared" ref="C1367:C1368" si="599">DATE(2012,12,31)-323</f>
        <v>40951</v>
      </c>
      <c r="D1367" s="4" t="s">
        <v>30</v>
      </c>
      <c r="E1367" s="4">
        <v>27.0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ht="12.75" customHeight="1">
      <c r="A1368" s="4">
        <v>1469.0</v>
      </c>
      <c r="B1368" s="4">
        <v>10593.0</v>
      </c>
      <c r="C1368" s="5">
        <f t="shared" si="599"/>
        <v>40951</v>
      </c>
      <c r="D1368" s="4" t="s">
        <v>30</v>
      </c>
      <c r="E1368" s="4">
        <v>26.0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ht="12.75" customHeight="1">
      <c r="A1369" s="4">
        <v>1660.0</v>
      </c>
      <c r="B1369" s="4">
        <v>11969.0</v>
      </c>
      <c r="C1369" s="5">
        <f t="shared" ref="C1369:C1371" si="600">DATE(2012,12,31)-347</f>
        <v>40927</v>
      </c>
      <c r="D1369" s="4" t="s">
        <v>45</v>
      </c>
      <c r="E1369" s="4">
        <v>16.0</v>
      </c>
      <c r="F1369" s="4">
        <v>1684.96</v>
      </c>
      <c r="G1369" s="4">
        <v>0.08</v>
      </c>
      <c r="H1369" s="4" t="s">
        <v>22</v>
      </c>
      <c r="I1369" s="6">
        <v>-553.06</v>
      </c>
      <c r="J1369" s="4">
        <v>110.98</v>
      </c>
      <c r="K1369" s="4">
        <v>35.0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ht="12.75" customHeight="1">
      <c r="A1370" s="4">
        <v>1661.0</v>
      </c>
      <c r="B1370" s="4">
        <v>11969.0</v>
      </c>
      <c r="C1370" s="5">
        <f t="shared" si="600"/>
        <v>40927</v>
      </c>
      <c r="D1370" s="4" t="s">
        <v>45</v>
      </c>
      <c r="E1370" s="4">
        <v>9.0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1">C1370+2</f>
        <v>40929</v>
      </c>
    </row>
    <row r="1371" ht="12.75" customHeight="1">
      <c r="A1371" s="4">
        <v>1662.0</v>
      </c>
      <c r="B1371" s="4">
        <v>11969.0</v>
      </c>
      <c r="C1371" s="5">
        <f t="shared" si="600"/>
        <v>40927</v>
      </c>
      <c r="D1371" s="4" t="s">
        <v>45</v>
      </c>
      <c r="E1371" s="4">
        <v>42.0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60.0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1"/>
        <v>40929</v>
      </c>
    </row>
    <row r="1372" ht="12.75" customHeight="1">
      <c r="A1372" s="4">
        <v>1694.0</v>
      </c>
      <c r="B1372" s="4">
        <v>12228.0</v>
      </c>
      <c r="C1372" s="5">
        <f t="shared" ref="C1372:C1373" si="602">DATE(2012,12,31)-1285</f>
        <v>39989</v>
      </c>
      <c r="D1372" s="4" t="s">
        <v>45</v>
      </c>
      <c r="E1372" s="4">
        <v>1.0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130.98</v>
      </c>
      <c r="K1372" s="4">
        <v>30.0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ht="12.75" customHeight="1">
      <c r="A1373" s="4">
        <v>1695.0</v>
      </c>
      <c r="B1373" s="4">
        <v>12228.0</v>
      </c>
      <c r="C1373" s="5">
        <f t="shared" si="602"/>
        <v>39989</v>
      </c>
      <c r="D1373" s="4" t="s">
        <v>45</v>
      </c>
      <c r="E1373" s="4">
        <v>30.0</v>
      </c>
      <c r="F1373" s="4">
        <v>5015.051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ht="12.75" customHeight="1">
      <c r="A1374" s="4">
        <v>1721.0</v>
      </c>
      <c r="B1374" s="4">
        <v>12355.0</v>
      </c>
      <c r="C1374" s="5">
        <f>DATE(2012,12,31)-583</f>
        <v>40691</v>
      </c>
      <c r="D1374" s="4" t="s">
        <v>45</v>
      </c>
      <c r="E1374" s="4">
        <v>45.0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3">C1374+2</f>
        <v>40693</v>
      </c>
    </row>
    <row r="1375" ht="12.75" customHeight="1">
      <c r="A1375" s="4">
        <v>1723.0</v>
      </c>
      <c r="B1375" s="4">
        <v>12389.0</v>
      </c>
      <c r="C1375" s="5">
        <f t="shared" ref="C1375:C1376" si="604">DATE(2012,12,31)-1245</f>
        <v>40029</v>
      </c>
      <c r="D1375" s="4" t="s">
        <v>63</v>
      </c>
      <c r="E1375" s="4">
        <v>34.0</v>
      </c>
      <c r="F1375" s="4">
        <v>2560.59</v>
      </c>
      <c r="G1375" s="4">
        <v>0.07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3"/>
        <v>40031</v>
      </c>
    </row>
    <row r="1376" ht="12.75" customHeight="1">
      <c r="A1376" s="4">
        <v>1724.0</v>
      </c>
      <c r="B1376" s="4">
        <v>12389.0</v>
      </c>
      <c r="C1376" s="5">
        <f t="shared" si="604"/>
        <v>40029</v>
      </c>
      <c r="D1376" s="4" t="s">
        <v>63</v>
      </c>
      <c r="E1376" s="4">
        <v>16.0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0.57</v>
      </c>
      <c r="U1376" s="5">
        <f>C1376+1</f>
        <v>40030</v>
      </c>
    </row>
    <row r="1377" ht="12.75" customHeight="1">
      <c r="A1377" s="4">
        <v>1775.0</v>
      </c>
      <c r="B1377" s="4">
        <v>12710.0</v>
      </c>
      <c r="C1377" s="5">
        <f>DATE(2012,12,31)-867</f>
        <v>40407</v>
      </c>
      <c r="D1377" s="4" t="s">
        <v>78</v>
      </c>
      <c r="E1377" s="4">
        <v>37.0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ht="12.75" customHeight="1">
      <c r="A1378" s="4">
        <v>1909.0</v>
      </c>
      <c r="B1378" s="4">
        <v>13636.0</v>
      </c>
      <c r="C1378" s="5">
        <f>DATE(2012,12,31)-1439</f>
        <v>39835</v>
      </c>
      <c r="D1378" s="4" t="s">
        <v>21</v>
      </c>
      <c r="E1378" s="4">
        <v>32.0</v>
      </c>
      <c r="F1378" s="4">
        <v>28180.08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ht="12.75" customHeight="1">
      <c r="A1379" s="4">
        <v>1961.0</v>
      </c>
      <c r="B1379" s="4">
        <v>14021.0</v>
      </c>
      <c r="C1379" s="5">
        <f>DATE(2012,12,31)-665</f>
        <v>40609</v>
      </c>
      <c r="D1379" s="4" t="s">
        <v>30</v>
      </c>
      <c r="E1379" s="4">
        <v>12.0</v>
      </c>
      <c r="F1379" s="4">
        <v>27.05</v>
      </c>
      <c r="G1379" s="4">
        <v>0.0</v>
      </c>
      <c r="H1379" s="4" t="s">
        <v>56</v>
      </c>
      <c r="I1379" s="6">
        <v>0.9999999999999993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0.57</v>
      </c>
      <c r="U1379" s="5">
        <f>C1379+1</f>
        <v>40610</v>
      </c>
    </row>
    <row r="1380" ht="12.75" customHeight="1">
      <c r="A1380" s="4">
        <v>2009.0</v>
      </c>
      <c r="B1380" s="4">
        <v>14338.0</v>
      </c>
      <c r="C1380" s="5">
        <f>DATE(2012,12,31)-1065</f>
        <v>40209</v>
      </c>
      <c r="D1380" s="4" t="s">
        <v>21</v>
      </c>
      <c r="E1380" s="4">
        <v>34.0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ht="12.75" customHeight="1">
      <c r="A1381" s="4">
        <v>2021.0</v>
      </c>
      <c r="B1381" s="4">
        <v>14406.0</v>
      </c>
      <c r="C1381" s="5">
        <f t="shared" ref="C1381:C1383" si="605">DATE(2012,12,31)-1029</f>
        <v>40245</v>
      </c>
      <c r="D1381" s="4" t="s">
        <v>63</v>
      </c>
      <c r="E1381" s="4">
        <v>37.0</v>
      </c>
      <c r="F1381" s="4">
        <v>5610.84</v>
      </c>
      <c r="G1381" s="4">
        <v>0.07</v>
      </c>
      <c r="H1381" s="4" t="s">
        <v>22</v>
      </c>
      <c r="I1381" s="6">
        <v>2366.51</v>
      </c>
      <c r="J1381" s="4">
        <v>150.98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6">C1381+2</f>
        <v>40247</v>
      </c>
    </row>
    <row r="1382" ht="12.75" customHeight="1">
      <c r="A1382" s="4">
        <v>2022.0</v>
      </c>
      <c r="B1382" s="4">
        <v>14406.0</v>
      </c>
      <c r="C1382" s="5">
        <f t="shared" si="605"/>
        <v>40245</v>
      </c>
      <c r="D1382" s="4" t="s">
        <v>63</v>
      </c>
      <c r="E1382" s="4">
        <v>20.0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6"/>
        <v>40247</v>
      </c>
    </row>
    <row r="1383" ht="12.75" customHeight="1">
      <c r="A1383" s="4">
        <v>2023.0</v>
      </c>
      <c r="B1383" s="4">
        <v>14406.0</v>
      </c>
      <c r="C1383" s="5">
        <f t="shared" si="605"/>
        <v>40245</v>
      </c>
      <c r="D1383" s="4" t="s">
        <v>63</v>
      </c>
      <c r="E1383" s="4">
        <v>35.0</v>
      </c>
      <c r="F1383" s="4">
        <v>2329.646</v>
      </c>
      <c r="G1383" s="4">
        <v>0.1</v>
      </c>
      <c r="H1383" s="4" t="s">
        <v>56</v>
      </c>
      <c r="I1383" s="6">
        <v>-310.244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6"/>
        <v>40247</v>
      </c>
    </row>
    <row r="1384" ht="12.75" customHeight="1">
      <c r="A1384" s="4">
        <v>2202.0</v>
      </c>
      <c r="B1384" s="4">
        <v>15878.0</v>
      </c>
      <c r="C1384" s="5">
        <f>DATE(2012,12,31)-788</f>
        <v>40486</v>
      </c>
      <c r="D1384" s="4" t="s">
        <v>30</v>
      </c>
      <c r="E1384" s="4">
        <v>36.0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6"/>
        <v>40488</v>
      </c>
    </row>
    <row r="1385" ht="12.75" customHeight="1">
      <c r="A1385" s="4">
        <v>2234.0</v>
      </c>
      <c r="B1385" s="4">
        <v>16133.0</v>
      </c>
      <c r="C1385" s="5">
        <f>DATE(2012,12,31)-1193</f>
        <v>40081</v>
      </c>
      <c r="D1385" s="4" t="s">
        <v>78</v>
      </c>
      <c r="E1385" s="4">
        <v>1.0</v>
      </c>
      <c r="F1385" s="4">
        <v>27.96</v>
      </c>
      <c r="G1385" s="4">
        <v>0.17</v>
      </c>
      <c r="H1385" s="4" t="s">
        <v>22</v>
      </c>
      <c r="I1385" s="6">
        <v>-9.13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0.58</v>
      </c>
      <c r="U1385" s="5">
        <f t="shared" si="606"/>
        <v>40083</v>
      </c>
    </row>
    <row r="1386" ht="12.75" customHeight="1">
      <c r="A1386" s="4">
        <v>2304.0</v>
      </c>
      <c r="B1386" s="4">
        <v>16612.0</v>
      </c>
      <c r="C1386" s="5">
        <f t="shared" ref="C1386:C1387" si="607">DATE(2012,12,31)-1417</f>
        <v>39857</v>
      </c>
      <c r="D1386" s="4" t="s">
        <v>30</v>
      </c>
      <c r="E1386" s="4">
        <v>45.0</v>
      </c>
      <c r="F1386" s="4">
        <v>3699.22</v>
      </c>
      <c r="G1386" s="4">
        <v>0.05</v>
      </c>
      <c r="H1386" s="4" t="s">
        <v>31</v>
      </c>
      <c r="I1386" s="6">
        <v>565.18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ht="12.75" customHeight="1">
      <c r="A1387" s="4">
        <v>2305.0</v>
      </c>
      <c r="B1387" s="4">
        <v>16612.0</v>
      </c>
      <c r="C1387" s="5">
        <f t="shared" si="607"/>
        <v>39857</v>
      </c>
      <c r="D1387" s="4" t="s">
        <v>30</v>
      </c>
      <c r="E1387" s="4">
        <v>6.0</v>
      </c>
      <c r="F1387" s="4">
        <v>48.93</v>
      </c>
      <c r="G1387" s="4">
        <v>0.0</v>
      </c>
      <c r="H1387" s="4" t="s">
        <v>22</v>
      </c>
      <c r="I1387" s="6">
        <v>-38.72</v>
      </c>
      <c r="J1387" s="4">
        <v>6.48</v>
      </c>
      <c r="K1387" s="4">
        <v>10.05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8">C1387+2</f>
        <v>39859</v>
      </c>
    </row>
    <row r="1388" ht="12.75" customHeight="1">
      <c r="A1388" s="4">
        <v>2352.0</v>
      </c>
      <c r="B1388" s="4">
        <v>16967.0</v>
      </c>
      <c r="C1388" s="5">
        <f t="shared" ref="C1388:C1389" si="609">DATE(2012,12,31)-500</f>
        <v>40774</v>
      </c>
      <c r="D1388" s="4" t="s">
        <v>21</v>
      </c>
      <c r="E1388" s="4">
        <v>5.0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8"/>
        <v>40776</v>
      </c>
    </row>
    <row r="1389" ht="12.75" customHeight="1">
      <c r="A1389" s="4">
        <v>2353.0</v>
      </c>
      <c r="B1389" s="4">
        <v>16967.0</v>
      </c>
      <c r="C1389" s="5">
        <f t="shared" si="609"/>
        <v>40774</v>
      </c>
      <c r="D1389" s="4" t="s">
        <v>21</v>
      </c>
      <c r="E1389" s="4">
        <v>34.0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10">C1389+0</f>
        <v>40774</v>
      </c>
    </row>
    <row r="1390" ht="12.75" customHeight="1">
      <c r="A1390" s="4">
        <v>2540.0</v>
      </c>
      <c r="B1390" s="4">
        <v>18432.0</v>
      </c>
      <c r="C1390" s="5">
        <f t="shared" ref="C1390:C1393" si="611">DATE(2012,12,31)-660</f>
        <v>40614</v>
      </c>
      <c r="D1390" s="4" t="s">
        <v>30</v>
      </c>
      <c r="E1390" s="4">
        <v>42.0</v>
      </c>
      <c r="F1390" s="4">
        <v>451.32</v>
      </c>
      <c r="G1390" s="4">
        <v>0.04</v>
      </c>
      <c r="H1390" s="4" t="s">
        <v>22</v>
      </c>
      <c r="I1390" s="6">
        <v>1.16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0.57</v>
      </c>
      <c r="U1390" s="5">
        <f t="shared" si="610"/>
        <v>40614</v>
      </c>
    </row>
    <row r="1391" ht="12.75" customHeight="1">
      <c r="A1391" s="4">
        <v>2541.0</v>
      </c>
      <c r="B1391" s="4">
        <v>18432.0</v>
      </c>
      <c r="C1391" s="5">
        <f t="shared" si="611"/>
        <v>40614</v>
      </c>
      <c r="D1391" s="4" t="s">
        <v>30</v>
      </c>
      <c r="E1391" s="4">
        <v>15.0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10"/>
        <v>40614</v>
      </c>
    </row>
    <row r="1392" ht="12.75" customHeight="1">
      <c r="A1392" s="4">
        <v>2542.0</v>
      </c>
      <c r="B1392" s="4">
        <v>18432.0</v>
      </c>
      <c r="C1392" s="5">
        <f t="shared" si="611"/>
        <v>40614</v>
      </c>
      <c r="D1392" s="4" t="s">
        <v>30</v>
      </c>
      <c r="E1392" s="4">
        <v>5.0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2">C1392+2</f>
        <v>40616</v>
      </c>
    </row>
    <row r="1393" ht="12.75" customHeight="1">
      <c r="A1393" s="4">
        <v>2543.0</v>
      </c>
      <c r="B1393" s="4">
        <v>18432.0</v>
      </c>
      <c r="C1393" s="5">
        <f t="shared" si="611"/>
        <v>40614</v>
      </c>
      <c r="D1393" s="4" t="s">
        <v>30</v>
      </c>
      <c r="E1393" s="4">
        <v>12.0</v>
      </c>
      <c r="F1393" s="4">
        <v>76.42</v>
      </c>
      <c r="G1393" s="4">
        <v>0.02</v>
      </c>
      <c r="H1393" s="4" t="s">
        <v>56</v>
      </c>
      <c r="I1393" s="6">
        <v>20.44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2"/>
        <v>40616</v>
      </c>
    </row>
    <row r="1394" ht="12.75" customHeight="1">
      <c r="A1394" s="4">
        <v>2544.0</v>
      </c>
      <c r="B1394" s="4">
        <v>18464.0</v>
      </c>
      <c r="C1394" s="5">
        <f t="shared" ref="C1394:C1397" si="613">DATE(2012,12,31)-278</f>
        <v>40996</v>
      </c>
      <c r="D1394" s="4" t="s">
        <v>30</v>
      </c>
      <c r="E1394" s="4">
        <v>27.0</v>
      </c>
      <c r="F1394" s="4">
        <v>4891.86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0.57</v>
      </c>
      <c r="U1394" s="5">
        <f t="shared" si="612"/>
        <v>40998</v>
      </c>
    </row>
    <row r="1395" ht="12.75" customHeight="1">
      <c r="A1395" s="4">
        <v>2545.0</v>
      </c>
      <c r="B1395" s="4">
        <v>18464.0</v>
      </c>
      <c r="C1395" s="5">
        <f t="shared" si="613"/>
        <v>40996</v>
      </c>
      <c r="D1395" s="4" t="s">
        <v>30</v>
      </c>
      <c r="E1395" s="4">
        <v>37.0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150.98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ht="12.75" customHeight="1">
      <c r="A1396" s="4">
        <v>2546.0</v>
      </c>
      <c r="B1396" s="4">
        <v>18464.0</v>
      </c>
      <c r="C1396" s="5">
        <f t="shared" si="613"/>
        <v>40996</v>
      </c>
      <c r="D1396" s="4" t="s">
        <v>30</v>
      </c>
      <c r="E1396" s="4">
        <v>31.0</v>
      </c>
      <c r="F1396" s="4">
        <v>206.49</v>
      </c>
      <c r="G1396" s="4">
        <v>0.05</v>
      </c>
      <c r="H1396" s="4" t="s">
        <v>22</v>
      </c>
      <c r="I1396" s="6">
        <v>80.07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4">C1396+2</f>
        <v>40998</v>
      </c>
    </row>
    <row r="1397" ht="12.75" customHeight="1">
      <c r="A1397" s="4">
        <v>2547.0</v>
      </c>
      <c r="B1397" s="4">
        <v>18464.0</v>
      </c>
      <c r="C1397" s="5">
        <f t="shared" si="613"/>
        <v>40996</v>
      </c>
      <c r="D1397" s="4" t="s">
        <v>30</v>
      </c>
      <c r="E1397" s="4">
        <v>41.0</v>
      </c>
      <c r="F1397" s="4">
        <v>80.54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4"/>
        <v>40998</v>
      </c>
    </row>
    <row r="1398" ht="12.75" customHeight="1">
      <c r="A1398" s="4">
        <v>2594.0</v>
      </c>
      <c r="B1398" s="4">
        <v>18754.0</v>
      </c>
      <c r="C1398" s="5">
        <f t="shared" ref="C1398:C1399" si="615">DATE(2012,12,31)-1193</f>
        <v>40081</v>
      </c>
      <c r="D1398" s="4" t="s">
        <v>45</v>
      </c>
      <c r="E1398" s="4">
        <v>8.0</v>
      </c>
      <c r="F1398" s="4">
        <v>1217.62</v>
      </c>
      <c r="G1398" s="4">
        <v>0.03</v>
      </c>
      <c r="H1398" s="4" t="s">
        <v>31</v>
      </c>
      <c r="I1398" s="6">
        <v>-221.5</v>
      </c>
      <c r="J1398" s="4">
        <v>140.98</v>
      </c>
      <c r="K1398" s="4">
        <v>36.09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4"/>
        <v>40083</v>
      </c>
    </row>
    <row r="1399" ht="12.75" customHeight="1">
      <c r="A1399" s="4">
        <v>2595.0</v>
      </c>
      <c r="B1399" s="4">
        <v>18754.0</v>
      </c>
      <c r="C1399" s="5">
        <f t="shared" si="615"/>
        <v>40081</v>
      </c>
      <c r="D1399" s="4" t="s">
        <v>45</v>
      </c>
      <c r="E1399" s="4">
        <v>32.0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65.99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</v>
      </c>
      <c r="U1399" s="5">
        <f>C1399+1</f>
        <v>40082</v>
      </c>
    </row>
    <row r="1400" ht="12.75" customHeight="1">
      <c r="A1400" s="4">
        <v>2753.0</v>
      </c>
      <c r="B1400" s="4">
        <v>19905.0</v>
      </c>
      <c r="C1400" s="5">
        <f t="shared" ref="C1400:C1401" si="616">DATE(2012,12,31)-141</f>
        <v>41133</v>
      </c>
      <c r="D1400" s="4" t="s">
        <v>78</v>
      </c>
      <c r="E1400" s="4">
        <v>20.0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7">C1400+2</f>
        <v>41135</v>
      </c>
    </row>
    <row r="1401" ht="12.75" customHeight="1">
      <c r="A1401" s="4">
        <v>2754.0</v>
      </c>
      <c r="B1401" s="4">
        <v>19905.0</v>
      </c>
      <c r="C1401" s="5">
        <f t="shared" si="616"/>
        <v>41133</v>
      </c>
      <c r="D1401" s="4" t="s">
        <v>78</v>
      </c>
      <c r="E1401" s="4">
        <v>25.0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7"/>
        <v>41135</v>
      </c>
    </row>
    <row r="1402" ht="12.75" customHeight="1">
      <c r="A1402" s="4">
        <v>2805.0</v>
      </c>
      <c r="B1402" s="4">
        <v>20256.0</v>
      </c>
      <c r="C1402" s="5">
        <f>DATE(2012,12,31)-335</f>
        <v>40939</v>
      </c>
      <c r="D1402" s="4" t="s">
        <v>21</v>
      </c>
      <c r="E1402" s="4">
        <v>24.0</v>
      </c>
      <c r="F1402" s="4">
        <v>512.83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ht="12.75" customHeight="1">
      <c r="A1403" s="4">
        <v>2823.0</v>
      </c>
      <c r="B1403" s="4">
        <v>20386.0</v>
      </c>
      <c r="C1403" s="5">
        <f>DATE(2012,12,31)-1038</f>
        <v>40236</v>
      </c>
      <c r="D1403" s="4" t="s">
        <v>78</v>
      </c>
      <c r="E1403" s="4">
        <v>35.0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ht="12.75" customHeight="1">
      <c r="A1404" s="4">
        <v>2839.0</v>
      </c>
      <c r="B1404" s="4">
        <v>20455.0</v>
      </c>
      <c r="C1404" s="5">
        <f>DATE(2012,12,31)-917</f>
        <v>40357</v>
      </c>
      <c r="D1404" s="4" t="s">
        <v>78</v>
      </c>
      <c r="E1404" s="4">
        <v>7.0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65.99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0.58</v>
      </c>
      <c r="U1404" s="5">
        <f t="shared" ref="U1404:U1405" si="618">C1404+1</f>
        <v>40358</v>
      </c>
    </row>
    <row r="1405" ht="12.75" customHeight="1">
      <c r="A1405" s="4">
        <v>2860.0</v>
      </c>
      <c r="B1405" s="4">
        <v>20642.0</v>
      </c>
      <c r="C1405" s="5">
        <f>DATE(2012,12,31)-226</f>
        <v>41048</v>
      </c>
      <c r="D1405" s="4" t="s">
        <v>30</v>
      </c>
      <c r="E1405" s="4">
        <v>32.0</v>
      </c>
      <c r="F1405" s="4">
        <v>135.2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8"/>
        <v>41049</v>
      </c>
    </row>
    <row r="1406" ht="12.75" customHeight="1">
      <c r="A1406" s="4">
        <v>2952.0</v>
      </c>
      <c r="B1406" s="4">
        <v>21379.0</v>
      </c>
      <c r="C1406" s="5">
        <f>DATE(2012,12,31)-717</f>
        <v>40557</v>
      </c>
      <c r="D1406" s="4" t="s">
        <v>30</v>
      </c>
      <c r="E1406" s="4">
        <v>35.0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9">C1406+2</f>
        <v>40559</v>
      </c>
    </row>
    <row r="1407" ht="12.75" customHeight="1">
      <c r="A1407" s="4">
        <v>3027.0</v>
      </c>
      <c r="B1407" s="4">
        <v>21766.0</v>
      </c>
      <c r="C1407" s="5">
        <f t="shared" ref="C1407:C1408" si="620">DATE(2012,12,31)-1309</f>
        <v>39965</v>
      </c>
      <c r="D1407" s="4" t="s">
        <v>30</v>
      </c>
      <c r="E1407" s="4">
        <v>41.0</v>
      </c>
      <c r="F1407" s="4">
        <v>5178.17</v>
      </c>
      <c r="G1407" s="4">
        <v>0.03</v>
      </c>
      <c r="H1407" s="4" t="s">
        <v>31</v>
      </c>
      <c r="I1407" s="6">
        <v>531.69</v>
      </c>
      <c r="J1407" s="4">
        <v>120.98</v>
      </c>
      <c r="K1407" s="4">
        <v>30.0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9"/>
        <v>39967</v>
      </c>
    </row>
    <row r="1408" ht="12.75" customHeight="1">
      <c r="A1408" s="4">
        <v>3028.0</v>
      </c>
      <c r="B1408" s="4">
        <v>21766.0</v>
      </c>
      <c r="C1408" s="5">
        <f t="shared" si="620"/>
        <v>39965</v>
      </c>
      <c r="D1408" s="4" t="s">
        <v>30</v>
      </c>
      <c r="E1408" s="4">
        <v>32.0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9"/>
        <v>39967</v>
      </c>
    </row>
    <row r="1409" ht="12.75" customHeight="1">
      <c r="A1409" s="4">
        <v>3074.0</v>
      </c>
      <c r="B1409" s="4">
        <v>22053.0</v>
      </c>
      <c r="C1409" s="5">
        <f>DATE(2012,12,31)-863</f>
        <v>40411</v>
      </c>
      <c r="D1409" s="4" t="s">
        <v>78</v>
      </c>
      <c r="E1409" s="4">
        <v>32.0</v>
      </c>
      <c r="F1409" s="4">
        <v>563.08</v>
      </c>
      <c r="G1409" s="4">
        <v>0.1</v>
      </c>
      <c r="H1409" s="4" t="s">
        <v>22</v>
      </c>
      <c r="I1409" s="6">
        <v>112.965</v>
      </c>
      <c r="J1409" s="4">
        <v>18.99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9"/>
        <v>40413</v>
      </c>
    </row>
    <row r="1410" ht="12.75" customHeight="1">
      <c r="A1410" s="4">
        <v>3111.0</v>
      </c>
      <c r="B1410" s="4">
        <v>22368.0</v>
      </c>
      <c r="C1410" s="5">
        <f t="shared" ref="C1410:C1412" si="621">DATE(2012,12,31)-1046</f>
        <v>40228</v>
      </c>
      <c r="D1410" s="4" t="s">
        <v>63</v>
      </c>
      <c r="E1410" s="4">
        <v>5.0</v>
      </c>
      <c r="F1410" s="4">
        <v>192.12</v>
      </c>
      <c r="G1410" s="4">
        <v>0.04</v>
      </c>
      <c r="H1410" s="4" t="s">
        <v>22</v>
      </c>
      <c r="I1410" s="6">
        <v>-74.85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ht="12.75" customHeight="1">
      <c r="A1411" s="4">
        <v>3112.0</v>
      </c>
      <c r="B1411" s="4">
        <v>22368.0</v>
      </c>
      <c r="C1411" s="5">
        <f t="shared" si="621"/>
        <v>40228</v>
      </c>
      <c r="D1411" s="4" t="s">
        <v>63</v>
      </c>
      <c r="E1411" s="4">
        <v>33.0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ht="12.75" customHeight="1">
      <c r="A1412" s="4">
        <v>3113.0</v>
      </c>
      <c r="B1412" s="4">
        <v>22368.0</v>
      </c>
      <c r="C1412" s="5">
        <f t="shared" si="621"/>
        <v>40228</v>
      </c>
      <c r="D1412" s="4" t="s">
        <v>63</v>
      </c>
      <c r="E1412" s="4">
        <v>34.0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35.0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ht="12.75" customHeight="1">
      <c r="A1413" s="4">
        <v>3190.0</v>
      </c>
      <c r="B1413" s="4">
        <v>22885.0</v>
      </c>
      <c r="C1413" s="5">
        <f>DATE(2012,12,31)-1134</f>
        <v>40140</v>
      </c>
      <c r="D1413" s="4" t="s">
        <v>63</v>
      </c>
      <c r="E1413" s="4">
        <v>4.0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ht="12.75" customHeight="1">
      <c r="A1414" s="4">
        <v>3200.0</v>
      </c>
      <c r="B1414" s="4">
        <v>22947.0</v>
      </c>
      <c r="C1414" s="5">
        <f>DATE(2012,12,31)-1109</f>
        <v>40165</v>
      </c>
      <c r="D1414" s="4" t="s">
        <v>21</v>
      </c>
      <c r="E1414" s="4">
        <v>19.0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</v>
      </c>
      <c r="U1414" s="5">
        <f>C1414+7</f>
        <v>40172</v>
      </c>
    </row>
    <row r="1415" ht="12.75" customHeight="1">
      <c r="A1415" s="4">
        <v>3334.0</v>
      </c>
      <c r="B1415" s="4">
        <v>23844.0</v>
      </c>
      <c r="C1415" s="5">
        <f t="shared" ref="C1415:C1417" si="622">DATE(2012,12,31)-1274</f>
        <v>40000</v>
      </c>
      <c r="D1415" s="4" t="s">
        <v>45</v>
      </c>
      <c r="E1415" s="4">
        <v>40.0</v>
      </c>
      <c r="F1415" s="4">
        <v>1861.36</v>
      </c>
      <c r="G1415" s="4">
        <v>0.0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</v>
      </c>
      <c r="U1415" s="5">
        <f t="shared" ref="U1415:U1416" si="623">C1415+2</f>
        <v>40002</v>
      </c>
    </row>
    <row r="1416" ht="12.75" customHeight="1">
      <c r="A1416" s="4">
        <v>3335.0</v>
      </c>
      <c r="B1416" s="4">
        <v>23844.0</v>
      </c>
      <c r="C1416" s="5">
        <f t="shared" si="622"/>
        <v>40000</v>
      </c>
      <c r="D1416" s="4" t="s">
        <v>45</v>
      </c>
      <c r="E1416" s="4">
        <v>42.0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3"/>
        <v>40002</v>
      </c>
    </row>
    <row r="1417" ht="12.75" customHeight="1">
      <c r="A1417" s="4">
        <v>3336.0</v>
      </c>
      <c r="B1417" s="4">
        <v>23844.0</v>
      </c>
      <c r="C1417" s="5">
        <f t="shared" si="622"/>
        <v>40000</v>
      </c>
      <c r="D1417" s="4" t="s">
        <v>45</v>
      </c>
      <c r="E1417" s="4">
        <v>11.0</v>
      </c>
      <c r="F1417" s="4">
        <v>33.02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ht="12.75" customHeight="1">
      <c r="A1418" s="4">
        <v>3361.0</v>
      </c>
      <c r="B1418" s="4">
        <v>24039.0</v>
      </c>
      <c r="C1418" s="5">
        <f>DATE(2012,12,31)-167</f>
        <v>41107</v>
      </c>
      <c r="D1418" s="4" t="s">
        <v>45</v>
      </c>
      <c r="E1418" s="4">
        <v>5.0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ht="12.75" customHeight="1">
      <c r="A1419" s="4">
        <v>3554.0</v>
      </c>
      <c r="B1419" s="4">
        <v>25347.0</v>
      </c>
      <c r="C1419" s="5">
        <f>DATE(2012,12,31)-1298</f>
        <v>39976</v>
      </c>
      <c r="D1419" s="4" t="s">
        <v>21</v>
      </c>
      <c r="E1419" s="4">
        <v>28.0</v>
      </c>
      <c r="F1419" s="4">
        <v>967.27</v>
      </c>
      <c r="G1419" s="4">
        <v>0.07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ht="12.75" customHeight="1">
      <c r="A1420" s="4">
        <v>3613.0</v>
      </c>
      <c r="B1420" s="4">
        <v>25825.0</v>
      </c>
      <c r="C1420" s="5">
        <f t="shared" ref="C1420:C1421" si="624">DATE(2012,12,31)-165</f>
        <v>41109</v>
      </c>
      <c r="D1420" s="4" t="s">
        <v>45</v>
      </c>
      <c r="E1420" s="4">
        <v>45.0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ht="12.75" customHeight="1">
      <c r="A1421" s="4">
        <v>3614.0</v>
      </c>
      <c r="B1421" s="4">
        <v>25825.0</v>
      </c>
      <c r="C1421" s="5">
        <f t="shared" si="624"/>
        <v>41109</v>
      </c>
      <c r="D1421" s="4" t="s">
        <v>45</v>
      </c>
      <c r="E1421" s="4">
        <v>27.0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</v>
      </c>
      <c r="U1421" s="5">
        <f>C1421+0</f>
        <v>41109</v>
      </c>
    </row>
    <row r="1422" ht="12.75" customHeight="1">
      <c r="A1422" s="4">
        <v>3672.0</v>
      </c>
      <c r="B1422" s="4">
        <v>26304.0</v>
      </c>
      <c r="C1422" s="5">
        <f>DATE(2012,12,31)-653</f>
        <v>40621</v>
      </c>
      <c r="D1422" s="4" t="s">
        <v>63</v>
      </c>
      <c r="E1422" s="4">
        <v>43.0</v>
      </c>
      <c r="F1422" s="4">
        <v>7452.136999999999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ht="12.75" customHeight="1">
      <c r="A1423" s="4">
        <v>3740.0</v>
      </c>
      <c r="B1423" s="4">
        <v>26726.0</v>
      </c>
      <c r="C1423" s="5">
        <f t="shared" ref="C1423:C1425" si="625">DATE(2012,12,31)-4</f>
        <v>41270</v>
      </c>
      <c r="D1423" s="4" t="s">
        <v>30</v>
      </c>
      <c r="E1423" s="4">
        <v>37.0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ht="12.75" customHeight="1">
      <c r="A1424" s="4">
        <v>3741.0</v>
      </c>
      <c r="B1424" s="4">
        <v>26726.0</v>
      </c>
      <c r="C1424" s="5">
        <f t="shared" si="625"/>
        <v>41270</v>
      </c>
      <c r="D1424" s="4" t="s">
        <v>30</v>
      </c>
      <c r="E1424" s="4">
        <v>11.0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49.0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ht="12.75" customHeight="1">
      <c r="A1425" s="4">
        <v>3742.0</v>
      </c>
      <c r="B1425" s="4">
        <v>26726.0</v>
      </c>
      <c r="C1425" s="5">
        <f t="shared" si="625"/>
        <v>41270</v>
      </c>
      <c r="D1425" s="4" t="s">
        <v>30</v>
      </c>
      <c r="E1425" s="4">
        <v>41.0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ht="12.75" customHeight="1">
      <c r="A1426" s="4">
        <v>3825.0</v>
      </c>
      <c r="B1426" s="4">
        <v>27266.0</v>
      </c>
      <c r="C1426" s="5">
        <f>DATE(2012,12,31)-480</f>
        <v>40794</v>
      </c>
      <c r="D1426" s="4" t="s">
        <v>78</v>
      </c>
      <c r="E1426" s="4">
        <v>9.0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ht="12.75" customHeight="1">
      <c r="A1427" s="4">
        <v>3842.0</v>
      </c>
      <c r="B1427" s="4">
        <v>27396.0</v>
      </c>
      <c r="C1427" s="5">
        <f>DATE(2012,12,31)-754</f>
        <v>40520</v>
      </c>
      <c r="D1427" s="4" t="s">
        <v>78</v>
      </c>
      <c r="E1427" s="4">
        <v>14.0</v>
      </c>
      <c r="F1427" s="4">
        <v>138.31</v>
      </c>
      <c r="G1427" s="4">
        <v>0.07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ht="12.75" customHeight="1">
      <c r="A1428" s="4">
        <v>3988.0</v>
      </c>
      <c r="B1428" s="4">
        <v>28480.0</v>
      </c>
      <c r="C1428" s="5">
        <f>DATE(2012,12,31)-1387</f>
        <v>39887</v>
      </c>
      <c r="D1428" s="4" t="s">
        <v>63</v>
      </c>
      <c r="E1428" s="4">
        <v>17.0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</v>
      </c>
      <c r="U1428" s="5">
        <f t="shared" ref="U1428:U1429" si="626">C1428+1</f>
        <v>39888</v>
      </c>
    </row>
    <row r="1429" ht="12.75" customHeight="1">
      <c r="A1429" s="4">
        <v>4090.0</v>
      </c>
      <c r="B1429" s="4">
        <v>29158.0</v>
      </c>
      <c r="C1429" s="5">
        <f>DATE(2012,12,31)-438</f>
        <v>40836</v>
      </c>
      <c r="D1429" s="4" t="s">
        <v>30</v>
      </c>
      <c r="E1429" s="4">
        <v>12.0</v>
      </c>
      <c r="F1429" s="4">
        <v>2266.7</v>
      </c>
      <c r="G1429" s="4">
        <v>0.07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0.58</v>
      </c>
      <c r="U1429" s="5">
        <f t="shared" si="626"/>
        <v>40837</v>
      </c>
    </row>
    <row r="1430" ht="12.75" customHeight="1">
      <c r="A1430" s="4">
        <v>4144.0</v>
      </c>
      <c r="B1430" s="4">
        <v>29409.0</v>
      </c>
      <c r="C1430" s="5">
        <f>DATE(2012,12,31)-718</f>
        <v>40556</v>
      </c>
      <c r="D1430" s="4" t="s">
        <v>30</v>
      </c>
      <c r="E1430" s="4">
        <v>23.0</v>
      </c>
      <c r="F1430" s="4">
        <v>38.99</v>
      </c>
      <c r="G1430" s="4">
        <v>0.09</v>
      </c>
      <c r="H1430" s="4" t="s">
        <v>22</v>
      </c>
      <c r="I1430" s="6">
        <v>-33.52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ht="12.75" customHeight="1">
      <c r="A1431" s="4">
        <v>4213.0</v>
      </c>
      <c r="B1431" s="4">
        <v>29956.0</v>
      </c>
      <c r="C1431" s="5">
        <f>DATE(2012,12,31)-1235</f>
        <v>40039</v>
      </c>
      <c r="D1431" s="4" t="s">
        <v>78</v>
      </c>
      <c r="E1431" s="4">
        <v>48.0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0.57</v>
      </c>
      <c r="U1431" s="5">
        <f>C1431+1</f>
        <v>40040</v>
      </c>
    </row>
    <row r="1432" ht="12.75" customHeight="1">
      <c r="A1432" s="4">
        <v>4259.0</v>
      </c>
      <c r="B1432" s="4">
        <v>30341.0</v>
      </c>
      <c r="C1432" s="5">
        <f t="shared" ref="C1432:C1434" si="627">DATE(2012,12,31)-1430</f>
        <v>39844</v>
      </c>
      <c r="D1432" s="4" t="s">
        <v>21</v>
      </c>
      <c r="E1432" s="4">
        <v>42.0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160.98</v>
      </c>
      <c r="K1432" s="4">
        <v>30.0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8">C1432+0</f>
        <v>39844</v>
      </c>
    </row>
    <row r="1433" ht="12.75" customHeight="1">
      <c r="A1433" s="4">
        <v>4260.0</v>
      </c>
      <c r="B1433" s="4">
        <v>30341.0</v>
      </c>
      <c r="C1433" s="5">
        <f t="shared" si="627"/>
        <v>39844</v>
      </c>
      <c r="D1433" s="4" t="s">
        <v>21</v>
      </c>
      <c r="E1433" s="4">
        <v>41.0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8"/>
        <v>39844</v>
      </c>
    </row>
    <row r="1434" ht="12.75" customHeight="1">
      <c r="A1434" s="4">
        <v>4261.0</v>
      </c>
      <c r="B1434" s="4">
        <v>30341.0</v>
      </c>
      <c r="C1434" s="5">
        <f t="shared" si="627"/>
        <v>39844</v>
      </c>
      <c r="D1434" s="4" t="s">
        <v>21</v>
      </c>
      <c r="E1434" s="4">
        <v>30.0</v>
      </c>
      <c r="F1434" s="4">
        <v>150.2</v>
      </c>
      <c r="G1434" s="4">
        <v>0.0</v>
      </c>
      <c r="H1434" s="4" t="s">
        <v>22</v>
      </c>
      <c r="I1434" s="6">
        <v>62.46</v>
      </c>
      <c r="J1434" s="4">
        <v>4.98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ht="12.75" customHeight="1">
      <c r="A1435" s="4">
        <v>4278.0</v>
      </c>
      <c r="B1435" s="4">
        <v>30467.0</v>
      </c>
      <c r="C1435" s="5">
        <f>DATE(2012,12,31)-1234</f>
        <v>40040</v>
      </c>
      <c r="D1435" s="4" t="s">
        <v>78</v>
      </c>
      <c r="E1435" s="4">
        <v>5.0</v>
      </c>
      <c r="F1435" s="4">
        <v>2019.65</v>
      </c>
      <c r="G1435" s="4">
        <v>0.05</v>
      </c>
      <c r="H1435" s="4" t="s">
        <v>22</v>
      </c>
      <c r="I1435" s="6">
        <v>289.8755</v>
      </c>
      <c r="J1435" s="4">
        <v>420.98</v>
      </c>
      <c r="K1435" s="4">
        <v>19.99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ht="12.75" customHeight="1">
      <c r="A1436" s="4">
        <v>4321.0</v>
      </c>
      <c r="B1436" s="4">
        <v>30785.0</v>
      </c>
      <c r="C1436" s="5">
        <f t="shared" ref="C1436:C1437" si="629">DATE(2012,12,31)-1277</f>
        <v>39997</v>
      </c>
      <c r="D1436" s="4" t="s">
        <v>30</v>
      </c>
      <c r="E1436" s="4">
        <v>7.0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ht="12.75" customHeight="1">
      <c r="A1437" s="4">
        <v>4322.0</v>
      </c>
      <c r="B1437" s="4">
        <v>30785.0</v>
      </c>
      <c r="C1437" s="5">
        <f t="shared" si="629"/>
        <v>39997</v>
      </c>
      <c r="D1437" s="4" t="s">
        <v>30</v>
      </c>
      <c r="E1437" s="4">
        <v>38.0</v>
      </c>
      <c r="F1437" s="4">
        <v>373.07</v>
      </c>
      <c r="G1437" s="4">
        <v>0.07</v>
      </c>
      <c r="H1437" s="4" t="s">
        <v>22</v>
      </c>
      <c r="I1437" s="6">
        <v>149.53</v>
      </c>
      <c r="J1437" s="4">
        <v>9.93</v>
      </c>
      <c r="K1437" s="4">
        <v>1.09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ht="12.75" customHeight="1">
      <c r="A1438" s="4">
        <v>4374.0</v>
      </c>
      <c r="B1438" s="4">
        <v>31171.0</v>
      </c>
      <c r="C1438" s="5">
        <f>DATE(2012,12,31)-1363</f>
        <v>39911</v>
      </c>
      <c r="D1438" s="4" t="s">
        <v>45</v>
      </c>
      <c r="E1438" s="4">
        <v>37.0</v>
      </c>
      <c r="F1438" s="4">
        <v>161.02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ht="12.75" customHeight="1">
      <c r="A1439" s="4">
        <v>4394.0</v>
      </c>
      <c r="B1439" s="4">
        <v>31297.0</v>
      </c>
      <c r="C1439" s="5">
        <f t="shared" ref="C1439:C1440" si="630">DATE(2012,12,31)-135</f>
        <v>41139</v>
      </c>
      <c r="D1439" s="4" t="s">
        <v>21</v>
      </c>
      <c r="E1439" s="4">
        <v>39.0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17.99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0.57</v>
      </c>
      <c r="U1439" s="5">
        <f>C1439+7</f>
        <v>41146</v>
      </c>
    </row>
    <row r="1440" ht="12.75" customHeight="1">
      <c r="A1440" s="4">
        <v>4395.0</v>
      </c>
      <c r="B1440" s="4">
        <v>31297.0</v>
      </c>
      <c r="C1440" s="5">
        <f t="shared" si="630"/>
        <v>41139</v>
      </c>
      <c r="D1440" s="4" t="s">
        <v>21</v>
      </c>
      <c r="E1440" s="4">
        <v>44.0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ht="12.75" customHeight="1">
      <c r="A1441" s="4">
        <v>4425.0</v>
      </c>
      <c r="B1441" s="4">
        <v>31553.0</v>
      </c>
      <c r="C1441" s="5">
        <f>DATE(2012,12,31)-1451</f>
        <v>39823</v>
      </c>
      <c r="D1441" s="4" t="s">
        <v>78</v>
      </c>
      <c r="E1441" s="4">
        <v>32.0</v>
      </c>
      <c r="F1441" s="4">
        <v>4906.85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19.99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1">C1441+2</f>
        <v>39825</v>
      </c>
    </row>
    <row r="1442" ht="12.75" customHeight="1">
      <c r="A1442" s="4">
        <v>4595.0</v>
      </c>
      <c r="B1442" s="4">
        <v>32706.0</v>
      </c>
      <c r="C1442" s="5">
        <f>DATE(2012,12,31)-1276</f>
        <v>39998</v>
      </c>
      <c r="D1442" s="4" t="s">
        <v>78</v>
      </c>
      <c r="E1442" s="4">
        <v>5.0</v>
      </c>
      <c r="F1442" s="4">
        <v>2017.5</v>
      </c>
      <c r="G1442" s="4">
        <v>0.03</v>
      </c>
      <c r="H1442" s="4" t="s">
        <v>31</v>
      </c>
      <c r="I1442" s="6">
        <v>-663.5142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</v>
      </c>
      <c r="U1442" s="5">
        <f t="shared" si="631"/>
        <v>40000</v>
      </c>
    </row>
    <row r="1443" ht="12.75" customHeight="1">
      <c r="A1443" s="4">
        <v>4650.0</v>
      </c>
      <c r="B1443" s="4">
        <v>33122.0</v>
      </c>
      <c r="C1443" s="5">
        <f>DATE(2012,12,31)-926</f>
        <v>40348</v>
      </c>
      <c r="D1443" s="4" t="s">
        <v>21</v>
      </c>
      <c r="E1443" s="4">
        <v>21.0</v>
      </c>
      <c r="F1443" s="4">
        <v>8468.63</v>
      </c>
      <c r="G1443" s="4">
        <v>0.0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ht="12.75" customHeight="1">
      <c r="A1444" s="4">
        <v>4713.0</v>
      </c>
      <c r="B1444" s="4">
        <v>33570.0</v>
      </c>
      <c r="C1444" s="5">
        <f t="shared" ref="C1444:C1446" si="632">DATE(2012,12,31)-15</f>
        <v>41259</v>
      </c>
      <c r="D1444" s="4" t="s">
        <v>45</v>
      </c>
      <c r="E1444" s="4">
        <v>46.0</v>
      </c>
      <c r="F1444" s="4">
        <v>265.88</v>
      </c>
      <c r="G1444" s="4">
        <v>0.05</v>
      </c>
      <c r="H1444" s="4" t="s">
        <v>22</v>
      </c>
      <c r="I1444" s="6">
        <v>-90.896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3">C1444+2</f>
        <v>41261</v>
      </c>
    </row>
    <row r="1445" ht="12.75" customHeight="1">
      <c r="A1445" s="4">
        <v>4714.0</v>
      </c>
      <c r="B1445" s="4">
        <v>33570.0</v>
      </c>
      <c r="C1445" s="5">
        <f t="shared" si="632"/>
        <v>41259</v>
      </c>
      <c r="D1445" s="4" t="s">
        <v>45</v>
      </c>
      <c r="E1445" s="4">
        <v>1.0</v>
      </c>
      <c r="F1445" s="4">
        <v>1500.82</v>
      </c>
      <c r="G1445" s="4">
        <v>0.01</v>
      </c>
      <c r="H1445" s="4" t="s">
        <v>31</v>
      </c>
      <c r="I1445" s="6">
        <v>-3381.9858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0.57</v>
      </c>
      <c r="U1445" s="5">
        <f t="shared" si="633"/>
        <v>41261</v>
      </c>
    </row>
    <row r="1446" ht="12.75" customHeight="1">
      <c r="A1446" s="4">
        <v>4715.0</v>
      </c>
      <c r="B1446" s="4">
        <v>33570.0</v>
      </c>
      <c r="C1446" s="5">
        <f t="shared" si="632"/>
        <v>41259</v>
      </c>
      <c r="D1446" s="4" t="s">
        <v>45</v>
      </c>
      <c r="E1446" s="4">
        <v>19.0</v>
      </c>
      <c r="F1446" s="4">
        <v>3093.864</v>
      </c>
      <c r="G1446" s="4">
        <v>0.07</v>
      </c>
      <c r="H1446" s="4" t="s">
        <v>22</v>
      </c>
      <c r="I1446" s="6">
        <v>286.398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</v>
      </c>
      <c r="U1446" s="5">
        <f>C1446+0</f>
        <v>41259</v>
      </c>
    </row>
    <row r="1447" ht="12.75" customHeight="1">
      <c r="A1447" s="4">
        <v>4770.0</v>
      </c>
      <c r="B1447" s="4">
        <v>33893.0</v>
      </c>
      <c r="C1447" s="5">
        <f t="shared" ref="C1447:C1448" si="634">DATE(2012,12,31)-102</f>
        <v>41172</v>
      </c>
      <c r="D1447" s="4" t="s">
        <v>45</v>
      </c>
      <c r="E1447" s="4">
        <v>6.0</v>
      </c>
      <c r="F1447" s="4">
        <v>232.21</v>
      </c>
      <c r="G1447" s="4">
        <v>0.0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ht="12.75" customHeight="1">
      <c r="A1448" s="4">
        <v>4771.0</v>
      </c>
      <c r="B1448" s="4">
        <v>33893.0</v>
      </c>
      <c r="C1448" s="5">
        <f t="shared" si="634"/>
        <v>41172</v>
      </c>
      <c r="D1448" s="4" t="s">
        <v>45</v>
      </c>
      <c r="E1448" s="4">
        <v>16.0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</v>
      </c>
      <c r="U1448" s="5">
        <f>C1448+1</f>
        <v>41173</v>
      </c>
    </row>
    <row r="1449" ht="12.75" customHeight="1">
      <c r="A1449" s="4">
        <v>4862.0</v>
      </c>
      <c r="B1449" s="4">
        <v>34599.0</v>
      </c>
      <c r="C1449" s="5">
        <f t="shared" ref="C1449:C1450" si="635">DATE(2012,12,31)-1034</f>
        <v>40240</v>
      </c>
      <c r="D1449" s="4" t="s">
        <v>21</v>
      </c>
      <c r="E1449" s="4">
        <v>26.0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6">C1449+4</f>
        <v>40244</v>
      </c>
    </row>
    <row r="1450" ht="12.75" customHeight="1">
      <c r="A1450" s="4">
        <v>4863.0</v>
      </c>
      <c r="B1450" s="4">
        <v>34599.0</v>
      </c>
      <c r="C1450" s="5">
        <f t="shared" si="635"/>
        <v>40240</v>
      </c>
      <c r="D1450" s="4" t="s">
        <v>21</v>
      </c>
      <c r="E1450" s="4">
        <v>29.0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6"/>
        <v>40244</v>
      </c>
    </row>
    <row r="1451" ht="12.75" customHeight="1">
      <c r="A1451" s="4">
        <v>4879.0</v>
      </c>
      <c r="B1451" s="4">
        <v>34721.0</v>
      </c>
      <c r="C1451" s="5">
        <f>DATE(2012,12,31)-791</f>
        <v>40483</v>
      </c>
      <c r="D1451" s="4" t="s">
        <v>45</v>
      </c>
      <c r="E1451" s="4">
        <v>46.0</v>
      </c>
      <c r="F1451" s="4">
        <v>503.17</v>
      </c>
      <c r="G1451" s="4">
        <v>0.01</v>
      </c>
      <c r="H1451" s="4" t="s">
        <v>22</v>
      </c>
      <c r="I1451" s="6">
        <v>-10.21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ht="12.75" customHeight="1">
      <c r="A1452" s="4">
        <v>4889.0</v>
      </c>
      <c r="B1452" s="4">
        <v>34787.0</v>
      </c>
      <c r="C1452" s="5">
        <f>DATE(2012,12,31)-1037</f>
        <v>40237</v>
      </c>
      <c r="D1452" s="4" t="s">
        <v>21</v>
      </c>
      <c r="E1452" s="4">
        <v>14.0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0.58</v>
      </c>
      <c r="U1452" s="5">
        <f t="shared" ref="U1452:U1453" si="637">C1452+2</f>
        <v>40239</v>
      </c>
    </row>
    <row r="1453" ht="12.75" customHeight="1">
      <c r="A1453" s="4">
        <v>4891.0</v>
      </c>
      <c r="B1453" s="4">
        <v>34791.0</v>
      </c>
      <c r="C1453" s="5">
        <f t="shared" ref="C1453:C1454" si="638">DATE(2012,12,31)-604</f>
        <v>40670</v>
      </c>
      <c r="D1453" s="4" t="s">
        <v>63</v>
      </c>
      <c r="E1453" s="4">
        <v>37.0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4.0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7"/>
        <v>40672</v>
      </c>
    </row>
    <row r="1454" ht="12.75" customHeight="1">
      <c r="A1454" s="4">
        <v>4892.0</v>
      </c>
      <c r="B1454" s="4">
        <v>34791.0</v>
      </c>
      <c r="C1454" s="5">
        <f t="shared" si="638"/>
        <v>40670</v>
      </c>
      <c r="D1454" s="4" t="s">
        <v>63</v>
      </c>
      <c r="E1454" s="4">
        <v>9.0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19.99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ht="12.75" customHeight="1">
      <c r="A1455" s="4">
        <v>4895.0</v>
      </c>
      <c r="B1455" s="4">
        <v>34822.0</v>
      </c>
      <c r="C1455" s="5">
        <f>DATE(2012,12,31)-174</f>
        <v>41100</v>
      </c>
      <c r="D1455" s="4" t="s">
        <v>45</v>
      </c>
      <c r="E1455" s="4">
        <v>23.0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ht="12.75" customHeight="1">
      <c r="A1456" s="4">
        <v>4900.0</v>
      </c>
      <c r="B1456" s="4">
        <v>34853.0</v>
      </c>
      <c r="C1456" s="5">
        <f>DATE(2012,12,31)-459</f>
        <v>40815</v>
      </c>
      <c r="D1456" s="4" t="s">
        <v>78</v>
      </c>
      <c r="E1456" s="4">
        <v>49.0</v>
      </c>
      <c r="F1456" s="4">
        <v>651.9</v>
      </c>
      <c r="G1456" s="4">
        <v>0.16</v>
      </c>
      <c r="H1456" s="4" t="s">
        <v>22</v>
      </c>
      <c r="I1456" s="6">
        <v>-74.51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ht="12.75" customHeight="1">
      <c r="A1457" s="4">
        <v>4991.0</v>
      </c>
      <c r="B1457" s="4">
        <v>35522.0</v>
      </c>
      <c r="C1457" s="5">
        <f>DATE(2012,12,31)-798</f>
        <v>40476</v>
      </c>
      <c r="D1457" s="4" t="s">
        <v>21</v>
      </c>
      <c r="E1457" s="4">
        <v>27.0</v>
      </c>
      <c r="F1457" s="4">
        <v>2575.01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19.99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ht="12.75" customHeight="1">
      <c r="A1458" s="4">
        <v>5062.0</v>
      </c>
      <c r="B1458" s="4">
        <v>36099.0</v>
      </c>
      <c r="C1458" s="5">
        <f t="shared" ref="C1458:C1459" si="639">DATE(2012,12,31)-836</f>
        <v>40438</v>
      </c>
      <c r="D1458" s="4" t="s">
        <v>21</v>
      </c>
      <c r="E1458" s="4">
        <v>32.0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</v>
      </c>
      <c r="U1458" s="5">
        <f t="shared" ref="U1458:U1459" si="640">C1458+5</f>
        <v>40443</v>
      </c>
    </row>
    <row r="1459" ht="12.75" customHeight="1">
      <c r="A1459" s="4">
        <v>5063.0</v>
      </c>
      <c r="B1459" s="4">
        <v>36099.0</v>
      </c>
      <c r="C1459" s="5">
        <f t="shared" si="639"/>
        <v>40438</v>
      </c>
      <c r="D1459" s="4" t="s">
        <v>21</v>
      </c>
      <c r="E1459" s="4">
        <v>15.0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</v>
      </c>
      <c r="K1459" s="4">
        <v>35.0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40"/>
        <v>40443</v>
      </c>
    </row>
    <row r="1460" ht="12.75" customHeight="1">
      <c r="A1460" s="4">
        <v>5106.0</v>
      </c>
      <c r="B1460" s="4">
        <v>36359.0</v>
      </c>
      <c r="C1460" s="5">
        <f>DATE(2012,12,31)-404</f>
        <v>40870</v>
      </c>
      <c r="D1460" s="4" t="s">
        <v>30</v>
      </c>
      <c r="E1460" s="4">
        <v>2.0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1">C1460+1</f>
        <v>40871</v>
      </c>
    </row>
    <row r="1461" ht="12.75" customHeight="1">
      <c r="A1461" s="4">
        <v>5193.0</v>
      </c>
      <c r="B1461" s="4">
        <v>36901.0</v>
      </c>
      <c r="C1461" s="5">
        <f>DATE(2012,12,31)-109</f>
        <v>41165</v>
      </c>
      <c r="D1461" s="4" t="s">
        <v>78</v>
      </c>
      <c r="E1461" s="4">
        <v>30.0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1"/>
        <v>41166</v>
      </c>
    </row>
    <row r="1462" ht="12.75" customHeight="1">
      <c r="A1462" s="4">
        <v>5256.0</v>
      </c>
      <c r="B1462" s="4">
        <v>37412.0</v>
      </c>
      <c r="C1462" s="5">
        <f>DATE(2012,12,31)-150</f>
        <v>41124</v>
      </c>
      <c r="D1462" s="4" t="s">
        <v>30</v>
      </c>
      <c r="E1462" s="4">
        <v>17.0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0.57</v>
      </c>
      <c r="U1462" s="5">
        <f t="shared" ref="U1462:U1464" si="642">C1462+2</f>
        <v>41126</v>
      </c>
    </row>
    <row r="1463" ht="12.75" customHeight="1">
      <c r="A1463" s="4">
        <v>5437.0</v>
      </c>
      <c r="B1463" s="4">
        <v>38625.0</v>
      </c>
      <c r="C1463" s="5">
        <f t="shared" ref="C1463:C1464" si="643">DATE(2012,12,31)-775</f>
        <v>40499</v>
      </c>
      <c r="D1463" s="4" t="s">
        <v>45</v>
      </c>
      <c r="E1463" s="4">
        <v>28.0</v>
      </c>
      <c r="F1463" s="4">
        <v>2752.0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19.99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2"/>
        <v>40501</v>
      </c>
    </row>
    <row r="1464" ht="12.75" customHeight="1">
      <c r="A1464" s="4">
        <v>5438.0</v>
      </c>
      <c r="B1464" s="4">
        <v>38625.0</v>
      </c>
      <c r="C1464" s="5">
        <f t="shared" si="643"/>
        <v>40499</v>
      </c>
      <c r="D1464" s="4" t="s">
        <v>45</v>
      </c>
      <c r="E1464" s="4">
        <v>12.0</v>
      </c>
      <c r="F1464" s="4">
        <v>72.82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2"/>
        <v>40501</v>
      </c>
    </row>
    <row r="1465" ht="12.75" customHeight="1">
      <c r="A1465" s="4">
        <v>5443.0</v>
      </c>
      <c r="B1465" s="4">
        <v>38656.0</v>
      </c>
      <c r="C1465" s="5">
        <f>DATE(2012,12,31)-143</f>
        <v>41131</v>
      </c>
      <c r="D1465" s="4" t="s">
        <v>21</v>
      </c>
      <c r="E1465" s="4">
        <v>13.0</v>
      </c>
      <c r="F1465" s="4">
        <v>64.46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ht="12.75" customHeight="1">
      <c r="A1466" s="4">
        <v>5458.0</v>
      </c>
      <c r="B1466" s="4">
        <v>38784.0</v>
      </c>
      <c r="C1466" s="5">
        <f>DATE(2012,12,31)-697</f>
        <v>40577</v>
      </c>
      <c r="D1466" s="4" t="s">
        <v>63</v>
      </c>
      <c r="E1466" s="4">
        <v>50.0</v>
      </c>
      <c r="F1466" s="4">
        <v>298.12</v>
      </c>
      <c r="G1466" s="4">
        <v>0.09</v>
      </c>
      <c r="H1466" s="4" t="s">
        <v>22</v>
      </c>
      <c r="I1466" s="6">
        <v>137.67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ht="12.75" customHeight="1">
      <c r="A1467" s="4">
        <v>5471.0</v>
      </c>
      <c r="B1467" s="4">
        <v>38882.0</v>
      </c>
      <c r="C1467" s="5">
        <f>DATE(2012,12,31)-1113</f>
        <v>40161</v>
      </c>
      <c r="D1467" s="4" t="s">
        <v>78</v>
      </c>
      <c r="E1467" s="4">
        <v>37.0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ht="12.75" customHeight="1">
      <c r="A1468" s="4">
        <v>5579.0</v>
      </c>
      <c r="B1468" s="4">
        <v>39527.0</v>
      </c>
      <c r="C1468" s="5">
        <f>DATE(2012,12,31)-624</f>
        <v>40650</v>
      </c>
      <c r="D1468" s="4" t="s">
        <v>21</v>
      </c>
      <c r="E1468" s="4">
        <v>29.0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2.0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ht="12.75" customHeight="1">
      <c r="A1469" s="4">
        <v>5627.0</v>
      </c>
      <c r="B1469" s="4">
        <v>39845.0</v>
      </c>
      <c r="C1469" s="5">
        <f>DATE(2012,12,31)-1212</f>
        <v>40062</v>
      </c>
      <c r="D1469" s="4" t="s">
        <v>78</v>
      </c>
      <c r="E1469" s="4">
        <v>44.0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ht="12.75" customHeight="1">
      <c r="A1470" s="4">
        <v>5637.0</v>
      </c>
      <c r="B1470" s="4">
        <v>39877.0</v>
      </c>
      <c r="C1470" s="5">
        <f>DATE(2012,12,31)-137</f>
        <v>41137</v>
      </c>
      <c r="D1470" s="4" t="s">
        <v>78</v>
      </c>
      <c r="E1470" s="4">
        <v>41.0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ht="12.75" customHeight="1">
      <c r="A1471" s="4">
        <v>5695.0</v>
      </c>
      <c r="B1471" s="4">
        <v>40259.0</v>
      </c>
      <c r="C1471" s="5">
        <f>DATE(2012,12,31)-811</f>
        <v>40463</v>
      </c>
      <c r="D1471" s="4" t="s">
        <v>63</v>
      </c>
      <c r="E1471" s="4">
        <v>4.0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ht="12.75" customHeight="1">
      <c r="A1472" s="4">
        <v>5814.0</v>
      </c>
      <c r="B1472" s="4">
        <v>41217.0</v>
      </c>
      <c r="C1472" s="5">
        <f>DATE(2012,12,31)-537</f>
        <v>40737</v>
      </c>
      <c r="D1472" s="4" t="s">
        <v>30</v>
      </c>
      <c r="E1472" s="4">
        <v>23.0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4">C1472+2</f>
        <v>40739</v>
      </c>
    </row>
    <row r="1473" ht="12.75" customHeight="1">
      <c r="A1473" s="4">
        <v>5876.0</v>
      </c>
      <c r="B1473" s="4">
        <v>41671.0</v>
      </c>
      <c r="C1473" s="5">
        <f>DATE(2012,12,31)-28</f>
        <v>41246</v>
      </c>
      <c r="D1473" s="4" t="s">
        <v>78</v>
      </c>
      <c r="E1473" s="4">
        <v>49.0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4"/>
        <v>41248</v>
      </c>
    </row>
    <row r="1474" ht="12.75" customHeight="1">
      <c r="A1474" s="4">
        <v>5915.0</v>
      </c>
      <c r="B1474" s="4">
        <v>41927.0</v>
      </c>
      <c r="C1474" s="5">
        <f>DATE(2012,12,31)-171</f>
        <v>41103</v>
      </c>
      <c r="D1474" s="4" t="s">
        <v>45</v>
      </c>
      <c r="E1474" s="4">
        <v>46.0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ht="12.75" customHeight="1">
      <c r="A1475" s="4">
        <v>5919.0</v>
      </c>
      <c r="B1475" s="4">
        <v>41988.0</v>
      </c>
      <c r="C1475" s="5">
        <f t="shared" ref="C1475:C1477" si="645">DATE(2012,12,31)-1426</f>
        <v>39848</v>
      </c>
      <c r="D1475" s="4" t="s">
        <v>21</v>
      </c>
      <c r="E1475" s="4">
        <v>33.0</v>
      </c>
      <c r="F1475" s="4">
        <v>4610.35</v>
      </c>
      <c r="G1475" s="4">
        <v>0.08</v>
      </c>
      <c r="H1475" s="4" t="s">
        <v>31</v>
      </c>
      <c r="I1475" s="6">
        <v>751.58</v>
      </c>
      <c r="J1475" s="4">
        <v>145.45</v>
      </c>
      <c r="K1475" s="4">
        <v>17.85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</v>
      </c>
      <c r="U1475" s="5">
        <f>C1475+0</f>
        <v>39848</v>
      </c>
    </row>
    <row r="1476" ht="12.75" customHeight="1">
      <c r="A1476" s="4">
        <v>5920.0</v>
      </c>
      <c r="B1476" s="4">
        <v>41988.0</v>
      </c>
      <c r="C1476" s="5">
        <f t="shared" si="645"/>
        <v>39848</v>
      </c>
      <c r="D1476" s="4" t="s">
        <v>21</v>
      </c>
      <c r="E1476" s="4">
        <v>18.0</v>
      </c>
      <c r="F1476" s="4">
        <v>610.07</v>
      </c>
      <c r="G1476" s="4">
        <v>0.07</v>
      </c>
      <c r="H1476" s="4" t="s">
        <v>31</v>
      </c>
      <c r="I1476" s="6">
        <v>-157.56</v>
      </c>
      <c r="J1476" s="4">
        <v>33.94</v>
      </c>
      <c r="K1476" s="4">
        <v>19.19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0.58</v>
      </c>
      <c r="U1476" s="5">
        <f t="shared" ref="U1476:U1477" si="646">C1476+4</f>
        <v>39852</v>
      </c>
    </row>
    <row r="1477" ht="12.75" customHeight="1">
      <c r="A1477" s="4">
        <v>5921.0</v>
      </c>
      <c r="B1477" s="4">
        <v>41988.0</v>
      </c>
      <c r="C1477" s="5">
        <f t="shared" si="645"/>
        <v>39848</v>
      </c>
      <c r="D1477" s="4" t="s">
        <v>21</v>
      </c>
      <c r="E1477" s="4">
        <v>14.0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0.57</v>
      </c>
      <c r="U1477" s="5">
        <f t="shared" si="646"/>
        <v>39852</v>
      </c>
    </row>
    <row r="1478" ht="12.75" customHeight="1">
      <c r="A1478" s="4">
        <v>6026.0</v>
      </c>
      <c r="B1478" s="4">
        <v>42692.0</v>
      </c>
      <c r="C1478" s="5">
        <f t="shared" ref="C1478:C1479" si="647">DATE(2012,12,31)-377</f>
        <v>40897</v>
      </c>
      <c r="D1478" s="4" t="s">
        <v>63</v>
      </c>
      <c r="E1478" s="4">
        <v>41.0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ht="12.75" customHeight="1">
      <c r="A1479" s="4">
        <v>6027.0</v>
      </c>
      <c r="B1479" s="4">
        <v>42692.0</v>
      </c>
      <c r="C1479" s="5">
        <f t="shared" si="647"/>
        <v>40897</v>
      </c>
      <c r="D1479" s="4" t="s">
        <v>63</v>
      </c>
      <c r="E1479" s="4">
        <v>42.0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ht="12.75" customHeight="1">
      <c r="A1480" s="4">
        <v>6216.0</v>
      </c>
      <c r="B1480" s="4">
        <v>44007.0</v>
      </c>
      <c r="C1480" s="5">
        <f>DATE(2012,12,31)-581</f>
        <v>40693</v>
      </c>
      <c r="D1480" s="4" t="s">
        <v>63</v>
      </c>
      <c r="E1480" s="4">
        <v>50.0</v>
      </c>
      <c r="F1480" s="4">
        <v>281.81</v>
      </c>
      <c r="G1480" s="4">
        <v>0.07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ht="12.75" customHeight="1">
      <c r="A1481" s="4">
        <v>6279.0</v>
      </c>
      <c r="B1481" s="4">
        <v>44450.0</v>
      </c>
      <c r="C1481" s="5">
        <f t="shared" ref="C1481:C1482" si="648">DATE(2012,12,31)-814</f>
        <v>40460</v>
      </c>
      <c r="D1481" s="4" t="s">
        <v>78</v>
      </c>
      <c r="E1481" s="4">
        <v>14.0</v>
      </c>
      <c r="F1481" s="4">
        <v>243.23</v>
      </c>
      <c r="G1481" s="4">
        <v>0.07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ht="12.75" customHeight="1">
      <c r="A1482" s="4">
        <v>6280.0</v>
      </c>
      <c r="B1482" s="4">
        <v>44450.0</v>
      </c>
      <c r="C1482" s="5">
        <f t="shared" si="648"/>
        <v>40460</v>
      </c>
      <c r="D1482" s="4" t="s">
        <v>78</v>
      </c>
      <c r="E1482" s="4">
        <v>24.0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65.99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9">C1482+0</f>
        <v>40460</v>
      </c>
    </row>
    <row r="1483" ht="12.75" customHeight="1">
      <c r="A1483" s="4">
        <v>6302.0</v>
      </c>
      <c r="B1483" s="4">
        <v>44610.0</v>
      </c>
      <c r="C1483" s="5">
        <f>DATE(2012,12,31)-662</f>
        <v>40612</v>
      </c>
      <c r="D1483" s="4" t="s">
        <v>30</v>
      </c>
      <c r="E1483" s="4">
        <v>31.0</v>
      </c>
      <c r="F1483" s="4">
        <v>127.9</v>
      </c>
      <c r="G1483" s="4">
        <v>0.07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9"/>
        <v>40612</v>
      </c>
    </row>
    <row r="1484" ht="12.75" customHeight="1">
      <c r="A1484" s="4">
        <v>6350.0</v>
      </c>
      <c r="B1484" s="4">
        <v>44999.0</v>
      </c>
      <c r="C1484" s="5">
        <f>DATE(2012,12,31)-1074</f>
        <v>40200</v>
      </c>
      <c r="D1484" s="4" t="s">
        <v>63</v>
      </c>
      <c r="E1484" s="4">
        <v>17.0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ht="12.75" customHeight="1">
      <c r="A1485" s="4">
        <v>6351.0</v>
      </c>
      <c r="B1485" s="4">
        <v>45025.0</v>
      </c>
      <c r="C1485" s="5">
        <f>DATE(2012,12,31)-630</f>
        <v>40644</v>
      </c>
      <c r="D1485" s="4" t="s">
        <v>30</v>
      </c>
      <c r="E1485" s="4">
        <v>26.0</v>
      </c>
      <c r="F1485" s="4">
        <v>73.82</v>
      </c>
      <c r="G1485" s="4">
        <v>0.08</v>
      </c>
      <c r="H1485" s="4" t="s">
        <v>22</v>
      </c>
      <c r="I1485" s="6">
        <v>2.006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ht="12.75" customHeight="1">
      <c r="A1486" s="4">
        <v>6374.0</v>
      </c>
      <c r="B1486" s="4">
        <v>45248.0</v>
      </c>
      <c r="C1486" s="5">
        <f t="shared" ref="C1486:C1487" si="650">DATE(2012,12,31)-625</f>
        <v>40649</v>
      </c>
      <c r="D1486" s="4" t="s">
        <v>63</v>
      </c>
      <c r="E1486" s="4">
        <v>38.0</v>
      </c>
      <c r="F1486" s="4">
        <v>154.85</v>
      </c>
      <c r="G1486" s="4">
        <v>0.05</v>
      </c>
      <c r="H1486" s="4" t="s">
        <v>22</v>
      </c>
      <c r="I1486" s="6">
        <v>-136.55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1">C1486+2</f>
        <v>40651</v>
      </c>
    </row>
    <row r="1487" ht="12.75" customHeight="1">
      <c r="A1487" s="4">
        <v>6375.0</v>
      </c>
      <c r="B1487" s="4">
        <v>45248.0</v>
      </c>
      <c r="C1487" s="5">
        <f t="shared" si="650"/>
        <v>40649</v>
      </c>
      <c r="D1487" s="4" t="s">
        <v>63</v>
      </c>
      <c r="E1487" s="4">
        <v>32.0</v>
      </c>
      <c r="F1487" s="4">
        <v>4941.7725</v>
      </c>
      <c r="G1487" s="4">
        <v>0.1</v>
      </c>
      <c r="H1487" s="4" t="s">
        <v>22</v>
      </c>
      <c r="I1487" s="6">
        <v>704.889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1"/>
        <v>40651</v>
      </c>
    </row>
    <row r="1488" ht="12.75" customHeight="1">
      <c r="A1488" s="4">
        <v>6376.0</v>
      </c>
      <c r="B1488" s="4">
        <v>45249.0</v>
      </c>
      <c r="C1488" s="5">
        <f>DATE(2012,12,31)-765</f>
        <v>40509</v>
      </c>
      <c r="D1488" s="4" t="s">
        <v>21</v>
      </c>
      <c r="E1488" s="4">
        <v>24.0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5.0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ht="12.75" customHeight="1">
      <c r="A1489" s="4">
        <v>6411.0</v>
      </c>
      <c r="B1489" s="4">
        <v>45570.0</v>
      </c>
      <c r="C1489" s="5">
        <f>DATE(2012,12,31)-875</f>
        <v>40399</v>
      </c>
      <c r="D1489" s="4" t="s">
        <v>78</v>
      </c>
      <c r="E1489" s="4">
        <v>19.0</v>
      </c>
      <c r="F1489" s="4">
        <v>77.57</v>
      </c>
      <c r="G1489" s="4">
        <v>0.0</v>
      </c>
      <c r="H1489" s="4" t="s">
        <v>22</v>
      </c>
      <c r="I1489" s="6">
        <v>-67.4935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2">C1489+1</f>
        <v>40400</v>
      </c>
    </row>
    <row r="1490" ht="12.75" customHeight="1">
      <c r="A1490" s="4">
        <v>6434.0</v>
      </c>
      <c r="B1490" s="4">
        <v>45731.0</v>
      </c>
      <c r="C1490" s="5">
        <f>DATE(2012,12,31)-1239</f>
        <v>40035</v>
      </c>
      <c r="D1490" s="4" t="s">
        <v>78</v>
      </c>
      <c r="E1490" s="4">
        <v>44.0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2"/>
        <v>40036</v>
      </c>
    </row>
    <row r="1491" ht="12.75" customHeight="1">
      <c r="A1491" s="4">
        <v>6517.0</v>
      </c>
      <c r="B1491" s="4">
        <v>46375.0</v>
      </c>
      <c r="C1491" s="5">
        <f t="shared" ref="C1491:C1492" si="653">DATE(2012,12,31)-858</f>
        <v>40416</v>
      </c>
      <c r="D1491" s="4" t="s">
        <v>63</v>
      </c>
      <c r="E1491" s="4">
        <v>24.0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ht="12.75" customHeight="1">
      <c r="A1492" s="4">
        <v>6518.0</v>
      </c>
      <c r="B1492" s="4">
        <v>46375.0</v>
      </c>
      <c r="C1492" s="5">
        <f t="shared" si="653"/>
        <v>40416</v>
      </c>
      <c r="D1492" s="4" t="s">
        <v>63</v>
      </c>
      <c r="E1492" s="4">
        <v>16.0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</v>
      </c>
      <c r="U1492" s="5">
        <f>C1492+1</f>
        <v>40417</v>
      </c>
    </row>
    <row r="1493" ht="12.75" customHeight="1">
      <c r="A1493" s="4">
        <v>6588.0</v>
      </c>
      <c r="B1493" s="4">
        <v>46885.0</v>
      </c>
      <c r="C1493" s="5">
        <f t="shared" ref="C1493:C1495" si="654">DATE(2012,12,31)-573</f>
        <v>40701</v>
      </c>
      <c r="D1493" s="4" t="s">
        <v>21</v>
      </c>
      <c r="E1493" s="4">
        <v>27.0</v>
      </c>
      <c r="F1493" s="4">
        <v>632.55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5">C1493+4</f>
        <v>40705</v>
      </c>
    </row>
    <row r="1494" ht="12.75" customHeight="1">
      <c r="A1494" s="4">
        <v>6589.0</v>
      </c>
      <c r="B1494" s="4">
        <v>46885.0</v>
      </c>
      <c r="C1494" s="5">
        <f t="shared" si="654"/>
        <v>40701</v>
      </c>
      <c r="D1494" s="4" t="s">
        <v>21</v>
      </c>
      <c r="E1494" s="4">
        <v>48.0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5"/>
        <v>40705</v>
      </c>
    </row>
    <row r="1495" ht="12.75" customHeight="1">
      <c r="A1495" s="4">
        <v>6590.0</v>
      </c>
      <c r="B1495" s="4">
        <v>46885.0</v>
      </c>
      <c r="C1495" s="5">
        <f t="shared" si="654"/>
        <v>40701</v>
      </c>
      <c r="D1495" s="4" t="s">
        <v>21</v>
      </c>
      <c r="E1495" s="4">
        <v>32.0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ht="12.75" customHeight="1">
      <c r="A1496" s="4">
        <v>6596.0</v>
      </c>
      <c r="B1496" s="4">
        <v>46948.0</v>
      </c>
      <c r="C1496" s="5">
        <f>DATE(2012,12,31)-956</f>
        <v>40318</v>
      </c>
      <c r="D1496" s="4" t="s">
        <v>21</v>
      </c>
      <c r="E1496" s="4">
        <v>10.0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ht="12.75" customHeight="1">
      <c r="A1497" s="4">
        <v>6644.0</v>
      </c>
      <c r="B1497" s="4">
        <v>47267.0</v>
      </c>
      <c r="C1497" s="5">
        <f t="shared" ref="C1497:C1498" si="656">DATE(2012,12,31)-733</f>
        <v>40541</v>
      </c>
      <c r="D1497" s="4" t="s">
        <v>63</v>
      </c>
      <c r="E1497" s="4">
        <v>24.0</v>
      </c>
      <c r="F1497" s="4">
        <v>492.71</v>
      </c>
      <c r="G1497" s="4">
        <v>0.02</v>
      </c>
      <c r="H1497" s="4" t="s">
        <v>22</v>
      </c>
      <c r="I1497" s="6">
        <v>67.01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7">C1497+1</f>
        <v>40542</v>
      </c>
    </row>
    <row r="1498" ht="12.75" customHeight="1">
      <c r="A1498" s="4">
        <v>6645.0</v>
      </c>
      <c r="B1498" s="4">
        <v>47267.0</v>
      </c>
      <c r="C1498" s="5">
        <f t="shared" si="656"/>
        <v>40541</v>
      </c>
      <c r="D1498" s="4" t="s">
        <v>63</v>
      </c>
      <c r="E1498" s="4">
        <v>14.0</v>
      </c>
      <c r="F1498" s="4">
        <v>1042.06</v>
      </c>
      <c r="G1498" s="4">
        <v>0.04</v>
      </c>
      <c r="H1498" s="4" t="s">
        <v>31</v>
      </c>
      <c r="I1498" s="6">
        <v>-931.248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7"/>
        <v>40542</v>
      </c>
    </row>
    <row r="1499" ht="12.75" customHeight="1">
      <c r="A1499" s="4">
        <v>6656.0</v>
      </c>
      <c r="B1499" s="4">
        <v>47333.0</v>
      </c>
      <c r="C1499" s="5">
        <f>DATE(2012,12,31)-481</f>
        <v>40793</v>
      </c>
      <c r="D1499" s="4" t="s">
        <v>78</v>
      </c>
      <c r="E1499" s="4">
        <v>16.0</v>
      </c>
      <c r="F1499" s="4">
        <v>760.2484999999999</v>
      </c>
      <c r="G1499" s="4">
        <v>0.04</v>
      </c>
      <c r="H1499" s="4" t="s">
        <v>22</v>
      </c>
      <c r="I1499" s="6">
        <v>29.799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ht="12.75" customHeight="1">
      <c r="A1500" s="4">
        <v>6762.0</v>
      </c>
      <c r="B1500" s="4">
        <v>48167.0</v>
      </c>
      <c r="C1500" s="5">
        <f t="shared" ref="C1500:C1502" si="658">DATE(2012,12,31)-1212</f>
        <v>40062</v>
      </c>
      <c r="D1500" s="4" t="s">
        <v>78</v>
      </c>
      <c r="E1500" s="4">
        <v>43.0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ht="12.75" customHeight="1">
      <c r="A1501" s="4">
        <v>6763.0</v>
      </c>
      <c r="B1501" s="4">
        <v>48167.0</v>
      </c>
      <c r="C1501" s="5">
        <f t="shared" si="658"/>
        <v>40062</v>
      </c>
      <c r="D1501" s="4" t="s">
        <v>78</v>
      </c>
      <c r="E1501" s="4">
        <v>45.0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9">C1501+1</f>
        <v>40063</v>
      </c>
    </row>
    <row r="1502" ht="12.75" customHeight="1">
      <c r="A1502" s="4">
        <v>6764.0</v>
      </c>
      <c r="B1502" s="4">
        <v>48167.0</v>
      </c>
      <c r="C1502" s="5">
        <f t="shared" si="658"/>
        <v>40062</v>
      </c>
      <c r="D1502" s="4" t="s">
        <v>78</v>
      </c>
      <c r="E1502" s="4">
        <v>27.0</v>
      </c>
      <c r="F1502" s="4">
        <v>8817.71</v>
      </c>
      <c r="G1502" s="4">
        <v>0.09</v>
      </c>
      <c r="H1502" s="4" t="s">
        <v>31</v>
      </c>
      <c r="I1502" s="6">
        <v>-2946.051</v>
      </c>
      <c r="J1502" s="4">
        <v>349.45</v>
      </c>
      <c r="K1502" s="4">
        <v>60.0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9"/>
        <v>40063</v>
      </c>
    </row>
    <row r="1503" ht="12.75" customHeight="1">
      <c r="A1503" s="4">
        <v>6774.0</v>
      </c>
      <c r="B1503" s="4">
        <v>48230.0</v>
      </c>
      <c r="C1503" s="5">
        <f t="shared" ref="C1503:C1504" si="660">DATE(2012,12,31)-1405</f>
        <v>39869</v>
      </c>
      <c r="D1503" s="4" t="s">
        <v>45</v>
      </c>
      <c r="E1503" s="4">
        <v>39.0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1">C1503+2</f>
        <v>39871</v>
      </c>
    </row>
    <row r="1504" ht="12.75" customHeight="1">
      <c r="A1504" s="4">
        <v>6775.0</v>
      </c>
      <c r="B1504" s="4">
        <v>48230.0</v>
      </c>
      <c r="C1504" s="5">
        <f t="shared" si="660"/>
        <v>39869</v>
      </c>
      <c r="D1504" s="4" t="s">
        <v>45</v>
      </c>
      <c r="E1504" s="4">
        <v>31.0</v>
      </c>
      <c r="F1504" s="4">
        <v>2645.8</v>
      </c>
      <c r="G1504" s="4">
        <v>0.0</v>
      </c>
      <c r="H1504" s="4" t="s">
        <v>22</v>
      </c>
      <c r="I1504" s="6">
        <v>-684.78</v>
      </c>
      <c r="J1504" s="4">
        <v>80.98</v>
      </c>
      <c r="K1504" s="4">
        <v>35.0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1"/>
        <v>39871</v>
      </c>
    </row>
    <row r="1505" ht="12.75" customHeight="1">
      <c r="A1505" s="4">
        <v>6806.0</v>
      </c>
      <c r="B1505" s="4">
        <v>48480.0</v>
      </c>
      <c r="C1505" s="5">
        <f>DATE(2012,12,31)-1094</f>
        <v>40180</v>
      </c>
      <c r="D1505" s="4" t="s">
        <v>78</v>
      </c>
      <c r="E1505" s="4">
        <v>32.0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99.0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ht="12.75" customHeight="1">
      <c r="A1506" s="4">
        <v>6825.0</v>
      </c>
      <c r="B1506" s="4">
        <v>48614.0</v>
      </c>
      <c r="C1506" s="5">
        <f>DATE(2012,12,31)-214</f>
        <v>41060</v>
      </c>
      <c r="D1506" s="4" t="s">
        <v>78</v>
      </c>
      <c r="E1506" s="4">
        <v>46.0</v>
      </c>
      <c r="F1506" s="4">
        <v>7965.902499999999</v>
      </c>
      <c r="G1506" s="4">
        <v>0.01</v>
      </c>
      <c r="H1506" s="4" t="s">
        <v>22</v>
      </c>
      <c r="I1506" s="6">
        <v>2311.956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ht="12.75" customHeight="1">
      <c r="A1507" s="4">
        <v>6844.0</v>
      </c>
      <c r="B1507" s="4">
        <v>48772.0</v>
      </c>
      <c r="C1507" s="5">
        <f t="shared" ref="C1507:C1511" si="662">DATE(2012,12,31)-1329</f>
        <v>39945</v>
      </c>
      <c r="D1507" s="4" t="s">
        <v>63</v>
      </c>
      <c r="E1507" s="4">
        <v>44.0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19.99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ht="12.75" customHeight="1">
      <c r="A1508" s="4">
        <v>6845.0</v>
      </c>
      <c r="B1508" s="4">
        <v>48772.0</v>
      </c>
      <c r="C1508" s="5">
        <f t="shared" si="662"/>
        <v>39945</v>
      </c>
      <c r="D1508" s="4" t="s">
        <v>63</v>
      </c>
      <c r="E1508" s="4">
        <v>11.0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3">C1508+1</f>
        <v>39946</v>
      </c>
    </row>
    <row r="1509" ht="12.75" customHeight="1">
      <c r="A1509" s="4">
        <v>6846.0</v>
      </c>
      <c r="B1509" s="4">
        <v>48772.0</v>
      </c>
      <c r="C1509" s="5">
        <f t="shared" si="662"/>
        <v>39945</v>
      </c>
      <c r="D1509" s="4" t="s">
        <v>63</v>
      </c>
      <c r="E1509" s="4">
        <v>18.0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</v>
      </c>
      <c r="U1509" s="5">
        <f t="shared" si="663"/>
        <v>39946</v>
      </c>
    </row>
    <row r="1510" ht="12.75" customHeight="1">
      <c r="A1510" s="4">
        <v>6847.0</v>
      </c>
      <c r="B1510" s="4">
        <v>48772.0</v>
      </c>
      <c r="C1510" s="5">
        <f t="shared" si="662"/>
        <v>39945</v>
      </c>
      <c r="D1510" s="4" t="s">
        <v>63</v>
      </c>
      <c r="E1510" s="4">
        <v>12.0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</v>
      </c>
      <c r="U1510" s="5">
        <f t="shared" si="663"/>
        <v>39946</v>
      </c>
    </row>
    <row r="1511" ht="12.75" customHeight="1">
      <c r="A1511" s="4">
        <v>6848.0</v>
      </c>
      <c r="B1511" s="4">
        <v>48772.0</v>
      </c>
      <c r="C1511" s="5">
        <f t="shared" si="662"/>
        <v>39945</v>
      </c>
      <c r="D1511" s="4" t="s">
        <v>63</v>
      </c>
      <c r="E1511" s="4">
        <v>10.0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3"/>
        <v>39946</v>
      </c>
    </row>
    <row r="1512" ht="12.75" customHeight="1">
      <c r="A1512" s="4">
        <v>6852.0</v>
      </c>
      <c r="B1512" s="4">
        <v>48800.0</v>
      </c>
      <c r="C1512" s="5">
        <f>DATE(2012,12,31)-801</f>
        <v>40473</v>
      </c>
      <c r="D1512" s="4" t="s">
        <v>45</v>
      </c>
      <c r="E1512" s="4">
        <v>8.0</v>
      </c>
      <c r="F1512" s="4">
        <v>28761.52</v>
      </c>
      <c r="G1512" s="4">
        <v>0.04</v>
      </c>
      <c r="H1512" s="4" t="s">
        <v>22</v>
      </c>
      <c r="I1512" s="6">
        <v>285.1130000000003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3"/>
        <v>40474</v>
      </c>
    </row>
    <row r="1513" ht="12.75" customHeight="1">
      <c r="A1513" s="4">
        <v>6867.0</v>
      </c>
      <c r="B1513" s="4">
        <v>48931.0</v>
      </c>
      <c r="C1513" s="5">
        <f t="shared" ref="C1513:C1515" si="664">DATE(2012,12,31)-1293</f>
        <v>39981</v>
      </c>
      <c r="D1513" s="4" t="s">
        <v>21</v>
      </c>
      <c r="E1513" s="4">
        <v>33.0</v>
      </c>
      <c r="F1513" s="4">
        <v>750.66</v>
      </c>
      <c r="G1513" s="4">
        <v>0.0</v>
      </c>
      <c r="H1513" s="4" t="s">
        <v>22</v>
      </c>
      <c r="I1513" s="6">
        <v>120.05</v>
      </c>
      <c r="J1513" s="4">
        <v>20.95</v>
      </c>
      <c r="K1513" s="4">
        <v>4.0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ht="12.75" customHeight="1">
      <c r="A1514" s="4">
        <v>6868.0</v>
      </c>
      <c r="B1514" s="4">
        <v>48931.0</v>
      </c>
      <c r="C1514" s="5">
        <f t="shared" si="664"/>
        <v>39981</v>
      </c>
      <c r="D1514" s="4" t="s">
        <v>21</v>
      </c>
      <c r="E1514" s="4">
        <v>8.0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ht="12.75" customHeight="1">
      <c r="A1515" s="4">
        <v>6869.0</v>
      </c>
      <c r="B1515" s="4">
        <v>48931.0</v>
      </c>
      <c r="C1515" s="5">
        <f t="shared" si="664"/>
        <v>39981</v>
      </c>
      <c r="D1515" s="4" t="s">
        <v>21</v>
      </c>
      <c r="E1515" s="4">
        <v>42.0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19.99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</v>
      </c>
      <c r="U1515" s="5">
        <f>C1515+5</f>
        <v>39986</v>
      </c>
    </row>
    <row r="1516" ht="12.75" customHeight="1">
      <c r="A1516" s="4">
        <v>6892.0</v>
      </c>
      <c r="B1516" s="4">
        <v>49126.0</v>
      </c>
      <c r="C1516" s="5">
        <f>DATE(2012,12,31)-540</f>
        <v>40734</v>
      </c>
      <c r="D1516" s="4" t="s">
        <v>21</v>
      </c>
      <c r="E1516" s="4">
        <v>33.0</v>
      </c>
      <c r="F1516" s="4">
        <v>5661.08</v>
      </c>
      <c r="G1516" s="4">
        <v>0.0</v>
      </c>
      <c r="H1516" s="4" t="s">
        <v>31</v>
      </c>
      <c r="I1516" s="6">
        <v>1055.47</v>
      </c>
      <c r="J1516" s="4">
        <v>160.98</v>
      </c>
      <c r="K1516" s="4">
        <v>30.0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ht="12.75" customHeight="1">
      <c r="A1517" s="4">
        <v>6908.0</v>
      </c>
      <c r="B1517" s="4">
        <v>49283.0</v>
      </c>
      <c r="C1517" s="5">
        <f>DATE(2012,12,31)-1116</f>
        <v>40158</v>
      </c>
      <c r="D1517" s="4" t="s">
        <v>30</v>
      </c>
      <c r="E1517" s="4">
        <v>25.0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5">C1517+1</f>
        <v>40159</v>
      </c>
    </row>
    <row r="1518" ht="12.75" customHeight="1">
      <c r="A1518" s="4">
        <v>6927.0</v>
      </c>
      <c r="B1518" s="4">
        <v>49441.0</v>
      </c>
      <c r="C1518" s="5">
        <f>DATE(2012,12,31)-1191</f>
        <v>40083</v>
      </c>
      <c r="D1518" s="4" t="s">
        <v>63</v>
      </c>
      <c r="E1518" s="4">
        <v>49.0</v>
      </c>
      <c r="F1518" s="4">
        <v>1981.26</v>
      </c>
      <c r="G1518" s="4">
        <v>0.07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5"/>
        <v>40084</v>
      </c>
    </row>
    <row r="1519" ht="12.75" customHeight="1">
      <c r="A1519" s="4">
        <v>6944.0</v>
      </c>
      <c r="B1519" s="4">
        <v>49601.0</v>
      </c>
      <c r="C1519" s="5">
        <f>DATE(2012,12,31)-705</f>
        <v>40569</v>
      </c>
      <c r="D1519" s="4" t="s">
        <v>21</v>
      </c>
      <c r="E1519" s="4">
        <v>15.0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30.0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ht="12.75" customHeight="1">
      <c r="A1520" s="4">
        <v>6960.0</v>
      </c>
      <c r="B1520" s="4">
        <v>49763.0</v>
      </c>
      <c r="C1520" s="5">
        <f t="shared" ref="C1520:C1521" si="666">DATE(2012,12,31)-687</f>
        <v>40587</v>
      </c>
      <c r="D1520" s="4" t="s">
        <v>78</v>
      </c>
      <c r="E1520" s="4">
        <v>8.0</v>
      </c>
      <c r="F1520" s="4">
        <v>49.04</v>
      </c>
      <c r="G1520" s="4">
        <v>0.02</v>
      </c>
      <c r="H1520" s="4" t="s">
        <v>22</v>
      </c>
      <c r="I1520" s="6">
        <v>9.29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ht="12.75" customHeight="1">
      <c r="A1521" s="4">
        <v>6961.0</v>
      </c>
      <c r="B1521" s="4">
        <v>49763.0</v>
      </c>
      <c r="C1521" s="5">
        <f t="shared" si="666"/>
        <v>40587</v>
      </c>
      <c r="D1521" s="4" t="s">
        <v>78</v>
      </c>
      <c r="E1521" s="4">
        <v>6.0</v>
      </c>
      <c r="F1521" s="4">
        <v>2320.35</v>
      </c>
      <c r="G1521" s="4">
        <v>0.0</v>
      </c>
      <c r="H1521" s="4" t="s">
        <v>31</v>
      </c>
      <c r="I1521" s="6">
        <v>-237.618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7">C1521+0</f>
        <v>40587</v>
      </c>
    </row>
    <row r="1522" ht="12.75" customHeight="1">
      <c r="A1522" s="4">
        <v>6988.0</v>
      </c>
      <c r="B1522" s="4">
        <v>49927.0</v>
      </c>
      <c r="C1522" s="5">
        <f t="shared" ref="C1522:C1524" si="668">DATE(2012,12,31)-164</f>
        <v>41110</v>
      </c>
      <c r="D1522" s="4" t="s">
        <v>45</v>
      </c>
      <c r="E1522" s="4">
        <v>26.0</v>
      </c>
      <c r="F1522" s="4">
        <v>139.54</v>
      </c>
      <c r="G1522" s="4">
        <v>0.01</v>
      </c>
      <c r="H1522" s="4" t="s">
        <v>22</v>
      </c>
      <c r="I1522" s="6">
        <v>-54.0845</v>
      </c>
      <c r="J1522" s="4">
        <v>4.98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7"/>
        <v>41110</v>
      </c>
    </row>
    <row r="1523" ht="12.75" customHeight="1">
      <c r="A1523" s="4">
        <v>6989.0</v>
      </c>
      <c r="B1523" s="4">
        <v>49927.0</v>
      </c>
      <c r="C1523" s="5">
        <f t="shared" si="668"/>
        <v>41110</v>
      </c>
      <c r="D1523" s="4" t="s">
        <v>45</v>
      </c>
      <c r="E1523" s="4">
        <v>28.0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4.0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ht="12.75" customHeight="1">
      <c r="A1524" s="4">
        <v>6990.0</v>
      </c>
      <c r="B1524" s="4">
        <v>49927.0</v>
      </c>
      <c r="C1524" s="5">
        <f t="shared" si="668"/>
        <v>41110</v>
      </c>
      <c r="D1524" s="4" t="s">
        <v>45</v>
      </c>
      <c r="E1524" s="4">
        <v>39.0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ht="12.75" customHeight="1">
      <c r="A1525" s="4">
        <v>7009.0</v>
      </c>
      <c r="B1525" s="4">
        <v>50048.0</v>
      </c>
      <c r="C1525" s="5">
        <f t="shared" ref="C1525:C1526" si="669">DATE(2012,12,31)-1078</f>
        <v>40196</v>
      </c>
      <c r="D1525" s="4" t="s">
        <v>30</v>
      </c>
      <c r="E1525" s="4">
        <v>14.0</v>
      </c>
      <c r="F1525" s="4">
        <v>35.48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70">C1525+2</f>
        <v>40198</v>
      </c>
    </row>
    <row r="1526" ht="12.75" customHeight="1">
      <c r="A1526" s="4">
        <v>7010.0</v>
      </c>
      <c r="B1526" s="4">
        <v>50048.0</v>
      </c>
      <c r="C1526" s="5">
        <f t="shared" si="669"/>
        <v>40196</v>
      </c>
      <c r="D1526" s="4" t="s">
        <v>30</v>
      </c>
      <c r="E1526" s="4">
        <v>1.0</v>
      </c>
      <c r="F1526" s="4">
        <v>15.0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8.37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0.58</v>
      </c>
      <c r="U1526" s="5">
        <f t="shared" si="670"/>
        <v>40198</v>
      </c>
    </row>
    <row r="1527" ht="12.75" customHeight="1">
      <c r="A1527" s="4">
        <v>7075.0</v>
      </c>
      <c r="B1527" s="4">
        <v>50499.0</v>
      </c>
      <c r="C1527" s="5">
        <f>DATE(2012,12,31)-446</f>
        <v>40828</v>
      </c>
      <c r="D1527" s="4" t="s">
        <v>45</v>
      </c>
      <c r="E1527" s="4">
        <v>18.0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0.57</v>
      </c>
      <c r="U1527" s="5">
        <f t="shared" ref="U1527:U1528" si="671">C1527+1</f>
        <v>40829</v>
      </c>
    </row>
    <row r="1528" ht="12.75" customHeight="1">
      <c r="A1528" s="4">
        <v>7152.0</v>
      </c>
      <c r="B1528" s="4">
        <v>51041.0</v>
      </c>
      <c r="C1528" s="5">
        <f>DATE(2012,12,31)-886</f>
        <v>40388</v>
      </c>
      <c r="D1528" s="4" t="s">
        <v>30</v>
      </c>
      <c r="E1528" s="4">
        <v>47.0</v>
      </c>
      <c r="F1528" s="4">
        <v>2766.8179999999998</v>
      </c>
      <c r="G1528" s="4">
        <v>0.03</v>
      </c>
      <c r="H1528" s="4" t="s">
        <v>22</v>
      </c>
      <c r="I1528" s="6">
        <v>846.945</v>
      </c>
      <c r="J1528" s="4">
        <v>65.99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</v>
      </c>
      <c r="U1528" s="5">
        <f t="shared" si="671"/>
        <v>40389</v>
      </c>
    </row>
    <row r="1529" ht="12.75" customHeight="1">
      <c r="A1529" s="4">
        <v>7194.0</v>
      </c>
      <c r="B1529" s="4">
        <v>51328.0</v>
      </c>
      <c r="C1529" s="5">
        <f>DATE(2012,12,31)-797</f>
        <v>40477</v>
      </c>
      <c r="D1529" s="4" t="s">
        <v>21</v>
      </c>
      <c r="E1529" s="4">
        <v>38.0</v>
      </c>
      <c r="F1529" s="4">
        <v>689.67</v>
      </c>
      <c r="G1529" s="4">
        <v>0.07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ht="12.75" customHeight="1">
      <c r="A1530" s="4">
        <v>7195.0</v>
      </c>
      <c r="B1530" s="4">
        <v>51333.0</v>
      </c>
      <c r="C1530" s="5">
        <f t="shared" ref="C1530:C1531" si="672">DATE(2012,12,31)-88</f>
        <v>41186</v>
      </c>
      <c r="D1530" s="4" t="s">
        <v>45</v>
      </c>
      <c r="E1530" s="4">
        <v>30.0</v>
      </c>
      <c r="F1530" s="4">
        <v>2219.79</v>
      </c>
      <c r="G1530" s="4">
        <v>0.1</v>
      </c>
      <c r="H1530" s="4" t="s">
        <v>31</v>
      </c>
      <c r="I1530" s="6">
        <v>-9.4482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3">C1530+2</f>
        <v>41188</v>
      </c>
    </row>
    <row r="1531" ht="12.75" customHeight="1">
      <c r="A1531" s="4">
        <v>7196.0</v>
      </c>
      <c r="B1531" s="4">
        <v>51333.0</v>
      </c>
      <c r="C1531" s="5">
        <f t="shared" si="672"/>
        <v>41186</v>
      </c>
      <c r="D1531" s="4" t="s">
        <v>45</v>
      </c>
      <c r="E1531" s="4">
        <v>25.0</v>
      </c>
      <c r="F1531" s="4">
        <v>237.36</v>
      </c>
      <c r="G1531" s="4">
        <v>0.07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3"/>
        <v>41188</v>
      </c>
    </row>
    <row r="1532" ht="12.75" customHeight="1">
      <c r="A1532" s="4">
        <v>7201.0</v>
      </c>
      <c r="B1532" s="4">
        <v>51365.0</v>
      </c>
      <c r="C1532" s="5">
        <f t="shared" ref="C1532:C1533" si="674">DATE(2012,12,31)-146</f>
        <v>41128</v>
      </c>
      <c r="D1532" s="4" t="s">
        <v>30</v>
      </c>
      <c r="E1532" s="4">
        <v>35.0</v>
      </c>
      <c r="F1532" s="4">
        <v>195.23</v>
      </c>
      <c r="G1532" s="4">
        <v>0.08</v>
      </c>
      <c r="H1532" s="4" t="s">
        <v>22</v>
      </c>
      <c r="I1532" s="6">
        <v>-72.46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3"/>
        <v>41130</v>
      </c>
    </row>
    <row r="1533" ht="12.75" customHeight="1">
      <c r="A1533" s="4">
        <v>7202.0</v>
      </c>
      <c r="B1533" s="4">
        <v>51365.0</v>
      </c>
      <c r="C1533" s="5">
        <f t="shared" si="674"/>
        <v>41128</v>
      </c>
      <c r="D1533" s="4" t="s">
        <v>30</v>
      </c>
      <c r="E1533" s="4">
        <v>35.0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5">C1533+1</f>
        <v>41129</v>
      </c>
    </row>
    <row r="1534" ht="12.75" customHeight="1">
      <c r="A1534" s="4">
        <v>7253.0</v>
      </c>
      <c r="B1534" s="4">
        <v>51777.0</v>
      </c>
      <c r="C1534" s="5">
        <f t="shared" ref="C1534:C1535" si="676">DATE(2012,12,31)-681</f>
        <v>40593</v>
      </c>
      <c r="D1534" s="4" t="s">
        <v>63</v>
      </c>
      <c r="E1534" s="4">
        <v>4.0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19.99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5"/>
        <v>40594</v>
      </c>
    </row>
    <row r="1535" ht="12.75" customHeight="1">
      <c r="A1535" s="4">
        <v>7254.0</v>
      </c>
      <c r="B1535" s="4">
        <v>51777.0</v>
      </c>
      <c r="C1535" s="5">
        <f t="shared" si="676"/>
        <v>40593</v>
      </c>
      <c r="D1535" s="4" t="s">
        <v>63</v>
      </c>
      <c r="E1535" s="4">
        <v>13.0</v>
      </c>
      <c r="F1535" s="4">
        <v>1307.88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7">C1535+2</f>
        <v>40595</v>
      </c>
    </row>
    <row r="1536" ht="12.75" customHeight="1">
      <c r="A1536" s="4">
        <v>7263.0</v>
      </c>
      <c r="B1536" s="4">
        <v>51814.0</v>
      </c>
      <c r="C1536" s="5">
        <f>DATE(2012,12,31)-829</f>
        <v>40445</v>
      </c>
      <c r="D1536" s="4" t="s">
        <v>78</v>
      </c>
      <c r="E1536" s="4">
        <v>13.0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7"/>
        <v>40447</v>
      </c>
    </row>
    <row r="1537" ht="12.75" customHeight="1">
      <c r="A1537" s="4">
        <v>7290.0</v>
      </c>
      <c r="B1537" s="4">
        <v>51975.0</v>
      </c>
      <c r="C1537" s="5">
        <f>DATE(2012,12,31)-1109</f>
        <v>40165</v>
      </c>
      <c r="D1537" s="4" t="s">
        <v>21</v>
      </c>
      <c r="E1537" s="4">
        <v>12.0</v>
      </c>
      <c r="F1537" s="4">
        <v>1064.7865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0.58</v>
      </c>
      <c r="U1537" s="5">
        <f>C1537+4</f>
        <v>40169</v>
      </c>
    </row>
    <row r="1538" ht="12.75" customHeight="1">
      <c r="A1538" s="4">
        <v>7328.0</v>
      </c>
      <c r="B1538" s="4">
        <v>52225.0</v>
      </c>
      <c r="C1538" s="5">
        <f t="shared" ref="C1538:C1539" si="678">DATE(2012,12,31)-263</f>
        <v>41011</v>
      </c>
      <c r="D1538" s="4" t="s">
        <v>78</v>
      </c>
      <c r="E1538" s="4">
        <v>10.0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</v>
      </c>
      <c r="U1538" s="5">
        <f t="shared" ref="U1538:U1540" si="679">C1538+1</f>
        <v>41012</v>
      </c>
    </row>
    <row r="1539" ht="12.75" customHeight="1">
      <c r="A1539" s="4">
        <v>7329.0</v>
      </c>
      <c r="B1539" s="4">
        <v>52225.0</v>
      </c>
      <c r="C1539" s="5">
        <f t="shared" si="678"/>
        <v>41011</v>
      </c>
      <c r="D1539" s="4" t="s">
        <v>78</v>
      </c>
      <c r="E1539" s="4">
        <v>33.0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9"/>
        <v>41012</v>
      </c>
    </row>
    <row r="1540" ht="12.75" customHeight="1">
      <c r="A1540" s="4">
        <v>7366.0</v>
      </c>
      <c r="B1540" s="4">
        <v>52487.0</v>
      </c>
      <c r="C1540" s="5">
        <f>DATE(2012,12,31)-1309</f>
        <v>39965</v>
      </c>
      <c r="D1540" s="4" t="s">
        <v>78</v>
      </c>
      <c r="E1540" s="4">
        <v>17.0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9"/>
        <v>39966</v>
      </c>
    </row>
    <row r="1541" ht="12.75" customHeight="1">
      <c r="A1541" s="4">
        <v>7410.0</v>
      </c>
      <c r="B1541" s="4">
        <v>52868.0</v>
      </c>
      <c r="C1541" s="5">
        <f>DATE(2012,12,31)-684</f>
        <v>40590</v>
      </c>
      <c r="D1541" s="4" t="s">
        <v>21</v>
      </c>
      <c r="E1541" s="4">
        <v>19.0</v>
      </c>
      <c r="F1541" s="4">
        <v>138.05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ht="12.75" customHeight="1">
      <c r="A1542" s="4">
        <v>7459.0</v>
      </c>
      <c r="B1542" s="4">
        <v>53221.0</v>
      </c>
      <c r="C1542" s="5">
        <f>DATE(2012,12,31)-309</f>
        <v>40965</v>
      </c>
      <c r="D1542" s="4" t="s">
        <v>45</v>
      </c>
      <c r="E1542" s="4">
        <v>29.0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80">C1542+1</f>
        <v>40966</v>
      </c>
    </row>
    <row r="1543" ht="12.75" customHeight="1">
      <c r="A1543" s="4">
        <v>7509.0</v>
      </c>
      <c r="B1543" s="4">
        <v>53600.0</v>
      </c>
      <c r="C1543" s="5">
        <f>DATE(2012,12,31)-174</f>
        <v>41100</v>
      </c>
      <c r="D1543" s="4" t="s">
        <v>63</v>
      </c>
      <c r="E1543" s="4">
        <v>8.0</v>
      </c>
      <c r="F1543" s="4">
        <v>55.59</v>
      </c>
      <c r="G1543" s="4">
        <v>0.03</v>
      </c>
      <c r="H1543" s="4" t="s">
        <v>56</v>
      </c>
      <c r="I1543" s="6">
        <v>-17.9515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80"/>
        <v>41101</v>
      </c>
    </row>
    <row r="1544" ht="12.75" customHeight="1">
      <c r="A1544" s="4">
        <v>7515.0</v>
      </c>
      <c r="B1544" s="4">
        <v>53667.0</v>
      </c>
      <c r="C1544" s="5">
        <f t="shared" ref="C1544:C1545" si="681">DATE(2012,12,31)-228</f>
        <v>41046</v>
      </c>
      <c r="D1544" s="4" t="s">
        <v>63</v>
      </c>
      <c r="E1544" s="4">
        <v>33.0</v>
      </c>
      <c r="F1544" s="4">
        <v>112.36</v>
      </c>
      <c r="G1544" s="4">
        <v>0.08</v>
      </c>
      <c r="H1544" s="4" t="s">
        <v>22</v>
      </c>
      <c r="I1544" s="6">
        <v>-159.735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2">C1544+2</f>
        <v>41048</v>
      </c>
    </row>
    <row r="1545" ht="12.75" customHeight="1">
      <c r="A1545" s="4">
        <v>7516.0</v>
      </c>
      <c r="B1545" s="4">
        <v>53667.0</v>
      </c>
      <c r="C1545" s="5">
        <f t="shared" si="681"/>
        <v>41046</v>
      </c>
      <c r="D1545" s="4" t="s">
        <v>63</v>
      </c>
      <c r="E1545" s="4">
        <v>16.0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</v>
      </c>
      <c r="U1545" s="5">
        <f t="shared" si="682"/>
        <v>41048</v>
      </c>
    </row>
    <row r="1546" ht="12.75" customHeight="1">
      <c r="A1546" s="4">
        <v>7535.0</v>
      </c>
      <c r="B1546" s="4">
        <v>53891.0</v>
      </c>
      <c r="C1546" s="5">
        <f>DATE(2012,12,31)-1439</f>
        <v>39835</v>
      </c>
      <c r="D1546" s="4" t="s">
        <v>30</v>
      </c>
      <c r="E1546" s="4">
        <v>36.0</v>
      </c>
      <c r="F1546" s="4">
        <v>562.8</v>
      </c>
      <c r="G1546" s="4">
        <v>0.02</v>
      </c>
      <c r="H1546" s="4" t="s">
        <v>22</v>
      </c>
      <c r="I1546" s="6">
        <v>-17.4455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ht="12.75" customHeight="1">
      <c r="A1547" s="4">
        <v>7545.0</v>
      </c>
      <c r="B1547" s="4">
        <v>53955.0</v>
      </c>
      <c r="C1547" s="5">
        <f>DATE(2012,12,31)-668</f>
        <v>40606</v>
      </c>
      <c r="D1547" s="4" t="s">
        <v>78</v>
      </c>
      <c r="E1547" s="4">
        <v>43.0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130.98</v>
      </c>
      <c r="K1547" s="4">
        <v>130.0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ht="12.75" customHeight="1">
      <c r="A1548" s="4">
        <v>7569.0</v>
      </c>
      <c r="B1548" s="4">
        <v>54150.0</v>
      </c>
      <c r="C1548" s="5">
        <f>DATE(2012,12,31)-558</f>
        <v>40716</v>
      </c>
      <c r="D1548" s="4" t="s">
        <v>78</v>
      </c>
      <c r="E1548" s="4">
        <v>12.0</v>
      </c>
      <c r="F1548" s="4">
        <v>2011.6355</v>
      </c>
      <c r="G1548" s="4">
        <v>0.01</v>
      </c>
      <c r="H1548" s="4" t="s">
        <v>56</v>
      </c>
      <c r="I1548" s="6">
        <v>-53.691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ht="12.75" customHeight="1">
      <c r="A1549" s="4">
        <v>7742.0</v>
      </c>
      <c r="B1549" s="4">
        <v>55429.0</v>
      </c>
      <c r="C1549" s="5">
        <f>DATE(2012,12,31)-1281</f>
        <v>39993</v>
      </c>
      <c r="D1549" s="4" t="s">
        <v>30</v>
      </c>
      <c r="E1549" s="4">
        <v>43.0</v>
      </c>
      <c r="F1549" s="4">
        <v>260.59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3">C1549+2</f>
        <v>39995</v>
      </c>
    </row>
    <row r="1550" ht="12.75" customHeight="1">
      <c r="A1550" s="4">
        <v>7751.0</v>
      </c>
      <c r="B1550" s="4">
        <v>55462.0</v>
      </c>
      <c r="C1550" s="5">
        <f t="shared" ref="C1550:C1552" si="684">DATE(2012,12,31)-279</f>
        <v>40995</v>
      </c>
      <c r="D1550" s="4" t="s">
        <v>63</v>
      </c>
      <c r="E1550" s="4">
        <v>13.0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3"/>
        <v>40997</v>
      </c>
    </row>
    <row r="1551" ht="12.75" customHeight="1">
      <c r="A1551" s="4">
        <v>7752.0</v>
      </c>
      <c r="B1551" s="4">
        <v>55462.0</v>
      </c>
      <c r="C1551" s="5">
        <f t="shared" si="684"/>
        <v>40995</v>
      </c>
      <c r="D1551" s="4" t="s">
        <v>63</v>
      </c>
      <c r="E1551" s="4">
        <v>31.0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39.98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5">C1551+1</f>
        <v>40996</v>
      </c>
    </row>
    <row r="1552" ht="12.75" customHeight="1">
      <c r="A1552" s="4">
        <v>7753.0</v>
      </c>
      <c r="B1552" s="4">
        <v>55462.0</v>
      </c>
      <c r="C1552" s="5">
        <f t="shared" si="684"/>
        <v>40995</v>
      </c>
      <c r="D1552" s="4" t="s">
        <v>63</v>
      </c>
      <c r="E1552" s="4">
        <v>35.0</v>
      </c>
      <c r="F1552" s="4">
        <v>3683.73</v>
      </c>
      <c r="G1552" s="4">
        <v>0.09</v>
      </c>
      <c r="H1552" s="4" t="s">
        <v>22</v>
      </c>
      <c r="I1552" s="6">
        <v>708.759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5"/>
        <v>40996</v>
      </c>
    </row>
    <row r="1553" ht="12.75" customHeight="1">
      <c r="A1553" s="4">
        <v>7793.0</v>
      </c>
      <c r="B1553" s="4">
        <v>55749.0</v>
      </c>
      <c r="C1553" s="5">
        <f>DATE(2012,12,31)-242</f>
        <v>41032</v>
      </c>
      <c r="D1553" s="4" t="s">
        <v>78</v>
      </c>
      <c r="E1553" s="4">
        <v>42.0</v>
      </c>
      <c r="F1553" s="4">
        <v>364.8</v>
      </c>
      <c r="G1553" s="4">
        <v>0.01</v>
      </c>
      <c r="H1553" s="4" t="s">
        <v>22</v>
      </c>
      <c r="I1553" s="6">
        <v>149.45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5"/>
        <v>41033</v>
      </c>
    </row>
    <row r="1554" ht="12.75" customHeight="1">
      <c r="A1554" s="4">
        <v>7809.0</v>
      </c>
      <c r="B1554" s="4">
        <v>55873.0</v>
      </c>
      <c r="C1554" s="5">
        <f>DATE(2012,12,31)-408</f>
        <v>40866</v>
      </c>
      <c r="D1554" s="4" t="s">
        <v>21</v>
      </c>
      <c r="E1554" s="4">
        <v>48.0</v>
      </c>
      <c r="F1554" s="4">
        <v>15602.93</v>
      </c>
      <c r="G1554" s="4">
        <v>0.0</v>
      </c>
      <c r="H1554" s="4" t="s">
        <v>31</v>
      </c>
      <c r="I1554" s="6">
        <v>4875.89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</v>
      </c>
      <c r="U1554" s="5">
        <f>C1554+7</f>
        <v>40873</v>
      </c>
    </row>
    <row r="1555" ht="12.75" customHeight="1">
      <c r="A1555" s="4">
        <v>7852.0</v>
      </c>
      <c r="B1555" s="4">
        <v>56135.0</v>
      </c>
      <c r="C1555" s="5">
        <f t="shared" ref="C1555:C1556" si="686">DATE(2012,12,31)-779</f>
        <v>40495</v>
      </c>
      <c r="D1555" s="4" t="s">
        <v>63</v>
      </c>
      <c r="E1555" s="4">
        <v>8.0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140.98</v>
      </c>
      <c r="K1555" s="4">
        <v>36.09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ht="12.75" customHeight="1">
      <c r="A1556" s="4">
        <v>7853.0</v>
      </c>
      <c r="B1556" s="4">
        <v>56135.0</v>
      </c>
      <c r="C1556" s="5">
        <f t="shared" si="686"/>
        <v>40495</v>
      </c>
      <c r="D1556" s="4" t="s">
        <v>63</v>
      </c>
      <c r="E1556" s="4">
        <v>48.0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ht="12.75" customHeight="1">
      <c r="A1557" s="4">
        <v>7934.0</v>
      </c>
      <c r="B1557" s="4">
        <v>56708.0</v>
      </c>
      <c r="C1557" s="5">
        <f t="shared" ref="C1557:C1558" si="687">DATE(2012,12,31)-29</f>
        <v>41245</v>
      </c>
      <c r="D1557" s="4" t="s">
        <v>45</v>
      </c>
      <c r="E1557" s="4">
        <v>36.0</v>
      </c>
      <c r="F1557" s="4">
        <v>10006.28</v>
      </c>
      <c r="G1557" s="4">
        <v>0.1</v>
      </c>
      <c r="H1557" s="4" t="s">
        <v>31</v>
      </c>
      <c r="I1557" s="6">
        <v>-760.977</v>
      </c>
      <c r="J1557" s="4">
        <v>286.85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ht="12.75" customHeight="1">
      <c r="A1558" s="4">
        <v>7935.0</v>
      </c>
      <c r="B1558" s="4">
        <v>56708.0</v>
      </c>
      <c r="C1558" s="5">
        <f t="shared" si="687"/>
        <v>41245</v>
      </c>
      <c r="D1558" s="4" t="s">
        <v>45</v>
      </c>
      <c r="E1558" s="4">
        <v>36.0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ht="12.75" customHeight="1">
      <c r="A1559" s="4">
        <v>8120.0</v>
      </c>
      <c r="B1559" s="4">
        <v>57986.0</v>
      </c>
      <c r="C1559" s="5">
        <f>DATE(2012,12,31)-794</f>
        <v>40480</v>
      </c>
      <c r="D1559" s="4" t="s">
        <v>30</v>
      </c>
      <c r="E1559" s="4">
        <v>14.0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ht="12.75" customHeight="1">
      <c r="A1560" s="4">
        <v>8155.0</v>
      </c>
      <c r="B1560" s="4">
        <v>58310.0</v>
      </c>
      <c r="C1560" s="5">
        <f>DATE(2012,12,31)-1407</f>
        <v>39867</v>
      </c>
      <c r="D1560" s="4" t="s">
        <v>78</v>
      </c>
      <c r="E1560" s="4">
        <v>22.0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0.57</v>
      </c>
      <c r="U1560" s="5">
        <f t="shared" ref="U1560:U1561" si="688">C1560+1</f>
        <v>39868</v>
      </c>
    </row>
    <row r="1561" ht="12.75" customHeight="1">
      <c r="A1561" s="4">
        <v>8215.0</v>
      </c>
      <c r="B1561" s="4">
        <v>58725.0</v>
      </c>
      <c r="C1561" s="5">
        <f>DATE(2012,12,31)-956</f>
        <v>40318</v>
      </c>
      <c r="D1561" s="4" t="s">
        <v>45</v>
      </c>
      <c r="E1561" s="4">
        <v>39.0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8.29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8"/>
        <v>40319</v>
      </c>
    </row>
    <row r="1562" ht="12.75" customHeight="1">
      <c r="A1562" s="4">
        <v>142.0</v>
      </c>
      <c r="B1562" s="4">
        <v>902.0</v>
      </c>
      <c r="C1562" s="5">
        <f>DATE(2012,12,31)-1254</f>
        <v>40020</v>
      </c>
      <c r="D1562" s="4" t="s">
        <v>45</v>
      </c>
      <c r="E1562" s="4">
        <v>10.0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</v>
      </c>
      <c r="U1562" s="5">
        <f>C1562+3</f>
        <v>40023</v>
      </c>
    </row>
    <row r="1563" ht="12.75" customHeight="1">
      <c r="A1563" s="4">
        <v>309.0</v>
      </c>
      <c r="B1563" s="4">
        <v>2147.0</v>
      </c>
      <c r="C1563" s="5">
        <f>DATE(2012,12,31)-117</f>
        <v>41157</v>
      </c>
      <c r="D1563" s="4" t="s">
        <v>45</v>
      </c>
      <c r="E1563" s="4">
        <v>15.0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0.57</v>
      </c>
      <c r="U1563" s="5">
        <f t="shared" ref="U1563:U1564" si="689">C1563+2</f>
        <v>41159</v>
      </c>
    </row>
    <row r="1564" ht="12.75" customHeight="1">
      <c r="A1564" s="4">
        <v>338.0</v>
      </c>
      <c r="B1564" s="4">
        <v>2306.0</v>
      </c>
      <c r="C1564" s="5">
        <f>DATE(2012,12,31)-525</f>
        <v>40749</v>
      </c>
      <c r="D1564" s="4" t="s">
        <v>30</v>
      </c>
      <c r="E1564" s="4">
        <v>15.0</v>
      </c>
      <c r="F1564" s="4">
        <v>113.5</v>
      </c>
      <c r="G1564" s="4">
        <v>0.05</v>
      </c>
      <c r="H1564" s="4" t="s">
        <v>22</v>
      </c>
      <c r="I1564" s="6">
        <v>-46.345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9"/>
        <v>40751</v>
      </c>
    </row>
    <row r="1565" ht="12.75" customHeight="1">
      <c r="A1565" s="4">
        <v>422.0</v>
      </c>
      <c r="B1565" s="4">
        <v>2823.0</v>
      </c>
      <c r="C1565" s="5">
        <f t="shared" ref="C1565:C1566" si="690">DATE(2012,12,31)-480</f>
        <v>40794</v>
      </c>
      <c r="D1565" s="4" t="s">
        <v>30</v>
      </c>
      <c r="E1565" s="4">
        <v>17.0</v>
      </c>
      <c r="F1565" s="4">
        <v>357.43</v>
      </c>
      <c r="G1565" s="4">
        <v>0.08</v>
      </c>
      <c r="H1565" s="4" t="s">
        <v>22</v>
      </c>
      <c r="I1565" s="6">
        <v>-135.98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1">C1565+1</f>
        <v>40795</v>
      </c>
    </row>
    <row r="1566" ht="12.75" customHeight="1">
      <c r="A1566" s="4">
        <v>423.0</v>
      </c>
      <c r="B1566" s="4">
        <v>2823.0</v>
      </c>
      <c r="C1566" s="5">
        <f t="shared" si="690"/>
        <v>40794</v>
      </c>
      <c r="D1566" s="4" t="s">
        <v>30</v>
      </c>
      <c r="E1566" s="4">
        <v>21.0</v>
      </c>
      <c r="F1566" s="4">
        <v>4754.08</v>
      </c>
      <c r="G1566" s="4">
        <v>0.0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1"/>
        <v>40795</v>
      </c>
    </row>
    <row r="1567" ht="12.75" customHeight="1">
      <c r="A1567" s="4">
        <v>460.0</v>
      </c>
      <c r="B1567" s="4">
        <v>3110.0</v>
      </c>
      <c r="C1567" s="5">
        <f>DATE(2012,12,31)-1111</f>
        <v>40163</v>
      </c>
      <c r="D1567" s="4" t="s">
        <v>30</v>
      </c>
      <c r="E1567" s="4">
        <v>13.0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14.0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ht="12.75" customHeight="1">
      <c r="A1568" s="4">
        <v>503.0</v>
      </c>
      <c r="B1568" s="4">
        <v>3463.0</v>
      </c>
      <c r="C1568" s="5">
        <f>DATE(2012,12,31)-867</f>
        <v>40407</v>
      </c>
      <c r="D1568" s="4" t="s">
        <v>78</v>
      </c>
      <c r="E1568" s="4">
        <v>43.0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2">C1568+1</f>
        <v>40408</v>
      </c>
    </row>
    <row r="1569" ht="12.75" customHeight="1">
      <c r="A1569" s="4">
        <v>591.0</v>
      </c>
      <c r="B1569" s="4">
        <v>4034.0</v>
      </c>
      <c r="C1569" s="5">
        <f t="shared" ref="C1569:C1570" si="693">DATE(2012,12,31)-779</f>
        <v>40495</v>
      </c>
      <c r="D1569" s="4" t="s">
        <v>45</v>
      </c>
      <c r="E1569" s="4">
        <v>44.0</v>
      </c>
      <c r="F1569" s="4">
        <v>3367.24</v>
      </c>
      <c r="G1569" s="4">
        <v>0.07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2"/>
        <v>40496</v>
      </c>
    </row>
    <row r="1570" ht="12.75" customHeight="1">
      <c r="A1570" s="4">
        <v>592.0</v>
      </c>
      <c r="B1570" s="4">
        <v>4034.0</v>
      </c>
      <c r="C1570" s="5">
        <f t="shared" si="693"/>
        <v>40495</v>
      </c>
      <c r="D1570" s="4" t="s">
        <v>45</v>
      </c>
      <c r="E1570" s="4">
        <v>37.0</v>
      </c>
      <c r="F1570" s="4">
        <v>5723.24</v>
      </c>
      <c r="G1570" s="4">
        <v>0.0</v>
      </c>
      <c r="H1570" s="4" t="s">
        <v>31</v>
      </c>
      <c r="I1570" s="6">
        <v>-194.967</v>
      </c>
      <c r="J1570" s="4">
        <v>145.98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2"/>
        <v>40496</v>
      </c>
    </row>
    <row r="1571" ht="12.75" customHeight="1">
      <c r="A1571" s="4">
        <v>593.0</v>
      </c>
      <c r="B1571" s="4">
        <v>4037.0</v>
      </c>
      <c r="C1571" s="5">
        <f>DATE(2012,12,31)-1014</f>
        <v>40260</v>
      </c>
      <c r="D1571" s="4" t="s">
        <v>30</v>
      </c>
      <c r="E1571" s="4">
        <v>27.0</v>
      </c>
      <c r="F1571" s="4">
        <v>188.07</v>
      </c>
      <c r="G1571" s="4">
        <v>0.0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2"/>
        <v>40261</v>
      </c>
    </row>
    <row r="1572" ht="12.75" customHeight="1">
      <c r="A1572" s="4">
        <v>775.0</v>
      </c>
      <c r="B1572" s="4">
        <v>5538.0</v>
      </c>
      <c r="C1572" s="5">
        <f t="shared" ref="C1572:C1574" si="694">DATE(2012,12,31)-738</f>
        <v>40536</v>
      </c>
      <c r="D1572" s="4" t="s">
        <v>78</v>
      </c>
      <c r="E1572" s="4">
        <v>43.0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ht="12.75" customHeight="1">
      <c r="A1573" s="4">
        <v>776.0</v>
      </c>
      <c r="B1573" s="4">
        <v>5538.0</v>
      </c>
      <c r="C1573" s="5">
        <f t="shared" si="694"/>
        <v>40536</v>
      </c>
      <c r="D1573" s="4" t="s">
        <v>78</v>
      </c>
      <c r="E1573" s="4">
        <v>13.0</v>
      </c>
      <c r="F1573" s="4">
        <v>1940.31</v>
      </c>
      <c r="G1573" s="4">
        <v>0.03</v>
      </c>
      <c r="H1573" s="4" t="s">
        <v>31</v>
      </c>
      <c r="I1573" s="6">
        <v>-668.187</v>
      </c>
      <c r="J1573" s="4">
        <v>146.05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ht="12.75" customHeight="1">
      <c r="A1574" s="4">
        <v>777.0</v>
      </c>
      <c r="B1574" s="4">
        <v>5538.0</v>
      </c>
      <c r="C1574" s="5">
        <f t="shared" si="694"/>
        <v>40536</v>
      </c>
      <c r="D1574" s="4" t="s">
        <v>78</v>
      </c>
      <c r="E1574" s="4">
        <v>4.0</v>
      </c>
      <c r="F1574" s="4">
        <v>430.848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ht="12.75" customHeight="1">
      <c r="A1575" s="4">
        <v>814.0</v>
      </c>
      <c r="B1575" s="4">
        <v>5863.0</v>
      </c>
      <c r="C1575" s="5">
        <f>DATE(2012,12,31)-771</f>
        <v>40503</v>
      </c>
      <c r="D1575" s="4" t="s">
        <v>63</v>
      </c>
      <c r="E1575" s="4">
        <v>40.0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ht="12.75" customHeight="1">
      <c r="A1576" s="4">
        <v>997.0</v>
      </c>
      <c r="B1576" s="4">
        <v>7175.0</v>
      </c>
      <c r="C1576" s="5">
        <f>DATE(2012,12,31)-1058</f>
        <v>40216</v>
      </c>
      <c r="D1576" s="4" t="s">
        <v>78</v>
      </c>
      <c r="E1576" s="4">
        <v>10.0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5">C1576+2</f>
        <v>40218</v>
      </c>
    </row>
    <row r="1577" ht="12.75" customHeight="1">
      <c r="A1577" s="4">
        <v>1008.0</v>
      </c>
      <c r="B1577" s="4">
        <v>7364.0</v>
      </c>
      <c r="C1577" s="5">
        <f>DATE(2012,12,31)-1333</f>
        <v>39941</v>
      </c>
      <c r="D1577" s="4" t="s">
        <v>30</v>
      </c>
      <c r="E1577" s="4">
        <v>15.0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5"/>
        <v>39943</v>
      </c>
    </row>
    <row r="1578" ht="12.75" customHeight="1">
      <c r="A1578" s="4">
        <v>1068.0</v>
      </c>
      <c r="B1578" s="4">
        <v>7878.0</v>
      </c>
      <c r="C1578" s="5">
        <f t="shared" ref="C1578:C1580" si="696">DATE(2012,12,31)-610</f>
        <v>40664</v>
      </c>
      <c r="D1578" s="4" t="s">
        <v>78</v>
      </c>
      <c r="E1578" s="4">
        <v>50.0</v>
      </c>
      <c r="F1578" s="4">
        <v>3904.12</v>
      </c>
      <c r="G1578" s="4">
        <v>0.07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ht="12.75" customHeight="1">
      <c r="A1579" s="4">
        <v>1069.0</v>
      </c>
      <c r="B1579" s="4">
        <v>7878.0</v>
      </c>
      <c r="C1579" s="5">
        <f t="shared" si="696"/>
        <v>40664</v>
      </c>
      <c r="D1579" s="4" t="s">
        <v>78</v>
      </c>
      <c r="E1579" s="4">
        <v>41.0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ht="12.75" customHeight="1">
      <c r="A1580" s="4">
        <v>1070.0</v>
      </c>
      <c r="B1580" s="4">
        <v>7878.0</v>
      </c>
      <c r="C1580" s="5">
        <f t="shared" si="696"/>
        <v>40664</v>
      </c>
      <c r="D1580" s="4" t="s">
        <v>21</v>
      </c>
      <c r="E1580" s="4">
        <v>42.0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ht="12.75" customHeight="1">
      <c r="A1581" s="4">
        <v>1171.0</v>
      </c>
      <c r="B1581" s="4">
        <v>8551.0</v>
      </c>
      <c r="C1581" s="5">
        <f t="shared" ref="C1581:C1582" si="697">DATE(2012,12,31)-1251</f>
        <v>40023</v>
      </c>
      <c r="D1581" s="4" t="s">
        <v>78</v>
      </c>
      <c r="E1581" s="4">
        <v>25.0</v>
      </c>
      <c r="F1581" s="4">
        <v>185.64</v>
      </c>
      <c r="G1581" s="4">
        <v>0.1</v>
      </c>
      <c r="H1581" s="4" t="s">
        <v>22</v>
      </c>
      <c r="I1581" s="6">
        <v>-69.874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ht="12.75" customHeight="1">
      <c r="A1582" s="4">
        <v>1172.0</v>
      </c>
      <c r="B1582" s="4">
        <v>8551.0</v>
      </c>
      <c r="C1582" s="5">
        <f t="shared" si="697"/>
        <v>40023</v>
      </c>
      <c r="D1582" s="4" t="s">
        <v>78</v>
      </c>
      <c r="E1582" s="4">
        <v>34.0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ht="12.75" customHeight="1">
      <c r="A1583" s="4">
        <v>1207.0</v>
      </c>
      <c r="B1583" s="4">
        <v>8834.0</v>
      </c>
      <c r="C1583" s="5">
        <f>DATE(2012,12,31)-784</f>
        <v>40490</v>
      </c>
      <c r="D1583" s="4" t="s">
        <v>30</v>
      </c>
      <c r="E1583" s="4">
        <v>1.0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8">C1583+1</f>
        <v>40491</v>
      </c>
    </row>
    <row r="1584" ht="12.75" customHeight="1">
      <c r="A1584" s="4">
        <v>1261.0</v>
      </c>
      <c r="B1584" s="4">
        <v>9155.0</v>
      </c>
      <c r="C1584" s="5">
        <f>DATE(2012,12,31)-123</f>
        <v>41151</v>
      </c>
      <c r="D1584" s="4" t="s">
        <v>78</v>
      </c>
      <c r="E1584" s="4">
        <v>17.0</v>
      </c>
      <c r="F1584" s="4">
        <v>518.8</v>
      </c>
      <c r="G1584" s="4">
        <v>0.1</v>
      </c>
      <c r="H1584" s="4" t="s">
        <v>22</v>
      </c>
      <c r="I1584" s="6">
        <v>54.62949999999999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8"/>
        <v>41152</v>
      </c>
    </row>
    <row r="1585" ht="12.75" customHeight="1">
      <c r="A1585" s="4">
        <v>1325.0</v>
      </c>
      <c r="B1585" s="4">
        <v>9668.0</v>
      </c>
      <c r="C1585" s="5">
        <f>DATE(2012,12,31)-1212</f>
        <v>40062</v>
      </c>
      <c r="D1585" s="4" t="s">
        <v>21</v>
      </c>
      <c r="E1585" s="4">
        <v>10.0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ht="12.75" customHeight="1">
      <c r="A1586" s="4">
        <v>1408.0</v>
      </c>
      <c r="B1586" s="4">
        <v>10242.0</v>
      </c>
      <c r="C1586" s="5">
        <f>DATE(2012,12,31)-750</f>
        <v>40524</v>
      </c>
      <c r="D1586" s="4" t="s">
        <v>63</v>
      </c>
      <c r="E1586" s="4">
        <v>32.0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ht="12.75" customHeight="1">
      <c r="A1587" s="4">
        <v>1711.0</v>
      </c>
      <c r="B1587" s="4">
        <v>12292.0</v>
      </c>
      <c r="C1587" s="5">
        <f>DATE(2012,12,31)-212</f>
        <v>41062</v>
      </c>
      <c r="D1587" s="4" t="s">
        <v>45</v>
      </c>
      <c r="E1587" s="4">
        <v>32.0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ht="12.75" customHeight="1">
      <c r="A1588" s="4">
        <v>2035.0</v>
      </c>
      <c r="B1588" s="4">
        <v>14503.0</v>
      </c>
      <c r="C1588" s="5">
        <f>DATE(2012,12,31)-695</f>
        <v>40579</v>
      </c>
      <c r="D1588" s="4" t="s">
        <v>45</v>
      </c>
      <c r="E1588" s="4">
        <v>14.0</v>
      </c>
      <c r="F1588" s="4">
        <v>438.47</v>
      </c>
      <c r="G1588" s="4">
        <v>0.02</v>
      </c>
      <c r="H1588" s="4" t="s">
        <v>56</v>
      </c>
      <c r="I1588" s="6">
        <v>157.8875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ht="12.75" customHeight="1">
      <c r="A1589" s="4">
        <v>2118.0</v>
      </c>
      <c r="B1589" s="4">
        <v>15109.0</v>
      </c>
      <c r="C1589" s="5">
        <f t="shared" ref="C1589:C1593" si="699">DATE(2012,12,31)-748</f>
        <v>40526</v>
      </c>
      <c r="D1589" s="4" t="s">
        <v>45</v>
      </c>
      <c r="E1589" s="4">
        <v>11.0</v>
      </c>
      <c r="F1589" s="4">
        <v>230.72</v>
      </c>
      <c r="G1589" s="4">
        <v>0.08</v>
      </c>
      <c r="H1589" s="4" t="s">
        <v>22</v>
      </c>
      <c r="I1589" s="6">
        <v>-68.76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ht="12.75" customHeight="1">
      <c r="A1590" s="4">
        <v>2119.0</v>
      </c>
      <c r="B1590" s="4">
        <v>15109.0</v>
      </c>
      <c r="C1590" s="5">
        <f t="shared" si="699"/>
        <v>40526</v>
      </c>
      <c r="D1590" s="4" t="s">
        <v>45</v>
      </c>
      <c r="E1590" s="4">
        <v>45.0</v>
      </c>
      <c r="F1590" s="4">
        <v>293.47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700">C1590+2</f>
        <v>40528</v>
      </c>
    </row>
    <row r="1591" ht="12.75" customHeight="1">
      <c r="A1591" s="4">
        <v>2120.0</v>
      </c>
      <c r="B1591" s="4">
        <v>15109.0</v>
      </c>
      <c r="C1591" s="5">
        <f t="shared" si="699"/>
        <v>40526</v>
      </c>
      <c r="D1591" s="4" t="s">
        <v>45</v>
      </c>
      <c r="E1591" s="4">
        <v>33.0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700"/>
        <v>40528</v>
      </c>
    </row>
    <row r="1592" ht="12.75" customHeight="1">
      <c r="A1592" s="4">
        <v>2121.0</v>
      </c>
      <c r="B1592" s="4">
        <v>15109.0</v>
      </c>
      <c r="C1592" s="5">
        <f t="shared" si="699"/>
        <v>40526</v>
      </c>
      <c r="D1592" s="4" t="s">
        <v>45</v>
      </c>
      <c r="E1592" s="4">
        <v>23.0</v>
      </c>
      <c r="F1592" s="4">
        <v>262.78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0.57</v>
      </c>
      <c r="U1592" s="5">
        <f>C1592+1</f>
        <v>40527</v>
      </c>
    </row>
    <row r="1593" ht="12.75" customHeight="1">
      <c r="A1593" s="4">
        <v>2122.0</v>
      </c>
      <c r="B1593" s="4">
        <v>15109.0</v>
      </c>
      <c r="C1593" s="5">
        <f t="shared" si="699"/>
        <v>40526</v>
      </c>
      <c r="D1593" s="4" t="s">
        <v>45</v>
      </c>
      <c r="E1593" s="4">
        <v>10.0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9.37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</v>
      </c>
      <c r="U1593" s="5">
        <f t="shared" ref="U1593:U1595" si="701">C1593+2</f>
        <v>40528</v>
      </c>
    </row>
    <row r="1594" ht="12.75" customHeight="1">
      <c r="A1594" s="4">
        <v>2126.0</v>
      </c>
      <c r="B1594" s="4">
        <v>15142.0</v>
      </c>
      <c r="C1594" s="5">
        <f>DATE(2012,12,31)-271</f>
        <v>41003</v>
      </c>
      <c r="D1594" s="4" t="s">
        <v>45</v>
      </c>
      <c r="E1594" s="4">
        <v>21.0</v>
      </c>
      <c r="F1594" s="4">
        <v>330.22</v>
      </c>
      <c r="G1594" s="4">
        <v>0.07</v>
      </c>
      <c r="H1594" s="4" t="s">
        <v>22</v>
      </c>
      <c r="I1594" s="6">
        <v>-51.7155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1"/>
        <v>41005</v>
      </c>
    </row>
    <row r="1595" ht="12.75" customHeight="1">
      <c r="A1595" s="4">
        <v>2146.0</v>
      </c>
      <c r="B1595" s="4">
        <v>15332.0</v>
      </c>
      <c r="C1595" s="5">
        <f>DATE(2012,12,31)-946</f>
        <v>40328</v>
      </c>
      <c r="D1595" s="4" t="s">
        <v>45</v>
      </c>
      <c r="E1595" s="4">
        <v>6.0</v>
      </c>
      <c r="F1595" s="4">
        <v>321.71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1"/>
        <v>40330</v>
      </c>
    </row>
    <row r="1596" ht="12.75" customHeight="1">
      <c r="A1596" s="4">
        <v>2199.0</v>
      </c>
      <c r="B1596" s="4">
        <v>15872.0</v>
      </c>
      <c r="C1596" s="5">
        <f t="shared" ref="C1596:C1598" si="702">DATE(2012,12,31)-62</f>
        <v>41212</v>
      </c>
      <c r="D1596" s="4" t="s">
        <v>45</v>
      </c>
      <c r="E1596" s="4">
        <v>48.0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0.57</v>
      </c>
      <c r="U1596" s="5">
        <f>C1596+0</f>
        <v>41212</v>
      </c>
    </row>
    <row r="1597" ht="12.75" customHeight="1">
      <c r="A1597" s="4">
        <v>2200.0</v>
      </c>
      <c r="B1597" s="4">
        <v>15872.0</v>
      </c>
      <c r="C1597" s="5">
        <f t="shared" si="702"/>
        <v>41212</v>
      </c>
      <c r="D1597" s="4" t="s">
        <v>45</v>
      </c>
      <c r="E1597" s="4">
        <v>23.0</v>
      </c>
      <c r="F1597" s="4">
        <v>188.53</v>
      </c>
      <c r="G1597" s="4">
        <v>0.0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ht="12.75" customHeight="1">
      <c r="A1598" s="4">
        <v>2201.0</v>
      </c>
      <c r="B1598" s="4">
        <v>15872.0</v>
      </c>
      <c r="C1598" s="5">
        <f t="shared" si="702"/>
        <v>41212</v>
      </c>
      <c r="D1598" s="4" t="s">
        <v>45</v>
      </c>
      <c r="E1598" s="4">
        <v>19.0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ht="12.75" customHeight="1">
      <c r="A1599" s="4">
        <v>2216.0</v>
      </c>
      <c r="B1599" s="4">
        <v>16032.0</v>
      </c>
      <c r="C1599" s="5">
        <f>DATE(2012,12,31)-1122</f>
        <v>40152</v>
      </c>
      <c r="D1599" s="4" t="s">
        <v>21</v>
      </c>
      <c r="E1599" s="4">
        <v>35.0</v>
      </c>
      <c r="F1599" s="4">
        <v>436.98</v>
      </c>
      <c r="G1599" s="4">
        <v>0.07</v>
      </c>
      <c r="H1599" s="4" t="s">
        <v>22</v>
      </c>
      <c r="I1599" s="6">
        <v>75.61</v>
      </c>
      <c r="J1599" s="4">
        <v>12.64</v>
      </c>
      <c r="K1599" s="4">
        <v>4.98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ht="12.75" customHeight="1">
      <c r="A1600" s="4">
        <v>2242.0</v>
      </c>
      <c r="B1600" s="4">
        <v>16165.0</v>
      </c>
      <c r="C1600" s="5">
        <f t="shared" ref="C1600:C1602" si="703">DATE(2012,12,31)-893</f>
        <v>40381</v>
      </c>
      <c r="D1600" s="4" t="s">
        <v>45</v>
      </c>
      <c r="E1600" s="4">
        <v>4.0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4.0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ht="12.75" customHeight="1">
      <c r="A1601" s="4">
        <v>2243.0</v>
      </c>
      <c r="B1601" s="4">
        <v>16165.0</v>
      </c>
      <c r="C1601" s="5">
        <f t="shared" si="703"/>
        <v>40381</v>
      </c>
      <c r="D1601" s="4" t="s">
        <v>45</v>
      </c>
      <c r="E1601" s="4">
        <v>24.0</v>
      </c>
      <c r="F1601" s="4">
        <v>1452.48</v>
      </c>
      <c r="G1601" s="4">
        <v>0.07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ht="12.75" customHeight="1">
      <c r="A1602" s="4">
        <v>2244.0</v>
      </c>
      <c r="B1602" s="4">
        <v>16165.0</v>
      </c>
      <c r="C1602" s="5">
        <f t="shared" si="703"/>
        <v>40381</v>
      </c>
      <c r="D1602" s="4" t="s">
        <v>45</v>
      </c>
      <c r="E1602" s="4">
        <v>19.0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19.99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ht="12.75" customHeight="1">
      <c r="A1603" s="4">
        <v>2426.0</v>
      </c>
      <c r="B1603" s="4">
        <v>17632.0</v>
      </c>
      <c r="C1603" s="5">
        <f>DATE(2012,12,31)-1044</f>
        <v>40230</v>
      </c>
      <c r="D1603" s="4" t="s">
        <v>63</v>
      </c>
      <c r="E1603" s="4">
        <v>38.0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ht="12.75" customHeight="1">
      <c r="A1604" s="4">
        <v>2691.0</v>
      </c>
      <c r="B1604" s="4">
        <v>19492.0</v>
      </c>
      <c r="C1604" s="5">
        <f t="shared" ref="C1604:C1605" si="704">DATE(2012,12,31)-750</f>
        <v>40524</v>
      </c>
      <c r="D1604" s="4" t="s">
        <v>30</v>
      </c>
      <c r="E1604" s="4">
        <v>9.0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19.99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ht="12.75" customHeight="1">
      <c r="A1605" s="4">
        <v>2692.0</v>
      </c>
      <c r="B1605" s="4">
        <v>19492.0</v>
      </c>
      <c r="C1605" s="5">
        <f t="shared" si="704"/>
        <v>40524</v>
      </c>
      <c r="D1605" s="4" t="s">
        <v>30</v>
      </c>
      <c r="E1605" s="4">
        <v>33.0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</v>
      </c>
      <c r="U1605" s="5">
        <f t="shared" ref="U1605:U1608" si="705">C1605+1</f>
        <v>40525</v>
      </c>
    </row>
    <row r="1606" ht="12.75" customHeight="1">
      <c r="A1606" s="4">
        <v>2786.0</v>
      </c>
      <c r="B1606" s="4">
        <v>20102.0</v>
      </c>
      <c r="C1606" s="5">
        <f>DATE(2012,12,31)-575</f>
        <v>40699</v>
      </c>
      <c r="D1606" s="4" t="s">
        <v>30</v>
      </c>
      <c r="E1606" s="4">
        <v>15.0</v>
      </c>
      <c r="F1606" s="4">
        <v>333.3</v>
      </c>
      <c r="G1606" s="4">
        <v>0.03</v>
      </c>
      <c r="H1606" s="4" t="s">
        <v>22</v>
      </c>
      <c r="I1606" s="6">
        <v>71.04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5"/>
        <v>40700</v>
      </c>
    </row>
    <row r="1607" ht="12.75" customHeight="1">
      <c r="A1607" s="4">
        <v>3050.0</v>
      </c>
      <c r="B1607" s="4">
        <v>21863.0</v>
      </c>
      <c r="C1607" s="5">
        <f t="shared" ref="C1607:C1608" si="706">DATE(2012,12,31)-771</f>
        <v>40503</v>
      </c>
      <c r="D1607" s="4" t="s">
        <v>45</v>
      </c>
      <c r="E1607" s="4">
        <v>27.0</v>
      </c>
      <c r="F1607" s="4">
        <v>85.77</v>
      </c>
      <c r="G1607" s="4">
        <v>0.03</v>
      </c>
      <c r="H1607" s="4" t="s">
        <v>22</v>
      </c>
      <c r="I1607" s="6">
        <v>-102.0165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5"/>
        <v>40504</v>
      </c>
    </row>
    <row r="1608" ht="12.75" customHeight="1">
      <c r="A1608" s="4">
        <v>3051.0</v>
      </c>
      <c r="B1608" s="4">
        <v>21863.0</v>
      </c>
      <c r="C1608" s="5">
        <f t="shared" si="706"/>
        <v>40503</v>
      </c>
      <c r="D1608" s="4" t="s">
        <v>45</v>
      </c>
      <c r="E1608" s="4">
        <v>13.0</v>
      </c>
      <c r="F1608" s="4">
        <v>149.31</v>
      </c>
      <c r="G1608" s="4">
        <v>0.0</v>
      </c>
      <c r="H1608" s="4" t="s">
        <v>22</v>
      </c>
      <c r="I1608" s="6">
        <v>7.769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5"/>
        <v>40504</v>
      </c>
    </row>
    <row r="1609" ht="12.75" customHeight="1">
      <c r="A1609" s="4">
        <v>3058.0</v>
      </c>
      <c r="B1609" s="4">
        <v>21894.0</v>
      </c>
      <c r="C1609" s="5">
        <f>DATE(2012,12,31)-379</f>
        <v>40895</v>
      </c>
      <c r="D1609" s="4" t="s">
        <v>78</v>
      </c>
      <c r="E1609" s="4">
        <v>6.0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2.03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ht="12.75" customHeight="1">
      <c r="A1610" s="4">
        <v>3072.0</v>
      </c>
      <c r="B1610" s="4">
        <v>22022.0</v>
      </c>
      <c r="C1610" s="5">
        <f>DATE(2012,12,31)-1003</f>
        <v>40271</v>
      </c>
      <c r="D1610" s="4" t="s">
        <v>78</v>
      </c>
      <c r="E1610" s="4">
        <v>1.0</v>
      </c>
      <c r="F1610" s="4">
        <v>1409.86</v>
      </c>
      <c r="G1610" s="4">
        <v>0.07</v>
      </c>
      <c r="H1610" s="4" t="s">
        <v>31</v>
      </c>
      <c r="I1610" s="6">
        <v>-3461.121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0.57</v>
      </c>
      <c r="U1610" s="5">
        <f>C1610+1</f>
        <v>40272</v>
      </c>
    </row>
    <row r="1611" ht="12.75" customHeight="1">
      <c r="A1611" s="4">
        <v>3159.0</v>
      </c>
      <c r="B1611" s="4">
        <v>22663.0</v>
      </c>
      <c r="C1611" s="5">
        <f t="shared" ref="C1611:C1612" si="707">DATE(2012,12,31)-355</f>
        <v>40919</v>
      </c>
      <c r="D1611" s="4" t="s">
        <v>21</v>
      </c>
      <c r="E1611" s="4">
        <v>35.0</v>
      </c>
      <c r="F1611" s="4">
        <v>9843.11</v>
      </c>
      <c r="G1611" s="4">
        <v>0.07</v>
      </c>
      <c r="H1611" s="4" t="s">
        <v>31</v>
      </c>
      <c r="I1611" s="6">
        <v>-384.6</v>
      </c>
      <c r="J1611" s="4">
        <v>280.98</v>
      </c>
      <c r="K1611" s="4">
        <v>57.0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ht="12.75" customHeight="1">
      <c r="A1612" s="4">
        <v>3160.0</v>
      </c>
      <c r="B1612" s="4">
        <v>22663.0</v>
      </c>
      <c r="C1612" s="5">
        <f t="shared" si="707"/>
        <v>40919</v>
      </c>
      <c r="D1612" s="4" t="s">
        <v>21</v>
      </c>
      <c r="E1612" s="4">
        <v>15.0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ht="12.75" customHeight="1">
      <c r="A1613" s="4">
        <v>3317.0</v>
      </c>
      <c r="B1613" s="4">
        <v>23713.0</v>
      </c>
      <c r="C1613" s="5">
        <f>DATE(2012,12,31)-33</f>
        <v>41241</v>
      </c>
      <c r="D1613" s="4" t="s">
        <v>45</v>
      </c>
      <c r="E1613" s="4">
        <v>38.0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0.58</v>
      </c>
      <c r="U1613" s="5">
        <f>C1613+3</f>
        <v>41244</v>
      </c>
    </row>
    <row r="1614" ht="12.75" customHeight="1">
      <c r="A1614" s="4">
        <v>3411.0</v>
      </c>
      <c r="B1614" s="4">
        <v>24358.0</v>
      </c>
      <c r="C1614" s="5">
        <f>DATE(2012,12,31)-1325</f>
        <v>39949</v>
      </c>
      <c r="D1614" s="4" t="s">
        <v>78</v>
      </c>
      <c r="E1614" s="4">
        <v>27.0</v>
      </c>
      <c r="F1614" s="4">
        <v>7333.45</v>
      </c>
      <c r="G1614" s="4">
        <v>0.07</v>
      </c>
      <c r="H1614" s="4" t="s">
        <v>22</v>
      </c>
      <c r="I1614" s="6">
        <v>-207.28</v>
      </c>
      <c r="J1614" s="4">
        <v>279.48</v>
      </c>
      <c r="K1614" s="4">
        <v>35.0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ht="12.75" customHeight="1">
      <c r="A1615" s="4">
        <v>3415.0</v>
      </c>
      <c r="B1615" s="4">
        <v>24386.0</v>
      </c>
      <c r="C1615" s="5">
        <f t="shared" ref="C1615:C1617" si="708">DATE(2012,12,31)-188</f>
        <v>41086</v>
      </c>
      <c r="D1615" s="4" t="s">
        <v>30</v>
      </c>
      <c r="E1615" s="4">
        <v>41.0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9">C1615+2</f>
        <v>41088</v>
      </c>
    </row>
    <row r="1616" ht="12.75" customHeight="1">
      <c r="A1616" s="4">
        <v>3416.0</v>
      </c>
      <c r="B1616" s="4">
        <v>24386.0</v>
      </c>
      <c r="C1616" s="5">
        <f t="shared" si="708"/>
        <v>41086</v>
      </c>
      <c r="D1616" s="4" t="s">
        <v>30</v>
      </c>
      <c r="E1616" s="4">
        <v>12.0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9"/>
        <v>41088</v>
      </c>
    </row>
    <row r="1617" ht="12.75" customHeight="1">
      <c r="A1617" s="4">
        <v>3417.0</v>
      </c>
      <c r="B1617" s="4">
        <v>24386.0</v>
      </c>
      <c r="C1617" s="5">
        <f t="shared" si="708"/>
        <v>41086</v>
      </c>
      <c r="D1617" s="4" t="s">
        <v>30</v>
      </c>
      <c r="E1617" s="4">
        <v>15.0</v>
      </c>
      <c r="F1617" s="4">
        <v>76.94</v>
      </c>
      <c r="G1617" s="4">
        <v>0.0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ht="12.75" customHeight="1">
      <c r="A1618" s="4">
        <v>3494.0</v>
      </c>
      <c r="B1618" s="4">
        <v>24899.0</v>
      </c>
      <c r="C1618" s="5">
        <f>DATE(2012,12,31)-499</f>
        <v>40775</v>
      </c>
      <c r="D1618" s="4" t="s">
        <v>45</v>
      </c>
      <c r="E1618" s="4">
        <v>37.0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10">C1618+2</f>
        <v>40777</v>
      </c>
    </row>
    <row r="1619" ht="12.75" customHeight="1">
      <c r="A1619" s="4">
        <v>3571.0</v>
      </c>
      <c r="B1619" s="4">
        <v>25473.0</v>
      </c>
      <c r="C1619" s="5">
        <f t="shared" ref="C1619:C1620" si="711">DATE(2012,12,31)-78</f>
        <v>41196</v>
      </c>
      <c r="D1619" s="4" t="s">
        <v>30</v>
      </c>
      <c r="E1619" s="4">
        <v>36.0</v>
      </c>
      <c r="F1619" s="4">
        <v>17304.85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10"/>
        <v>41198</v>
      </c>
    </row>
    <row r="1620" ht="12.75" customHeight="1">
      <c r="A1620" s="4">
        <v>3572.0</v>
      </c>
      <c r="B1620" s="4">
        <v>25473.0</v>
      </c>
      <c r="C1620" s="5">
        <f t="shared" si="711"/>
        <v>41196</v>
      </c>
      <c r="D1620" s="4" t="s">
        <v>30</v>
      </c>
      <c r="E1620" s="4">
        <v>20.0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ht="12.75" customHeight="1">
      <c r="A1621" s="4">
        <v>3596.0</v>
      </c>
      <c r="B1621" s="4">
        <v>25638.0</v>
      </c>
      <c r="C1621" s="5">
        <f t="shared" ref="C1621:C1622" si="712">DATE(2012,12,31)-1243</f>
        <v>40031</v>
      </c>
      <c r="D1621" s="4" t="s">
        <v>30</v>
      </c>
      <c r="E1621" s="4">
        <v>31.0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4.89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3">C1621+1</f>
        <v>40032</v>
      </c>
    </row>
    <row r="1622" ht="12.75" customHeight="1">
      <c r="A1622" s="4">
        <v>3597.0</v>
      </c>
      <c r="B1622" s="4">
        <v>25638.0</v>
      </c>
      <c r="C1622" s="5">
        <f t="shared" si="712"/>
        <v>40031</v>
      </c>
      <c r="D1622" s="4" t="s">
        <v>30</v>
      </c>
      <c r="E1622" s="4">
        <v>12.0</v>
      </c>
      <c r="F1622" s="4">
        <v>115.45</v>
      </c>
      <c r="G1622" s="4">
        <v>0.07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3"/>
        <v>40032</v>
      </c>
    </row>
    <row r="1623" ht="12.75" customHeight="1">
      <c r="A1623" s="4">
        <v>3638.0</v>
      </c>
      <c r="B1623" s="4">
        <v>26016.0</v>
      </c>
      <c r="C1623" s="5">
        <f t="shared" ref="C1623:C1624" si="714">DATE(2012,12,31)-1181</f>
        <v>40093</v>
      </c>
      <c r="D1623" s="4" t="s">
        <v>30</v>
      </c>
      <c r="E1623" s="4">
        <v>2.0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</v>
      </c>
      <c r="K1623" s="4">
        <v>4.0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5">C1623+2</f>
        <v>40095</v>
      </c>
    </row>
    <row r="1624" ht="12.75" customHeight="1">
      <c r="A1624" s="4">
        <v>3639.0</v>
      </c>
      <c r="B1624" s="4">
        <v>26016.0</v>
      </c>
      <c r="C1624" s="5">
        <f t="shared" si="714"/>
        <v>40093</v>
      </c>
      <c r="D1624" s="4" t="s">
        <v>30</v>
      </c>
      <c r="E1624" s="4">
        <v>44.0</v>
      </c>
      <c r="F1624" s="4">
        <v>1642.642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</v>
      </c>
      <c r="U1624" s="5">
        <f t="shared" si="715"/>
        <v>40095</v>
      </c>
    </row>
    <row r="1625" ht="12.75" customHeight="1">
      <c r="A1625" s="4">
        <v>3659.0</v>
      </c>
      <c r="B1625" s="4">
        <v>26182.0</v>
      </c>
      <c r="C1625" s="5">
        <f>DATE(2012,12,31)-1080</f>
        <v>40194</v>
      </c>
      <c r="D1625" s="4" t="s">
        <v>45</v>
      </c>
      <c r="E1625" s="4">
        <v>4.0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0.58</v>
      </c>
      <c r="U1625" s="5">
        <f>C1625+0</f>
        <v>40194</v>
      </c>
    </row>
    <row r="1626" ht="12.75" customHeight="1">
      <c r="A1626" s="4">
        <v>3735.0</v>
      </c>
      <c r="B1626" s="4">
        <v>26691.0</v>
      </c>
      <c r="C1626" s="5">
        <f>DATE(2012,12,31)-150</f>
        <v>41124</v>
      </c>
      <c r="D1626" s="4" t="s">
        <v>45</v>
      </c>
      <c r="E1626" s="4">
        <v>37.0</v>
      </c>
      <c r="F1626" s="4">
        <v>270.43</v>
      </c>
      <c r="G1626" s="4">
        <v>0.07</v>
      </c>
      <c r="H1626" s="4" t="s">
        <v>22</v>
      </c>
      <c r="I1626" s="6">
        <v>-83.15650000000001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ht="12.75" customHeight="1">
      <c r="A1627" s="4">
        <v>3793.0</v>
      </c>
      <c r="B1627" s="4">
        <v>27015.0</v>
      </c>
      <c r="C1627" s="5">
        <f>DATE(2012,12,31)-366</f>
        <v>40908</v>
      </c>
      <c r="D1627" s="4" t="s">
        <v>21</v>
      </c>
      <c r="E1627" s="4">
        <v>24.0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</v>
      </c>
      <c r="U1627" s="5">
        <f>C1627+0</f>
        <v>40908</v>
      </c>
    </row>
    <row r="1628" ht="12.75" customHeight="1">
      <c r="A1628" s="4">
        <v>3902.0</v>
      </c>
      <c r="B1628" s="4">
        <v>27840.0</v>
      </c>
      <c r="C1628" s="5">
        <f>DATE(2012,12,31)-1277</f>
        <v>39997</v>
      </c>
      <c r="D1628" s="4" t="s">
        <v>30</v>
      </c>
      <c r="E1628" s="4">
        <v>8.0</v>
      </c>
      <c r="F1628" s="4">
        <v>1209.37</v>
      </c>
      <c r="G1628" s="4">
        <v>0.09</v>
      </c>
      <c r="H1628" s="4" t="s">
        <v>31</v>
      </c>
      <c r="I1628" s="6">
        <v>-407.85</v>
      </c>
      <c r="J1628" s="4">
        <v>150.98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ht="12.75" customHeight="1">
      <c r="A1629" s="4">
        <v>3945.0</v>
      </c>
      <c r="B1629" s="4">
        <v>28130.0</v>
      </c>
      <c r="C1629" s="5">
        <f t="shared" ref="C1629:C1630" si="716">DATE(2012,12,31)-1250</f>
        <v>40024</v>
      </c>
      <c r="D1629" s="4" t="s">
        <v>21</v>
      </c>
      <c r="E1629" s="4">
        <v>23.0</v>
      </c>
      <c r="F1629" s="4">
        <v>404.24</v>
      </c>
      <c r="G1629" s="4">
        <v>0.02</v>
      </c>
      <c r="H1629" s="4" t="s">
        <v>56</v>
      </c>
      <c r="I1629" s="6">
        <v>-76.9925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ht="12.75" customHeight="1">
      <c r="A1630" s="4">
        <v>3946.0</v>
      </c>
      <c r="B1630" s="4">
        <v>28130.0</v>
      </c>
      <c r="C1630" s="5">
        <f t="shared" si="716"/>
        <v>40024</v>
      </c>
      <c r="D1630" s="4" t="s">
        <v>21</v>
      </c>
      <c r="E1630" s="4">
        <v>32.0</v>
      </c>
      <c r="F1630" s="4">
        <v>1381.88</v>
      </c>
      <c r="G1630" s="4">
        <v>0.09</v>
      </c>
      <c r="H1630" s="4" t="s">
        <v>56</v>
      </c>
      <c r="I1630" s="6">
        <v>598.2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ht="12.75" customHeight="1">
      <c r="A1631" s="4">
        <v>3964.0</v>
      </c>
      <c r="B1631" s="4">
        <v>28290.0</v>
      </c>
      <c r="C1631" s="5">
        <f t="shared" ref="C1631:C1632" si="717">DATE(2012,12,31)-1451</f>
        <v>39823</v>
      </c>
      <c r="D1631" s="4" t="s">
        <v>21</v>
      </c>
      <c r="E1631" s="4">
        <v>43.0</v>
      </c>
      <c r="F1631" s="4">
        <v>1307.35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ht="12.75" customHeight="1">
      <c r="A1632" s="4">
        <v>3965.0</v>
      </c>
      <c r="B1632" s="4">
        <v>28290.0</v>
      </c>
      <c r="C1632" s="5">
        <f t="shared" si="717"/>
        <v>39823</v>
      </c>
      <c r="D1632" s="4" t="s">
        <v>21</v>
      </c>
      <c r="E1632" s="4">
        <v>3.0</v>
      </c>
      <c r="F1632" s="4">
        <v>523.58</v>
      </c>
      <c r="G1632" s="4">
        <v>0.01</v>
      </c>
      <c r="H1632" s="4" t="s">
        <v>56</v>
      </c>
      <c r="I1632" s="6">
        <v>-179.36</v>
      </c>
      <c r="J1632" s="4">
        <v>161.55</v>
      </c>
      <c r="K1632" s="4">
        <v>19.99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ht="12.75" customHeight="1">
      <c r="A1633" s="4">
        <v>4211.0</v>
      </c>
      <c r="B1633" s="4">
        <v>29927.0</v>
      </c>
      <c r="C1633" s="5">
        <f>DATE(2012,12,31)-54</f>
        <v>41220</v>
      </c>
      <c r="D1633" s="4" t="s">
        <v>30</v>
      </c>
      <c r="E1633" s="4">
        <v>19.0</v>
      </c>
      <c r="F1633" s="4">
        <v>257.97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ht="12.75" customHeight="1">
      <c r="A1634" s="4">
        <v>4212.0</v>
      </c>
      <c r="B1634" s="4">
        <v>29953.0</v>
      </c>
      <c r="C1634" s="5">
        <f>DATE(2012,12,31)-693</f>
        <v>40581</v>
      </c>
      <c r="D1634" s="4" t="s">
        <v>78</v>
      </c>
      <c r="E1634" s="4">
        <v>42.0</v>
      </c>
      <c r="F1634" s="4">
        <v>619.77</v>
      </c>
      <c r="G1634" s="4">
        <v>0.02</v>
      </c>
      <c r="H1634" s="4" t="s">
        <v>22</v>
      </c>
      <c r="I1634" s="6">
        <v>50.2435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ht="12.75" customHeight="1">
      <c r="A1635" s="4">
        <v>4387.0</v>
      </c>
      <c r="B1635" s="4">
        <v>31238.0</v>
      </c>
      <c r="C1635" s="5">
        <f>DATE(2012,12,31)-862</f>
        <v>40412</v>
      </c>
      <c r="D1635" s="4" t="s">
        <v>63</v>
      </c>
      <c r="E1635" s="4">
        <v>21.0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19.99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0.57</v>
      </c>
      <c r="U1635" s="5">
        <f>C1635+2</f>
        <v>40414</v>
      </c>
    </row>
    <row r="1636" ht="12.75" customHeight="1">
      <c r="A1636" s="4">
        <v>4505.0</v>
      </c>
      <c r="B1636" s="4">
        <v>32067.0</v>
      </c>
      <c r="C1636" s="5">
        <f>DATE(2012,12,31)-294</f>
        <v>40980</v>
      </c>
      <c r="D1636" s="4" t="s">
        <v>30</v>
      </c>
      <c r="E1636" s="4">
        <v>27.0</v>
      </c>
      <c r="F1636" s="4">
        <v>2853.8835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0.58</v>
      </c>
      <c r="U1636" s="5">
        <f>C1636+1</f>
        <v>40981</v>
      </c>
    </row>
    <row r="1637" ht="12.75" customHeight="1">
      <c r="A1637" s="4">
        <v>4527.0</v>
      </c>
      <c r="B1637" s="4">
        <v>32198.0</v>
      </c>
      <c r="C1637" s="5">
        <f>DATE(2012,12,31)-418</f>
        <v>40856</v>
      </c>
      <c r="D1637" s="4" t="s">
        <v>63</v>
      </c>
      <c r="E1637" s="4">
        <v>31.0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ht="12.75" customHeight="1">
      <c r="A1638" s="4">
        <v>4535.0</v>
      </c>
      <c r="B1638" s="4">
        <v>32231.0</v>
      </c>
      <c r="C1638" s="5">
        <f>DATE(2012,12,31)-60</f>
        <v>41214</v>
      </c>
      <c r="D1638" s="4" t="s">
        <v>21</v>
      </c>
      <c r="E1638" s="4">
        <v>44.0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ht="12.75" customHeight="1">
      <c r="A1639" s="4">
        <v>4563.0</v>
      </c>
      <c r="B1639" s="4">
        <v>32452.0</v>
      </c>
      <c r="C1639" s="5">
        <f>DATE(2012,12,31)-532</f>
        <v>40742</v>
      </c>
      <c r="D1639" s="4" t="s">
        <v>63</v>
      </c>
      <c r="E1639" s="4">
        <v>3.0</v>
      </c>
      <c r="F1639" s="4">
        <v>8.6</v>
      </c>
      <c r="G1639" s="4">
        <v>0.09</v>
      </c>
      <c r="H1639" s="4" t="s">
        <v>22</v>
      </c>
      <c r="I1639" s="6">
        <v>-2.03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8">C1639+1</f>
        <v>40743</v>
      </c>
    </row>
    <row r="1640" ht="12.75" customHeight="1">
      <c r="A1640" s="4">
        <v>4637.0</v>
      </c>
      <c r="B1640" s="4">
        <v>32998.0</v>
      </c>
      <c r="C1640" s="5">
        <f>DATE(2012,12,31)-824</f>
        <v>40450</v>
      </c>
      <c r="D1640" s="4" t="s">
        <v>45</v>
      </c>
      <c r="E1640" s="4">
        <v>13.0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130.98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8"/>
        <v>40451</v>
      </c>
    </row>
    <row r="1641" ht="12.75" customHeight="1">
      <c r="A1641" s="4">
        <v>4647.0</v>
      </c>
      <c r="B1641" s="4">
        <v>33091.0</v>
      </c>
      <c r="C1641" s="5">
        <f>DATE(2012,12,31)-706</f>
        <v>40568</v>
      </c>
      <c r="D1641" s="4" t="s">
        <v>30</v>
      </c>
      <c r="E1641" s="4">
        <v>24.0</v>
      </c>
      <c r="F1641" s="4">
        <v>265.35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9">C1641+2</f>
        <v>40570</v>
      </c>
    </row>
    <row r="1642" ht="12.75" customHeight="1">
      <c r="A1642" s="4">
        <v>4672.0</v>
      </c>
      <c r="B1642" s="4">
        <v>33250.0</v>
      </c>
      <c r="C1642" s="5">
        <f>DATE(2012,12,31)-1285</f>
        <v>39989</v>
      </c>
      <c r="D1642" s="4" t="s">
        <v>45</v>
      </c>
      <c r="E1642" s="4">
        <v>40.0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</v>
      </c>
      <c r="U1642" s="5">
        <f t="shared" si="719"/>
        <v>39991</v>
      </c>
    </row>
    <row r="1643" ht="12.75" customHeight="1">
      <c r="A1643" s="4">
        <v>4689.0</v>
      </c>
      <c r="B1643" s="4">
        <v>33378.0</v>
      </c>
      <c r="C1643" s="5">
        <f>DATE(2012,12,31)-248</f>
        <v>41026</v>
      </c>
      <c r="D1643" s="4" t="s">
        <v>30</v>
      </c>
      <c r="E1643" s="4">
        <v>25.0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39.98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ht="12.75" customHeight="1">
      <c r="A1644" s="4">
        <v>4766.0</v>
      </c>
      <c r="B1644" s="4">
        <v>33889.0</v>
      </c>
      <c r="C1644" s="5">
        <f t="shared" ref="C1644:C1647" si="720">DATE(2012,12,31)-786</f>
        <v>40488</v>
      </c>
      <c r="D1644" s="4" t="s">
        <v>21</v>
      </c>
      <c r="E1644" s="4">
        <v>46.0</v>
      </c>
      <c r="F1644" s="4">
        <v>9046.33</v>
      </c>
      <c r="G1644" s="4">
        <v>0.0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0.57</v>
      </c>
      <c r="U1644" s="5">
        <f>C1644+5</f>
        <v>40493</v>
      </c>
    </row>
    <row r="1645" ht="12.75" customHeight="1">
      <c r="A1645" s="4">
        <v>4767.0</v>
      </c>
      <c r="B1645" s="4">
        <v>33889.0</v>
      </c>
      <c r="C1645" s="5">
        <f t="shared" si="720"/>
        <v>40488</v>
      </c>
      <c r="D1645" s="4" t="s">
        <v>21</v>
      </c>
      <c r="E1645" s="4">
        <v>43.0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0.58</v>
      </c>
      <c r="U1645" s="5">
        <f>C1645+7</f>
        <v>40495</v>
      </c>
    </row>
    <row r="1646" ht="12.75" customHeight="1">
      <c r="A1646" s="4">
        <v>4768.0</v>
      </c>
      <c r="B1646" s="4">
        <v>33889.0</v>
      </c>
      <c r="C1646" s="5">
        <f t="shared" si="720"/>
        <v>40488</v>
      </c>
      <c r="D1646" s="4" t="s">
        <v>21</v>
      </c>
      <c r="E1646" s="4">
        <v>27.0</v>
      </c>
      <c r="F1646" s="4">
        <v>159.05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ht="12.75" customHeight="1">
      <c r="A1647" s="4">
        <v>4769.0</v>
      </c>
      <c r="B1647" s="4">
        <v>33889.0</v>
      </c>
      <c r="C1647" s="5">
        <f t="shared" si="720"/>
        <v>40488</v>
      </c>
      <c r="D1647" s="4" t="s">
        <v>21</v>
      </c>
      <c r="E1647" s="4">
        <v>39.0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ht="12.75" customHeight="1">
      <c r="A1648" s="4">
        <v>4858.0</v>
      </c>
      <c r="B1648" s="4">
        <v>34567.0</v>
      </c>
      <c r="C1648" s="5">
        <f>DATE(2012,12,31)-1345</f>
        <v>39929</v>
      </c>
      <c r="D1648" s="4" t="s">
        <v>21</v>
      </c>
      <c r="E1648" s="4">
        <v>18.0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ht="12.75" customHeight="1">
      <c r="A1649" s="4">
        <v>5078.0</v>
      </c>
      <c r="B1649" s="4">
        <v>36163.0</v>
      </c>
      <c r="C1649" s="5">
        <f>DATE(2012,12,31)-56</f>
        <v>41218</v>
      </c>
      <c r="D1649" s="4" t="s">
        <v>21</v>
      </c>
      <c r="E1649" s="4">
        <v>32.0</v>
      </c>
      <c r="F1649" s="4">
        <v>463.0</v>
      </c>
      <c r="G1649" s="4">
        <v>0.07</v>
      </c>
      <c r="H1649" s="4" t="s">
        <v>22</v>
      </c>
      <c r="I1649" s="6">
        <v>24.6075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1">C1649+0</f>
        <v>41218</v>
      </c>
    </row>
    <row r="1650" ht="12.75" customHeight="1">
      <c r="A1650" s="4">
        <v>5114.0</v>
      </c>
      <c r="B1650" s="4">
        <v>36449.0</v>
      </c>
      <c r="C1650" s="5">
        <f>DATE(2012,12,31)-848</f>
        <v>40426</v>
      </c>
      <c r="D1650" s="4" t="s">
        <v>45</v>
      </c>
      <c r="E1650" s="4">
        <v>6.0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1"/>
        <v>40426</v>
      </c>
    </row>
    <row r="1651" ht="12.75" customHeight="1">
      <c r="A1651" s="4">
        <v>5144.0</v>
      </c>
      <c r="B1651" s="4">
        <v>36675.0</v>
      </c>
      <c r="C1651" s="5">
        <f>DATE(2012,12,31)-547</f>
        <v>40727</v>
      </c>
      <c r="D1651" s="4" t="s">
        <v>30</v>
      </c>
      <c r="E1651" s="4">
        <v>39.0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2">C1651+3</f>
        <v>40730</v>
      </c>
    </row>
    <row r="1652" ht="12.75" customHeight="1">
      <c r="A1652" s="4">
        <v>5327.0</v>
      </c>
      <c r="B1652" s="4">
        <v>37862.0</v>
      </c>
      <c r="C1652" s="5">
        <f>DATE(2012,12,31)-1449</f>
        <v>39825</v>
      </c>
      <c r="D1652" s="4" t="s">
        <v>45</v>
      </c>
      <c r="E1652" s="4">
        <v>27.0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0.57</v>
      </c>
      <c r="U1652" s="5">
        <f t="shared" si="722"/>
        <v>39828</v>
      </c>
    </row>
    <row r="1653" ht="12.75" customHeight="1">
      <c r="A1653" s="4">
        <v>5379.0</v>
      </c>
      <c r="B1653" s="4">
        <v>38240.0</v>
      </c>
      <c r="C1653" s="5">
        <f>DATE(2012,12,31)-1108</f>
        <v>40166</v>
      </c>
      <c r="D1653" s="4" t="s">
        <v>30</v>
      </c>
      <c r="E1653" s="4">
        <v>4.0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ht="12.75" customHeight="1">
      <c r="A1654" s="4">
        <v>5450.0</v>
      </c>
      <c r="B1654" s="4">
        <v>38693.0</v>
      </c>
      <c r="C1654" s="5">
        <f>DATE(2012,12,31)-566</f>
        <v>40708</v>
      </c>
      <c r="D1654" s="4" t="s">
        <v>21</v>
      </c>
      <c r="E1654" s="4">
        <v>3.0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3">C1654+7</f>
        <v>40715</v>
      </c>
    </row>
    <row r="1655" ht="12.75" customHeight="1">
      <c r="A1655" s="4">
        <v>5483.0</v>
      </c>
      <c r="B1655" s="4">
        <v>38917.0</v>
      </c>
      <c r="C1655" s="5">
        <f>DATE(2012,12,31)-771</f>
        <v>40503</v>
      </c>
      <c r="D1655" s="4" t="s">
        <v>21</v>
      </c>
      <c r="E1655" s="4">
        <v>11.0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65.99</v>
      </c>
      <c r="K1655" s="4">
        <v>8.8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0.58</v>
      </c>
      <c r="U1655" s="5">
        <f t="shared" si="723"/>
        <v>40510</v>
      </c>
    </row>
    <row r="1656" ht="12.75" customHeight="1">
      <c r="A1656" s="4">
        <v>5501.0</v>
      </c>
      <c r="B1656" s="4">
        <v>39015.0</v>
      </c>
      <c r="C1656" s="5">
        <f t="shared" ref="C1656:C1657" si="724">DATE(2012,12,31)-1121</f>
        <v>40153</v>
      </c>
      <c r="D1656" s="4" t="s">
        <v>63</v>
      </c>
      <c r="E1656" s="4">
        <v>13.0</v>
      </c>
      <c r="F1656" s="4">
        <v>5236.14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</v>
      </c>
      <c r="U1656" s="5">
        <f t="shared" ref="U1656:U1657" si="725">C1656+0</f>
        <v>40153</v>
      </c>
    </row>
    <row r="1657" ht="12.75" customHeight="1">
      <c r="A1657" s="4">
        <v>5502.0</v>
      </c>
      <c r="B1657" s="4">
        <v>39015.0</v>
      </c>
      <c r="C1657" s="5">
        <f t="shared" si="724"/>
        <v>40153</v>
      </c>
      <c r="D1657" s="4" t="s">
        <v>63</v>
      </c>
      <c r="E1657" s="4">
        <v>11.0</v>
      </c>
      <c r="F1657" s="4">
        <v>74.02</v>
      </c>
      <c r="G1657" s="4">
        <v>0.07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5"/>
        <v>40153</v>
      </c>
    </row>
    <row r="1658" ht="12.75" customHeight="1">
      <c r="A1658" s="4">
        <v>5539.0</v>
      </c>
      <c r="B1658" s="4">
        <v>39265.0</v>
      </c>
      <c r="C1658" s="5">
        <f>DATE(2012,12,31)-969</f>
        <v>40305</v>
      </c>
      <c r="D1658" s="4" t="s">
        <v>78</v>
      </c>
      <c r="E1658" s="4">
        <v>47.0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</v>
      </c>
      <c r="U1658" s="5">
        <f t="shared" ref="U1658:U1660" si="726">C1658+1</f>
        <v>40306</v>
      </c>
    </row>
    <row r="1659" ht="12.75" customHeight="1">
      <c r="A1659" s="4">
        <v>5770.0</v>
      </c>
      <c r="B1659" s="4">
        <v>40962.0</v>
      </c>
      <c r="C1659" s="5">
        <f t="shared" ref="C1659:C1660" si="727">DATE(2012,12,31)-680</f>
        <v>40594</v>
      </c>
      <c r="D1659" s="4" t="s">
        <v>78</v>
      </c>
      <c r="E1659" s="4">
        <v>28.0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0.57</v>
      </c>
      <c r="U1659" s="5">
        <f t="shared" si="726"/>
        <v>40595</v>
      </c>
    </row>
    <row r="1660" ht="12.75" customHeight="1">
      <c r="A1660" s="4">
        <v>5771.0</v>
      </c>
      <c r="B1660" s="4">
        <v>40962.0</v>
      </c>
      <c r="C1660" s="5">
        <f t="shared" si="727"/>
        <v>40594</v>
      </c>
      <c r="D1660" s="4" t="s">
        <v>78</v>
      </c>
      <c r="E1660" s="4">
        <v>30.0</v>
      </c>
      <c r="F1660" s="4">
        <v>3276.9964999999997</v>
      </c>
      <c r="G1660" s="4">
        <v>0.0</v>
      </c>
      <c r="H1660" s="4" t="s">
        <v>22</v>
      </c>
      <c r="I1660" s="6">
        <v>653.058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6"/>
        <v>40595</v>
      </c>
    </row>
    <row r="1661" ht="12.75" customHeight="1">
      <c r="A1661" s="4">
        <v>5786.0</v>
      </c>
      <c r="B1661" s="4">
        <v>41059.0</v>
      </c>
      <c r="C1661" s="5">
        <f t="shared" ref="C1661:C1664" si="728">DATE(2012,12,31)-839</f>
        <v>40435</v>
      </c>
      <c r="D1661" s="4" t="s">
        <v>63</v>
      </c>
      <c r="E1661" s="4">
        <v>26.0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ht="12.75" customHeight="1">
      <c r="A1662" s="4">
        <v>5787.0</v>
      </c>
      <c r="B1662" s="4">
        <v>41059.0</v>
      </c>
      <c r="C1662" s="5">
        <f t="shared" si="728"/>
        <v>40435</v>
      </c>
      <c r="D1662" s="4" t="s">
        <v>63</v>
      </c>
      <c r="E1662" s="4">
        <v>45.0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ht="12.75" customHeight="1">
      <c r="A1663" s="4">
        <v>5788.0</v>
      </c>
      <c r="B1663" s="4">
        <v>41059.0</v>
      </c>
      <c r="C1663" s="5">
        <f t="shared" si="728"/>
        <v>40435</v>
      </c>
      <c r="D1663" s="4" t="s">
        <v>63</v>
      </c>
      <c r="E1663" s="4">
        <v>21.0</v>
      </c>
      <c r="F1663" s="4">
        <v>128.86</v>
      </c>
      <c r="G1663" s="4">
        <v>0.0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</v>
      </c>
      <c r="U1663" s="5">
        <f>C1663+2</f>
        <v>40437</v>
      </c>
    </row>
    <row r="1664" ht="12.75" customHeight="1">
      <c r="A1664" s="4">
        <v>5789.0</v>
      </c>
      <c r="B1664" s="4">
        <v>41059.0</v>
      </c>
      <c r="C1664" s="5">
        <f t="shared" si="728"/>
        <v>40435</v>
      </c>
      <c r="D1664" s="4" t="s">
        <v>63</v>
      </c>
      <c r="E1664" s="4">
        <v>45.0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ht="12.75" customHeight="1">
      <c r="A1665" s="4">
        <v>5872.0</v>
      </c>
      <c r="B1665" s="4">
        <v>41664.0</v>
      </c>
      <c r="C1665" s="5">
        <f t="shared" ref="C1665:C1666" si="729">DATE(2012,12,31)-393</f>
        <v>40881</v>
      </c>
      <c r="D1665" s="4" t="s">
        <v>78</v>
      </c>
      <c r="E1665" s="4">
        <v>5.0</v>
      </c>
      <c r="F1665" s="4">
        <v>54.8</v>
      </c>
      <c r="G1665" s="4">
        <v>0.0</v>
      </c>
      <c r="H1665" s="4" t="s">
        <v>22</v>
      </c>
      <c r="I1665" s="6">
        <v>-15.3</v>
      </c>
      <c r="J1665" s="4">
        <v>9.78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ht="12.75" customHeight="1">
      <c r="A1666" s="4">
        <v>5873.0</v>
      </c>
      <c r="B1666" s="4">
        <v>41664.0</v>
      </c>
      <c r="C1666" s="5">
        <f t="shared" si="729"/>
        <v>40881</v>
      </c>
      <c r="D1666" s="4" t="s">
        <v>78</v>
      </c>
      <c r="E1666" s="4">
        <v>40.0</v>
      </c>
      <c r="F1666" s="4">
        <v>1038.19</v>
      </c>
      <c r="G1666" s="4">
        <v>0.07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0.57</v>
      </c>
      <c r="U1666" s="5">
        <f t="shared" ref="U1666:U1668" si="730">C1666+2</f>
        <v>40883</v>
      </c>
    </row>
    <row r="1667" ht="12.75" customHeight="1">
      <c r="A1667" s="4">
        <v>6012.0</v>
      </c>
      <c r="B1667" s="4">
        <v>42596.0</v>
      </c>
      <c r="C1667" s="5">
        <f>DATE(2012,12,31)-139</f>
        <v>41135</v>
      </c>
      <c r="D1667" s="4" t="s">
        <v>63</v>
      </c>
      <c r="E1667" s="4">
        <v>9.0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30"/>
        <v>41137</v>
      </c>
    </row>
    <row r="1668" ht="12.75" customHeight="1">
      <c r="A1668" s="4">
        <v>6135.0</v>
      </c>
      <c r="B1668" s="4">
        <v>43424.0</v>
      </c>
      <c r="C1668" s="5">
        <f>DATE(2012,12,31)-501</f>
        <v>40773</v>
      </c>
      <c r="D1668" s="4" t="s">
        <v>45</v>
      </c>
      <c r="E1668" s="4">
        <v>34.0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</v>
      </c>
      <c r="U1668" s="5">
        <f t="shared" si="730"/>
        <v>40775</v>
      </c>
    </row>
    <row r="1669" ht="12.75" customHeight="1">
      <c r="A1669" s="4">
        <v>6179.0</v>
      </c>
      <c r="B1669" s="4">
        <v>43808.0</v>
      </c>
      <c r="C1669" s="5">
        <f>DATE(2012,12,31)-725</f>
        <v>40549</v>
      </c>
      <c r="D1669" s="4" t="s">
        <v>21</v>
      </c>
      <c r="E1669" s="4">
        <v>16.0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ht="12.75" customHeight="1">
      <c r="A1670" s="4">
        <v>6373.0</v>
      </c>
      <c r="B1670" s="4">
        <v>45218.0</v>
      </c>
      <c r="C1670" s="5">
        <f>DATE(2012,12,31)-1331</f>
        <v>39943</v>
      </c>
      <c r="D1670" s="4" t="s">
        <v>21</v>
      </c>
      <c r="E1670" s="4">
        <v>49.0</v>
      </c>
      <c r="F1670" s="4">
        <v>309.46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ht="12.75" customHeight="1">
      <c r="A1671" s="4">
        <v>6470.0</v>
      </c>
      <c r="B1671" s="4">
        <v>46050.0</v>
      </c>
      <c r="C1671" s="5">
        <f>DATE(2012,12,31)-1092</f>
        <v>40182</v>
      </c>
      <c r="D1671" s="4" t="s">
        <v>30</v>
      </c>
      <c r="E1671" s="4">
        <v>3.0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289.53</v>
      </c>
      <c r="K1671" s="4">
        <v>19.99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</v>
      </c>
      <c r="U1671" s="5">
        <f>C1671+3</f>
        <v>40185</v>
      </c>
    </row>
    <row r="1672" ht="12.75" customHeight="1">
      <c r="A1672" s="4">
        <v>6479.0</v>
      </c>
      <c r="B1672" s="4">
        <v>46117.0</v>
      </c>
      <c r="C1672" s="5">
        <f>DATE(2012,12,31)-589</f>
        <v>40685</v>
      </c>
      <c r="D1672" s="4" t="s">
        <v>21</v>
      </c>
      <c r="E1672" s="4">
        <v>22.0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</v>
      </c>
      <c r="U1672" s="5">
        <f>C1672+4</f>
        <v>40689</v>
      </c>
    </row>
    <row r="1673" ht="12.75" customHeight="1">
      <c r="A1673" s="4">
        <v>6494.0</v>
      </c>
      <c r="B1673" s="4">
        <v>46243.0</v>
      </c>
      <c r="C1673" s="5">
        <f t="shared" ref="C1673:C1675" si="731">DATE(2012,12,31)-342</f>
        <v>40932</v>
      </c>
      <c r="D1673" s="4" t="s">
        <v>21</v>
      </c>
      <c r="E1673" s="4">
        <v>31.0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9.03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ht="12.75" customHeight="1">
      <c r="A1674" s="4">
        <v>6495.0</v>
      </c>
      <c r="B1674" s="4">
        <v>46243.0</v>
      </c>
      <c r="C1674" s="5">
        <f t="shared" si="731"/>
        <v>40932</v>
      </c>
      <c r="D1674" s="4" t="s">
        <v>21</v>
      </c>
      <c r="E1674" s="4">
        <v>1.0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</v>
      </c>
      <c r="U1674" s="5">
        <f>C1674+5</f>
        <v>40937</v>
      </c>
    </row>
    <row r="1675" ht="12.75" customHeight="1">
      <c r="A1675" s="4">
        <v>6496.0</v>
      </c>
      <c r="B1675" s="4">
        <v>46243.0</v>
      </c>
      <c r="C1675" s="5">
        <f t="shared" si="731"/>
        <v>40932</v>
      </c>
      <c r="D1675" s="4" t="s">
        <v>21</v>
      </c>
      <c r="E1675" s="4">
        <v>31.0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1.0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ht="12.75" customHeight="1">
      <c r="A1676" s="4">
        <v>6504.0</v>
      </c>
      <c r="B1676" s="4">
        <v>46310.0</v>
      </c>
      <c r="C1676" s="5">
        <f t="shared" ref="C1676:C1678" si="732">DATE(2012,12,31)-894</f>
        <v>40380</v>
      </c>
      <c r="D1676" s="4" t="s">
        <v>30</v>
      </c>
      <c r="E1676" s="4">
        <v>29.0</v>
      </c>
      <c r="F1676" s="4">
        <v>1935.25</v>
      </c>
      <c r="G1676" s="4">
        <v>0.04</v>
      </c>
      <c r="H1676" s="4" t="s">
        <v>22</v>
      </c>
      <c r="I1676" s="6">
        <v>652.188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3">C1676+1</f>
        <v>40381</v>
      </c>
    </row>
    <row r="1677" ht="12.75" customHeight="1">
      <c r="A1677" s="4">
        <v>6505.0</v>
      </c>
      <c r="B1677" s="4">
        <v>46310.0</v>
      </c>
      <c r="C1677" s="5">
        <f t="shared" si="732"/>
        <v>40380</v>
      </c>
      <c r="D1677" s="4" t="s">
        <v>30</v>
      </c>
      <c r="E1677" s="4">
        <v>13.0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3"/>
        <v>40381</v>
      </c>
    </row>
    <row r="1678" ht="12.75" customHeight="1">
      <c r="A1678" s="4">
        <v>6506.0</v>
      </c>
      <c r="B1678" s="4">
        <v>46310.0</v>
      </c>
      <c r="C1678" s="5">
        <f t="shared" si="732"/>
        <v>40380</v>
      </c>
      <c r="D1678" s="4" t="s">
        <v>30</v>
      </c>
      <c r="E1678" s="4">
        <v>42.0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19.99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ht="12.75" customHeight="1">
      <c r="A1679" s="4">
        <v>6537.0</v>
      </c>
      <c r="B1679" s="4">
        <v>46503.0</v>
      </c>
      <c r="C1679" s="5">
        <f>DATE(2012,12,31)-421</f>
        <v>40853</v>
      </c>
      <c r="D1679" s="4" t="s">
        <v>45</v>
      </c>
      <c r="E1679" s="4">
        <v>26.0</v>
      </c>
      <c r="F1679" s="4">
        <v>1196.7915</v>
      </c>
      <c r="G1679" s="4">
        <v>0.07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</v>
      </c>
      <c r="U1679" s="5">
        <f>C1679+3</f>
        <v>40856</v>
      </c>
    </row>
    <row r="1680" ht="12.75" customHeight="1">
      <c r="A1680" s="4">
        <v>6572.0</v>
      </c>
      <c r="B1680" s="4">
        <v>46726.0</v>
      </c>
      <c r="C1680" s="5">
        <f t="shared" ref="C1680:C1681" si="734">DATE(2012,12,31)-179</f>
        <v>41095</v>
      </c>
      <c r="D1680" s="4" t="s">
        <v>45</v>
      </c>
      <c r="E1680" s="4">
        <v>46.0</v>
      </c>
      <c r="F1680" s="4">
        <v>325.97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8.37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0.58</v>
      </c>
      <c r="U1680" s="5">
        <f>C1680+0</f>
        <v>41095</v>
      </c>
    </row>
    <row r="1681" ht="12.75" customHeight="1">
      <c r="A1681" s="4">
        <v>6573.0</v>
      </c>
      <c r="B1681" s="4">
        <v>46726.0</v>
      </c>
      <c r="C1681" s="5">
        <f t="shared" si="734"/>
        <v>41095</v>
      </c>
      <c r="D1681" s="4" t="s">
        <v>45</v>
      </c>
      <c r="E1681" s="4">
        <v>10.0</v>
      </c>
      <c r="F1681" s="4">
        <v>49.65</v>
      </c>
      <c r="G1681" s="4">
        <v>0.02</v>
      </c>
      <c r="H1681" s="4" t="s">
        <v>22</v>
      </c>
      <c r="I1681" s="6">
        <v>8.2705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ht="12.75" customHeight="1">
      <c r="A1682" s="4">
        <v>6613.0</v>
      </c>
      <c r="B1682" s="4">
        <v>47042.0</v>
      </c>
      <c r="C1682" s="5">
        <f>DATE(2012,12,31)-304</f>
        <v>40970</v>
      </c>
      <c r="D1682" s="4" t="s">
        <v>78</v>
      </c>
      <c r="E1682" s="4">
        <v>45.0</v>
      </c>
      <c r="F1682" s="4">
        <v>1375.3764999999999</v>
      </c>
      <c r="G1682" s="4">
        <v>0.03</v>
      </c>
      <c r="H1682" s="4" t="s">
        <v>22</v>
      </c>
      <c r="I1682" s="6">
        <v>592.218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ht="12.75" customHeight="1">
      <c r="A1683" s="4">
        <v>6635.0</v>
      </c>
      <c r="B1683" s="4">
        <v>47174.0</v>
      </c>
      <c r="C1683" s="5">
        <f>DATE(2012,12,31)-472</f>
        <v>40802</v>
      </c>
      <c r="D1683" s="4" t="s">
        <v>78</v>
      </c>
      <c r="E1683" s="4">
        <v>42.0</v>
      </c>
      <c r="F1683" s="4">
        <v>642.1</v>
      </c>
      <c r="G1683" s="4">
        <v>0.0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ht="12.75" customHeight="1">
      <c r="A1684" s="4">
        <v>6746.0</v>
      </c>
      <c r="B1684" s="4">
        <v>48034.0</v>
      </c>
      <c r="C1684" s="5">
        <f t="shared" ref="C1684:C1685" si="735">DATE(2012,12,31)-1266</f>
        <v>40008</v>
      </c>
      <c r="D1684" s="4" t="s">
        <v>45</v>
      </c>
      <c r="E1684" s="4">
        <v>47.0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ht="12.75" customHeight="1">
      <c r="A1685" s="4">
        <v>6747.0</v>
      </c>
      <c r="B1685" s="4">
        <v>48034.0</v>
      </c>
      <c r="C1685" s="5">
        <f t="shared" si="735"/>
        <v>40008</v>
      </c>
      <c r="D1685" s="4" t="s">
        <v>45</v>
      </c>
      <c r="E1685" s="4">
        <v>12.0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ht="12.75" customHeight="1">
      <c r="A1686" s="4">
        <v>6760.0</v>
      </c>
      <c r="B1686" s="4">
        <v>48164.0</v>
      </c>
      <c r="C1686" s="5">
        <f>DATE(2012,12,31)-429</f>
        <v>40845</v>
      </c>
      <c r="D1686" s="4" t="s">
        <v>30</v>
      </c>
      <c r="E1686" s="4">
        <v>33.0</v>
      </c>
      <c r="F1686" s="4">
        <v>94.39</v>
      </c>
      <c r="G1686" s="4">
        <v>0.07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</v>
      </c>
      <c r="U1686" s="5">
        <f>C1686+2</f>
        <v>40847</v>
      </c>
    </row>
    <row r="1687" ht="12.75" customHeight="1">
      <c r="A1687" s="4">
        <v>6896.0</v>
      </c>
      <c r="B1687" s="4">
        <v>49189.0</v>
      </c>
      <c r="C1687" s="5">
        <f>DATE(2012,12,31)-716</f>
        <v>40558</v>
      </c>
      <c r="D1687" s="4" t="s">
        <v>78</v>
      </c>
      <c r="E1687" s="4">
        <v>32.0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ht="12.75" customHeight="1">
      <c r="A1688" s="4">
        <v>6997.0</v>
      </c>
      <c r="B1688" s="4">
        <v>49986.0</v>
      </c>
      <c r="C1688" s="5">
        <f>DATE(2012,12,31)-809</f>
        <v>40465</v>
      </c>
      <c r="D1688" s="4" t="s">
        <v>78</v>
      </c>
      <c r="E1688" s="4">
        <v>39.0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ht="12.75" customHeight="1">
      <c r="A1689" s="4">
        <v>7054.0</v>
      </c>
      <c r="B1689" s="4">
        <v>50336.0</v>
      </c>
      <c r="C1689" s="5">
        <f>DATE(2012,12,31)-1153</f>
        <v>40121</v>
      </c>
      <c r="D1689" s="4" t="s">
        <v>45</v>
      </c>
      <c r="E1689" s="4">
        <v>9.0</v>
      </c>
      <c r="F1689" s="4">
        <v>58.98</v>
      </c>
      <c r="G1689" s="4">
        <v>0.0</v>
      </c>
      <c r="H1689" s="4" t="s">
        <v>22</v>
      </c>
      <c r="I1689" s="6">
        <v>-17.7905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6">C1689+1</f>
        <v>40122</v>
      </c>
    </row>
    <row r="1690" ht="12.75" customHeight="1">
      <c r="A1690" s="4">
        <v>7059.0</v>
      </c>
      <c r="B1690" s="4">
        <v>50373.0</v>
      </c>
      <c r="C1690" s="5">
        <f>DATE(2012,12,31)-1278</f>
        <v>39996</v>
      </c>
      <c r="D1690" s="4" t="s">
        <v>78</v>
      </c>
      <c r="E1690" s="4">
        <v>9.0</v>
      </c>
      <c r="F1690" s="4">
        <v>1455.04</v>
      </c>
      <c r="G1690" s="4">
        <v>0.06</v>
      </c>
      <c r="H1690" s="4" t="s">
        <v>22</v>
      </c>
      <c r="I1690" s="6">
        <v>-7.580000000000041</v>
      </c>
      <c r="J1690" s="4">
        <v>161.55</v>
      </c>
      <c r="K1690" s="4">
        <v>19.99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6"/>
        <v>39997</v>
      </c>
    </row>
    <row r="1691" ht="12.75" customHeight="1">
      <c r="A1691" s="4">
        <v>7086.0</v>
      </c>
      <c r="B1691" s="4">
        <v>50564.0</v>
      </c>
      <c r="C1691" s="5">
        <f>DATE(2012,12,31)-304</f>
        <v>40970</v>
      </c>
      <c r="D1691" s="4" t="s">
        <v>30</v>
      </c>
      <c r="E1691" s="4">
        <v>30.0</v>
      </c>
      <c r="F1691" s="4">
        <v>11041.42</v>
      </c>
      <c r="G1691" s="4">
        <v>0.07</v>
      </c>
      <c r="H1691" s="4" t="s">
        <v>22</v>
      </c>
      <c r="I1691" s="6">
        <v>4456.2525</v>
      </c>
      <c r="J1691" s="4">
        <v>387.99</v>
      </c>
      <c r="K1691" s="4">
        <v>19.99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ht="12.75" customHeight="1">
      <c r="A1692" s="4">
        <v>7139.0</v>
      </c>
      <c r="B1692" s="4">
        <v>50949.0</v>
      </c>
      <c r="C1692" s="5">
        <f t="shared" ref="C1692:C1693" si="737">DATE(2012,12,31)-696</f>
        <v>40578</v>
      </c>
      <c r="D1692" s="4" t="s">
        <v>63</v>
      </c>
      <c r="E1692" s="4">
        <v>32.0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ht="12.75" customHeight="1">
      <c r="A1693" s="4">
        <v>7140.0</v>
      </c>
      <c r="B1693" s="4">
        <v>50949.0</v>
      </c>
      <c r="C1693" s="5">
        <f t="shared" si="737"/>
        <v>40578</v>
      </c>
      <c r="D1693" s="4" t="s">
        <v>63</v>
      </c>
      <c r="E1693" s="4">
        <v>46.0</v>
      </c>
      <c r="F1693" s="4">
        <v>4804.038500000001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8">C1693+2</f>
        <v>40580</v>
      </c>
    </row>
    <row r="1694" ht="12.75" customHeight="1">
      <c r="A1694" s="4">
        <v>7198.0</v>
      </c>
      <c r="B1694" s="4">
        <v>51361.0</v>
      </c>
      <c r="C1694" s="5">
        <f t="shared" ref="C1694:C1695" si="739">DATE(2012,12,31)-654</f>
        <v>40620</v>
      </c>
      <c r="D1694" s="4" t="s">
        <v>21</v>
      </c>
      <c r="E1694" s="4">
        <v>14.0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8"/>
        <v>40622</v>
      </c>
    </row>
    <row r="1695" ht="12.75" customHeight="1">
      <c r="A1695" s="4">
        <v>7199.0</v>
      </c>
      <c r="B1695" s="4">
        <v>51361.0</v>
      </c>
      <c r="C1695" s="5">
        <f t="shared" si="739"/>
        <v>40620</v>
      </c>
      <c r="D1695" s="4" t="s">
        <v>78</v>
      </c>
      <c r="E1695" s="4">
        <v>50.0</v>
      </c>
      <c r="F1695" s="4">
        <v>18056.68</v>
      </c>
      <c r="G1695" s="4">
        <v>0.0</v>
      </c>
      <c r="H1695" s="4" t="s">
        <v>31</v>
      </c>
      <c r="I1695" s="6">
        <v>-6474.654</v>
      </c>
      <c r="J1695" s="4">
        <v>349.45</v>
      </c>
      <c r="K1695" s="4">
        <v>60.0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ht="12.75" customHeight="1">
      <c r="A1696" s="4">
        <v>7258.0</v>
      </c>
      <c r="B1696" s="4">
        <v>51780.0</v>
      </c>
      <c r="C1696" s="5">
        <f>DATE(2012,12,31)-891</f>
        <v>40383</v>
      </c>
      <c r="D1696" s="4" t="s">
        <v>21</v>
      </c>
      <c r="E1696" s="4">
        <v>42.0</v>
      </c>
      <c r="F1696" s="4">
        <v>372.69</v>
      </c>
      <c r="G1696" s="4">
        <v>0.01</v>
      </c>
      <c r="H1696" s="4" t="s">
        <v>56</v>
      </c>
      <c r="I1696" s="6">
        <v>-177.031</v>
      </c>
      <c r="J1696" s="4">
        <v>8.04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ht="12.75" customHeight="1">
      <c r="A1697" s="4">
        <v>7278.0</v>
      </c>
      <c r="B1697" s="4">
        <v>51940.0</v>
      </c>
      <c r="C1697" s="5">
        <f>DATE(2012,12,31)-75</f>
        <v>41199</v>
      </c>
      <c r="D1697" s="4" t="s">
        <v>30</v>
      </c>
      <c r="E1697" s="4">
        <v>11.0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ht="12.75" customHeight="1">
      <c r="A1698" s="4">
        <v>7305.0</v>
      </c>
      <c r="B1698" s="4">
        <v>52071.0</v>
      </c>
      <c r="C1698" s="5">
        <f t="shared" ref="C1698:C1699" si="740">DATE(2012,12,31)-400</f>
        <v>40874</v>
      </c>
      <c r="D1698" s="4" t="s">
        <v>45</v>
      </c>
      <c r="E1698" s="4">
        <v>14.0</v>
      </c>
      <c r="F1698" s="4">
        <v>136.85</v>
      </c>
      <c r="G1698" s="4">
        <v>0.01</v>
      </c>
      <c r="H1698" s="4" t="s">
        <v>22</v>
      </c>
      <c r="I1698" s="6">
        <v>-4.4275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1">C1698+2</f>
        <v>40876</v>
      </c>
    </row>
    <row r="1699" ht="12.75" customHeight="1">
      <c r="A1699" s="4">
        <v>7306.0</v>
      </c>
      <c r="B1699" s="4">
        <v>52071.0</v>
      </c>
      <c r="C1699" s="5">
        <f t="shared" si="740"/>
        <v>40874</v>
      </c>
      <c r="D1699" s="4" t="s">
        <v>45</v>
      </c>
      <c r="E1699" s="4">
        <v>1.0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1"/>
        <v>40876</v>
      </c>
    </row>
    <row r="1700" ht="12.75" customHeight="1">
      <c r="A1700" s="4">
        <v>7449.0</v>
      </c>
      <c r="B1700" s="4">
        <v>53152.0</v>
      </c>
      <c r="C1700" s="5">
        <f t="shared" ref="C1700:C1702" si="742">DATE(2012,12,31)-1397</f>
        <v>39877</v>
      </c>
      <c r="D1700" s="4" t="s">
        <v>63</v>
      </c>
      <c r="E1700" s="4">
        <v>5.0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34.98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1"/>
        <v>39879</v>
      </c>
    </row>
    <row r="1701" ht="12.75" customHeight="1">
      <c r="A1701" s="4">
        <v>7450.0</v>
      </c>
      <c r="B1701" s="4">
        <v>53152.0</v>
      </c>
      <c r="C1701" s="5">
        <f t="shared" si="742"/>
        <v>39877</v>
      </c>
      <c r="D1701" s="4" t="s">
        <v>63</v>
      </c>
      <c r="E1701" s="4">
        <v>9.0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19.99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ht="12.75" customHeight="1">
      <c r="A1702" s="4">
        <v>7451.0</v>
      </c>
      <c r="B1702" s="4">
        <v>53152.0</v>
      </c>
      <c r="C1702" s="5">
        <f t="shared" si="742"/>
        <v>39877</v>
      </c>
      <c r="D1702" s="4" t="s">
        <v>63</v>
      </c>
      <c r="E1702" s="4">
        <v>9.0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ht="12.75" customHeight="1">
      <c r="A1703" s="4">
        <v>7573.0</v>
      </c>
      <c r="B1703" s="4">
        <v>54177.0</v>
      </c>
      <c r="C1703" s="5">
        <f t="shared" ref="C1703:C1704" si="743">DATE(2012,12,31)-341</f>
        <v>40933</v>
      </c>
      <c r="D1703" s="4" t="s">
        <v>78</v>
      </c>
      <c r="E1703" s="4">
        <v>12.0</v>
      </c>
      <c r="F1703" s="4">
        <v>480.73</v>
      </c>
      <c r="G1703" s="4">
        <v>0.1</v>
      </c>
      <c r="H1703" s="4" t="s">
        <v>22</v>
      </c>
      <c r="I1703" s="6">
        <v>148.1975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ht="12.75" customHeight="1">
      <c r="A1704" s="4">
        <v>7574.0</v>
      </c>
      <c r="B1704" s="4">
        <v>54177.0</v>
      </c>
      <c r="C1704" s="5">
        <f t="shared" si="743"/>
        <v>40933</v>
      </c>
      <c r="D1704" s="4" t="s">
        <v>78</v>
      </c>
      <c r="E1704" s="4">
        <v>25.0</v>
      </c>
      <c r="F1704" s="4">
        <v>159.0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ht="12.75" customHeight="1">
      <c r="A1705" s="4">
        <v>7688.0</v>
      </c>
      <c r="B1705" s="4">
        <v>55107.0</v>
      </c>
      <c r="C1705" s="5">
        <f>DATE(2012,12,31)-968</f>
        <v>40306</v>
      </c>
      <c r="D1705" s="4" t="s">
        <v>21</v>
      </c>
      <c r="E1705" s="4">
        <v>32.0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ht="12.75" customHeight="1">
      <c r="A1706" s="4">
        <v>7750.0</v>
      </c>
      <c r="B1706" s="4">
        <v>55461.0</v>
      </c>
      <c r="C1706" s="5">
        <f>DATE(2012,12,31)-1190</f>
        <v>40084</v>
      </c>
      <c r="D1706" s="4" t="s">
        <v>63</v>
      </c>
      <c r="E1706" s="4">
        <v>16.0</v>
      </c>
      <c r="F1706" s="4">
        <v>84.01</v>
      </c>
      <c r="G1706" s="4">
        <v>0.06</v>
      </c>
      <c r="H1706" s="4" t="s">
        <v>22</v>
      </c>
      <c r="I1706" s="6">
        <v>-34.12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4">C1706+1</f>
        <v>40085</v>
      </c>
    </row>
    <row r="1707" ht="12.75" customHeight="1">
      <c r="A1707" s="4">
        <v>7760.0</v>
      </c>
      <c r="B1707" s="4">
        <v>55526.0</v>
      </c>
      <c r="C1707" s="5">
        <f>DATE(2012,12,31)-182</f>
        <v>41092</v>
      </c>
      <c r="D1707" s="4" t="s">
        <v>30</v>
      </c>
      <c r="E1707" s="4">
        <v>23.0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9.03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4"/>
        <v>41093</v>
      </c>
    </row>
    <row r="1708" ht="12.75" customHeight="1">
      <c r="A1708" s="4">
        <v>7829.0</v>
      </c>
      <c r="B1708" s="4">
        <v>55969.0</v>
      </c>
      <c r="C1708" s="5">
        <f>DATE(2012,12,31)-819</f>
        <v>40455</v>
      </c>
      <c r="D1708" s="4" t="s">
        <v>63</v>
      </c>
      <c r="E1708" s="4">
        <v>37.0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ht="12.75" customHeight="1">
      <c r="A1709" s="4">
        <v>7996.0</v>
      </c>
      <c r="B1709" s="4">
        <v>57153.0</v>
      </c>
      <c r="C1709" s="5">
        <f t="shared" ref="C1709:C1710" si="745">DATE(2012,12,31)-1315</f>
        <v>39959</v>
      </c>
      <c r="D1709" s="4" t="s">
        <v>78</v>
      </c>
      <c r="E1709" s="4">
        <v>9.0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ht="12.75" customHeight="1">
      <c r="A1710" s="4">
        <v>7997.0</v>
      </c>
      <c r="B1710" s="4">
        <v>57153.0</v>
      </c>
      <c r="C1710" s="5">
        <f t="shared" si="745"/>
        <v>39959</v>
      </c>
      <c r="D1710" s="4" t="s">
        <v>78</v>
      </c>
      <c r="E1710" s="4">
        <v>45.0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ht="12.75" customHeight="1">
      <c r="A1711" s="4">
        <v>8065.0</v>
      </c>
      <c r="B1711" s="4">
        <v>57538.0</v>
      </c>
      <c r="C1711" s="5">
        <f>DATE(2012,12,31)-1045</f>
        <v>40229</v>
      </c>
      <c r="D1711" s="4" t="s">
        <v>78</v>
      </c>
      <c r="E1711" s="4">
        <v>40.0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33.98</v>
      </c>
      <c r="K1711" s="4">
        <v>19.99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</v>
      </c>
      <c r="U1711" s="5">
        <f t="shared" ref="U1711:U1713" si="746">C1711+2</f>
        <v>40231</v>
      </c>
    </row>
    <row r="1712" ht="12.75" customHeight="1">
      <c r="A1712" s="4">
        <v>8201.0</v>
      </c>
      <c r="B1712" s="4">
        <v>58656.0</v>
      </c>
      <c r="C1712" s="5">
        <f t="shared" ref="C1712:C1713" si="747">DATE(2012,12,31)-758</f>
        <v>40516</v>
      </c>
      <c r="D1712" s="4" t="s">
        <v>30</v>
      </c>
      <c r="E1712" s="4">
        <v>5.0</v>
      </c>
      <c r="F1712" s="4">
        <v>39.44</v>
      </c>
      <c r="G1712" s="4">
        <v>0.0</v>
      </c>
      <c r="H1712" s="4" t="s">
        <v>22</v>
      </c>
      <c r="I1712" s="6">
        <v>-0.943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6"/>
        <v>40518</v>
      </c>
    </row>
    <row r="1713" ht="12.75" customHeight="1">
      <c r="A1713" s="4">
        <v>8202.0</v>
      </c>
      <c r="B1713" s="4">
        <v>58656.0</v>
      </c>
      <c r="C1713" s="5">
        <f t="shared" si="747"/>
        <v>40516</v>
      </c>
      <c r="D1713" s="4" t="s">
        <v>30</v>
      </c>
      <c r="E1713" s="4">
        <v>3.0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6"/>
        <v>40518</v>
      </c>
    </row>
    <row r="1714" ht="12.75" customHeight="1">
      <c r="A1714" s="4">
        <v>8226.0</v>
      </c>
      <c r="B1714" s="4">
        <v>58789.0</v>
      </c>
      <c r="C1714" s="5">
        <f t="shared" ref="C1714:C1715" si="748">DATE(2012,12,31)-879</f>
        <v>40395</v>
      </c>
      <c r="D1714" s="4" t="s">
        <v>21</v>
      </c>
      <c r="E1714" s="4">
        <v>26.0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ht="12.75" customHeight="1">
      <c r="A1715" s="4">
        <v>8227.0</v>
      </c>
      <c r="B1715" s="4">
        <v>58789.0</v>
      </c>
      <c r="C1715" s="5">
        <f t="shared" si="748"/>
        <v>40395</v>
      </c>
      <c r="D1715" s="4" t="s">
        <v>21</v>
      </c>
      <c r="E1715" s="4">
        <v>38.0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ht="12.75" customHeight="1">
      <c r="A1716" s="4">
        <v>8280.0</v>
      </c>
      <c r="B1716" s="4">
        <v>59200.0</v>
      </c>
      <c r="C1716" s="5">
        <f t="shared" ref="C1716:C1717" si="749">DATE(2012,12,31)-388</f>
        <v>40886</v>
      </c>
      <c r="D1716" s="4" t="s">
        <v>63</v>
      </c>
      <c r="E1716" s="4">
        <v>4.0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</v>
      </c>
      <c r="U1716" s="5">
        <f>C1716+0</f>
        <v>40886</v>
      </c>
    </row>
    <row r="1717" ht="12.75" customHeight="1">
      <c r="A1717" s="4">
        <v>8281.0</v>
      </c>
      <c r="B1717" s="4">
        <v>59200.0</v>
      </c>
      <c r="C1717" s="5">
        <f t="shared" si="749"/>
        <v>40886</v>
      </c>
      <c r="D1717" s="4" t="s">
        <v>63</v>
      </c>
      <c r="E1717" s="4">
        <v>28.0</v>
      </c>
      <c r="F1717" s="4">
        <v>350.42</v>
      </c>
      <c r="G1717" s="4">
        <v>0.03</v>
      </c>
      <c r="H1717" s="4" t="s">
        <v>22</v>
      </c>
      <c r="I1717" s="6">
        <v>-37.3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ht="12.75" customHeight="1">
      <c r="A1718" s="4">
        <v>8321.0</v>
      </c>
      <c r="B1718" s="4">
        <v>59459.0</v>
      </c>
      <c r="C1718" s="5">
        <f>DATE(2012,12,31)-1426</f>
        <v>39848</v>
      </c>
      <c r="D1718" s="4" t="s">
        <v>63</v>
      </c>
      <c r="E1718" s="4">
        <v>40.0</v>
      </c>
      <c r="F1718" s="4">
        <v>69.66</v>
      </c>
      <c r="G1718" s="4">
        <v>0.07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50">C1718+1</f>
        <v>39849</v>
      </c>
    </row>
    <row r="1719" ht="12.75" customHeight="1">
      <c r="A1719" s="4">
        <v>8379.0</v>
      </c>
      <c r="B1719" s="4">
        <v>59878.0</v>
      </c>
      <c r="C1719" s="5">
        <f t="shared" ref="C1719:C1720" si="751">DATE(2012,12,31)-217</f>
        <v>41057</v>
      </c>
      <c r="D1719" s="4" t="s">
        <v>30</v>
      </c>
      <c r="E1719" s="4">
        <v>6.0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50"/>
        <v>41058</v>
      </c>
    </row>
    <row r="1720" ht="12.75" customHeight="1">
      <c r="A1720" s="4">
        <v>8380.0</v>
      </c>
      <c r="B1720" s="4">
        <v>59878.0</v>
      </c>
      <c r="C1720" s="5">
        <f t="shared" si="751"/>
        <v>41057</v>
      </c>
      <c r="D1720" s="4" t="s">
        <v>30</v>
      </c>
      <c r="E1720" s="4">
        <v>23.0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50"/>
        <v>41058</v>
      </c>
    </row>
    <row r="1721" ht="12.75" customHeight="1">
      <c r="A1721" s="4">
        <v>8386.0</v>
      </c>
      <c r="B1721" s="4">
        <v>59909.0</v>
      </c>
      <c r="C1721" s="5">
        <f t="shared" ref="C1721:C1722" si="752">DATE(2012,12,31)-148</f>
        <v>41126</v>
      </c>
      <c r="D1721" s="4" t="s">
        <v>21</v>
      </c>
      <c r="E1721" s="4">
        <v>11.0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ht="12.75" customHeight="1">
      <c r="A1722" s="4">
        <v>8387.0</v>
      </c>
      <c r="B1722" s="4">
        <v>59909.0</v>
      </c>
      <c r="C1722" s="5">
        <f t="shared" si="752"/>
        <v>41126</v>
      </c>
      <c r="D1722" s="4" t="s">
        <v>21</v>
      </c>
      <c r="E1722" s="4">
        <v>46.0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0.57</v>
      </c>
      <c r="U1722" s="5">
        <f>C1722+7</f>
        <v>41133</v>
      </c>
    </row>
    <row r="1723" ht="12.75" customHeight="1">
      <c r="A1723" s="4">
        <v>184.0</v>
      </c>
      <c r="B1723" s="4">
        <v>1218.0</v>
      </c>
      <c r="C1723" s="5">
        <f>DATE(2012,12,31)-1291</f>
        <v>39983</v>
      </c>
      <c r="D1723" s="4" t="s">
        <v>45</v>
      </c>
      <c r="E1723" s="4">
        <v>3.0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ht="12.75" customHeight="1">
      <c r="A1724" s="4">
        <v>237.0</v>
      </c>
      <c r="B1724" s="4">
        <v>1600.0</v>
      </c>
      <c r="C1724" s="5">
        <f t="shared" ref="C1724:C1725" si="753">DATE(2012,12,31)-1035</f>
        <v>40239</v>
      </c>
      <c r="D1724" s="4" t="s">
        <v>63</v>
      </c>
      <c r="E1724" s="4">
        <v>32.0</v>
      </c>
      <c r="F1724" s="4">
        <v>303.59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</v>
      </c>
      <c r="U1724" s="5">
        <f>C1724+2</f>
        <v>40241</v>
      </c>
    </row>
    <row r="1725" ht="12.75" customHeight="1">
      <c r="A1725" s="4">
        <v>238.0</v>
      </c>
      <c r="B1725" s="4">
        <v>1600.0</v>
      </c>
      <c r="C1725" s="5">
        <f t="shared" si="753"/>
        <v>40239</v>
      </c>
      <c r="D1725" s="4" t="s">
        <v>63</v>
      </c>
      <c r="E1725" s="4">
        <v>36.0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4">C1725+1</f>
        <v>40240</v>
      </c>
    </row>
    <row r="1726" ht="12.75" customHeight="1">
      <c r="A1726" s="4">
        <v>347.0</v>
      </c>
      <c r="B1726" s="4">
        <v>2373.0</v>
      </c>
      <c r="C1726" s="5">
        <f>DATE(2012,12,31)-1391</f>
        <v>39883</v>
      </c>
      <c r="D1726" s="4" t="s">
        <v>45</v>
      </c>
      <c r="E1726" s="4">
        <v>36.0</v>
      </c>
      <c r="F1726" s="4">
        <v>317.59</v>
      </c>
      <c r="G1726" s="4">
        <v>0.06</v>
      </c>
      <c r="H1726" s="4" t="s">
        <v>22</v>
      </c>
      <c r="I1726" s="6">
        <v>-46.115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4"/>
        <v>39884</v>
      </c>
    </row>
    <row r="1727" ht="12.75" customHeight="1">
      <c r="A1727" s="4">
        <v>377.0</v>
      </c>
      <c r="B1727" s="4">
        <v>2626.0</v>
      </c>
      <c r="C1727" s="5">
        <f>DATE(2012,12,31)-481</f>
        <v>40793</v>
      </c>
      <c r="D1727" s="4" t="s">
        <v>45</v>
      </c>
      <c r="E1727" s="4">
        <v>16.0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ht="12.75" customHeight="1">
      <c r="A1728" s="4">
        <v>458.0</v>
      </c>
      <c r="B1728" s="4">
        <v>3109.0</v>
      </c>
      <c r="C1728" s="5">
        <f t="shared" ref="C1728:C1729" si="755">DATE(2012,12,31)-892</f>
        <v>40382</v>
      </c>
      <c r="D1728" s="4" t="s">
        <v>21</v>
      </c>
      <c r="E1728" s="4">
        <v>47.0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6">C1728+7</f>
        <v>40389</v>
      </c>
    </row>
    <row r="1729" ht="12.75" customHeight="1">
      <c r="A1729" s="4">
        <v>459.0</v>
      </c>
      <c r="B1729" s="4">
        <v>3109.0</v>
      </c>
      <c r="C1729" s="5">
        <f t="shared" si="755"/>
        <v>40382</v>
      </c>
      <c r="D1729" s="4" t="s">
        <v>21</v>
      </c>
      <c r="E1729" s="4">
        <v>37.0</v>
      </c>
      <c r="F1729" s="4">
        <v>6477.7395</v>
      </c>
      <c r="G1729" s="4">
        <v>0.01</v>
      </c>
      <c r="H1729" s="4" t="s">
        <v>22</v>
      </c>
      <c r="I1729" s="6">
        <v>1653.966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0.58</v>
      </c>
      <c r="U1729" s="5">
        <f t="shared" si="756"/>
        <v>40389</v>
      </c>
    </row>
    <row r="1730" ht="12.75" customHeight="1">
      <c r="A1730" s="4">
        <v>555.0</v>
      </c>
      <c r="B1730" s="4">
        <v>3777.0</v>
      </c>
      <c r="C1730" s="5">
        <f>DATE(2012,12,31)-1364</f>
        <v>39910</v>
      </c>
      <c r="D1730" s="4" t="s">
        <v>63</v>
      </c>
      <c r="E1730" s="4">
        <v>14.0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ht="12.75" customHeight="1">
      <c r="A1731" s="4">
        <v>583.0</v>
      </c>
      <c r="B1731" s="4">
        <v>3973.0</v>
      </c>
      <c r="C1731" s="5">
        <f>DATE(2012,12,31)-283</f>
        <v>40991</v>
      </c>
      <c r="D1731" s="4" t="s">
        <v>45</v>
      </c>
      <c r="E1731" s="4">
        <v>21.0</v>
      </c>
      <c r="F1731" s="4">
        <v>316.35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7">C1731+2</f>
        <v>40993</v>
      </c>
    </row>
    <row r="1732" ht="12.75" customHeight="1">
      <c r="A1732" s="4">
        <v>704.0</v>
      </c>
      <c r="B1732" s="4">
        <v>4932.0</v>
      </c>
      <c r="C1732" s="5">
        <f>DATE(2012,12,31)-875</f>
        <v>40399</v>
      </c>
      <c r="D1732" s="4" t="s">
        <v>78</v>
      </c>
      <c r="E1732" s="4">
        <v>11.0</v>
      </c>
      <c r="F1732" s="4">
        <v>109.37</v>
      </c>
      <c r="G1732" s="4">
        <v>0.07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7"/>
        <v>40401</v>
      </c>
    </row>
    <row r="1733" ht="12.75" customHeight="1">
      <c r="A1733" s="4">
        <v>999.0</v>
      </c>
      <c r="B1733" s="4">
        <v>7239.0</v>
      </c>
      <c r="C1733" s="5">
        <f>DATE(2012,12,31)-551</f>
        <v>40723</v>
      </c>
      <c r="D1733" s="4" t="s">
        <v>63</v>
      </c>
      <c r="E1733" s="4">
        <v>50.0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19.99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7"/>
        <v>40725</v>
      </c>
    </row>
    <row r="1734" ht="12.75" customHeight="1">
      <c r="A1734" s="4">
        <v>1246.0</v>
      </c>
      <c r="B1734" s="4">
        <v>9088.0</v>
      </c>
      <c r="C1734" s="5">
        <f t="shared" ref="C1734:C1735" si="758">DATE(2012,12,31)-1288</f>
        <v>39986</v>
      </c>
      <c r="D1734" s="4" t="s">
        <v>78</v>
      </c>
      <c r="E1734" s="4">
        <v>50.0</v>
      </c>
      <c r="F1734" s="4">
        <v>15383.7</v>
      </c>
      <c r="G1734" s="4">
        <v>0.03</v>
      </c>
      <c r="H1734" s="4" t="s">
        <v>22</v>
      </c>
      <c r="I1734" s="6">
        <v>6523.257</v>
      </c>
      <c r="J1734" s="4">
        <v>304.99</v>
      </c>
      <c r="K1734" s="4">
        <v>19.99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7"/>
        <v>39988</v>
      </c>
    </row>
    <row r="1735" ht="12.75" customHeight="1">
      <c r="A1735" s="4">
        <v>1247.0</v>
      </c>
      <c r="B1735" s="4">
        <v>9088.0</v>
      </c>
      <c r="C1735" s="5">
        <f t="shared" si="758"/>
        <v>39986</v>
      </c>
      <c r="D1735" s="4" t="s">
        <v>78</v>
      </c>
      <c r="E1735" s="4">
        <v>31.0</v>
      </c>
      <c r="F1735" s="4">
        <v>1637.457</v>
      </c>
      <c r="G1735" s="4">
        <v>0.09</v>
      </c>
      <c r="H1735" s="4" t="s">
        <v>22</v>
      </c>
      <c r="I1735" s="6">
        <v>118.152</v>
      </c>
      <c r="J1735" s="4">
        <v>65.99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0.58</v>
      </c>
      <c r="U1735" s="5">
        <f t="shared" si="757"/>
        <v>39988</v>
      </c>
    </row>
    <row r="1736" ht="12.75" customHeight="1">
      <c r="A1736" s="4">
        <v>1584.0</v>
      </c>
      <c r="B1736" s="4">
        <v>11428.0</v>
      </c>
      <c r="C1736" s="5">
        <f>DATE(2012,12,31)-345</f>
        <v>40929</v>
      </c>
      <c r="D1736" s="4" t="s">
        <v>63</v>
      </c>
      <c r="E1736" s="4">
        <v>16.0</v>
      </c>
      <c r="F1736" s="4">
        <v>1554.53</v>
      </c>
      <c r="G1736" s="4">
        <v>0.0</v>
      </c>
      <c r="H1736" s="4" t="s">
        <v>22</v>
      </c>
      <c r="I1736" s="6">
        <v>474.66</v>
      </c>
      <c r="J1736" s="4">
        <v>90.48</v>
      </c>
      <c r="K1736" s="4">
        <v>19.99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ht="12.75" customHeight="1">
      <c r="A1737" s="4">
        <v>1736.0</v>
      </c>
      <c r="B1737" s="4">
        <v>12452.0</v>
      </c>
      <c r="C1737" s="5">
        <f t="shared" ref="C1737:C1739" si="759">DATE(2012,12,31)-755</f>
        <v>40519</v>
      </c>
      <c r="D1737" s="4" t="s">
        <v>63</v>
      </c>
      <c r="E1737" s="4">
        <v>1.0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19.99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ht="12.75" customHeight="1">
      <c r="A1738" s="4">
        <v>1737.0</v>
      </c>
      <c r="B1738" s="4">
        <v>12452.0</v>
      </c>
      <c r="C1738" s="5">
        <f t="shared" si="759"/>
        <v>40519</v>
      </c>
      <c r="D1738" s="4" t="s">
        <v>63</v>
      </c>
      <c r="E1738" s="4">
        <v>17.0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60">C1738+2</f>
        <v>40521</v>
      </c>
    </row>
    <row r="1739" ht="12.75" customHeight="1">
      <c r="A1739" s="4">
        <v>1738.0</v>
      </c>
      <c r="B1739" s="4">
        <v>12452.0</v>
      </c>
      <c r="C1739" s="5">
        <f t="shared" si="759"/>
        <v>40519</v>
      </c>
      <c r="D1739" s="4" t="s">
        <v>63</v>
      </c>
      <c r="E1739" s="4">
        <v>38.0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60"/>
        <v>40521</v>
      </c>
    </row>
    <row r="1740" ht="12.75" customHeight="1">
      <c r="A1740" s="4">
        <v>1853.0</v>
      </c>
      <c r="B1740" s="4">
        <v>13345.0</v>
      </c>
      <c r="C1740" s="5">
        <f t="shared" ref="C1740:C1741" si="761">DATE(2012,12,31)-120</f>
        <v>41154</v>
      </c>
      <c r="D1740" s="4" t="s">
        <v>45</v>
      </c>
      <c r="E1740" s="4">
        <v>24.0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4.77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ht="12.75" customHeight="1">
      <c r="A1741" s="4">
        <v>1854.0</v>
      </c>
      <c r="B1741" s="4">
        <v>13345.0</v>
      </c>
      <c r="C1741" s="5">
        <f t="shared" si="761"/>
        <v>41154</v>
      </c>
      <c r="D1741" s="4" t="s">
        <v>45</v>
      </c>
      <c r="E1741" s="4">
        <v>45.0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0.57</v>
      </c>
      <c r="U1741" s="5">
        <f>C1741+0</f>
        <v>41154</v>
      </c>
    </row>
    <row r="1742" ht="12.75" customHeight="1">
      <c r="A1742" s="4">
        <v>1864.0</v>
      </c>
      <c r="B1742" s="4">
        <v>13410.0</v>
      </c>
      <c r="C1742" s="5">
        <f t="shared" ref="C1742:C1743" si="762">DATE(2012,12,31)-939</f>
        <v>40335</v>
      </c>
      <c r="D1742" s="4" t="s">
        <v>45</v>
      </c>
      <c r="E1742" s="4">
        <v>4.0</v>
      </c>
      <c r="F1742" s="4">
        <v>33.64</v>
      </c>
      <c r="G1742" s="4">
        <v>0.07</v>
      </c>
      <c r="H1742" s="4" t="s">
        <v>22</v>
      </c>
      <c r="I1742" s="6">
        <v>-35.17</v>
      </c>
      <c r="J1742" s="4">
        <v>8.12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ht="12.75" customHeight="1">
      <c r="A1743" s="4">
        <v>1865.0</v>
      </c>
      <c r="B1743" s="4">
        <v>13410.0</v>
      </c>
      <c r="C1743" s="5">
        <f t="shared" si="762"/>
        <v>40335</v>
      </c>
      <c r="D1743" s="4" t="s">
        <v>45</v>
      </c>
      <c r="E1743" s="4">
        <v>29.0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ht="12.75" customHeight="1">
      <c r="A1744" s="4">
        <v>2193.0</v>
      </c>
      <c r="B1744" s="4">
        <v>15808.0</v>
      </c>
      <c r="C1744" s="5">
        <f t="shared" ref="C1744:C1747" si="763">DATE(2012,12,31)-748</f>
        <v>40526</v>
      </c>
      <c r="D1744" s="4" t="s">
        <v>78</v>
      </c>
      <c r="E1744" s="4">
        <v>33.0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4">C1744+0</f>
        <v>40526</v>
      </c>
    </row>
    <row r="1745" ht="12.75" customHeight="1">
      <c r="A1745" s="4">
        <v>2194.0</v>
      </c>
      <c r="B1745" s="4">
        <v>15808.0</v>
      </c>
      <c r="C1745" s="5">
        <f t="shared" si="763"/>
        <v>40526</v>
      </c>
      <c r="D1745" s="4" t="s">
        <v>78</v>
      </c>
      <c r="E1745" s="4">
        <v>42.0</v>
      </c>
      <c r="F1745" s="4">
        <v>906.64</v>
      </c>
      <c r="G1745" s="4">
        <v>0.07</v>
      </c>
      <c r="H1745" s="4" t="s">
        <v>56</v>
      </c>
      <c r="I1745" s="6">
        <v>-148.925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4"/>
        <v>40526</v>
      </c>
    </row>
    <row r="1746" ht="12.75" customHeight="1">
      <c r="A1746" s="4">
        <v>2195.0</v>
      </c>
      <c r="B1746" s="4">
        <v>15808.0</v>
      </c>
      <c r="C1746" s="5">
        <f t="shared" si="763"/>
        <v>40526</v>
      </c>
      <c r="D1746" s="4" t="s">
        <v>78</v>
      </c>
      <c r="E1746" s="4">
        <v>45.0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4.0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ht="12.75" customHeight="1">
      <c r="A1747" s="4">
        <v>2196.0</v>
      </c>
      <c r="B1747" s="4">
        <v>15808.0</v>
      </c>
      <c r="C1747" s="5">
        <f t="shared" si="763"/>
        <v>40526</v>
      </c>
      <c r="D1747" s="4" t="s">
        <v>78</v>
      </c>
      <c r="E1747" s="4">
        <v>3.0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4.81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0.58</v>
      </c>
      <c r="U1747" s="5">
        <f>C1747+1</f>
        <v>40527</v>
      </c>
    </row>
    <row r="1748" ht="12.75" customHeight="1">
      <c r="A1748" s="4">
        <v>2271.0</v>
      </c>
      <c r="B1748" s="4">
        <v>16326.0</v>
      </c>
      <c r="C1748" s="5">
        <f t="shared" ref="C1748:C1749" si="765">DATE(2012,12,31)-966</f>
        <v>40308</v>
      </c>
      <c r="D1748" s="4" t="s">
        <v>30</v>
      </c>
      <c r="E1748" s="4">
        <v>39.0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39.48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ht="12.75" customHeight="1">
      <c r="A1749" s="4">
        <v>2272.0</v>
      </c>
      <c r="B1749" s="4">
        <v>16326.0</v>
      </c>
      <c r="C1749" s="5">
        <f t="shared" si="765"/>
        <v>40308</v>
      </c>
      <c r="D1749" s="4" t="s">
        <v>30</v>
      </c>
      <c r="E1749" s="4">
        <v>39.0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ht="12.75" customHeight="1">
      <c r="A1750" s="4">
        <v>2474.0</v>
      </c>
      <c r="B1750" s="4">
        <v>17985.0</v>
      </c>
      <c r="C1750" s="5">
        <f t="shared" ref="C1750:C1751" si="766">DATE(2012,12,31)-629</f>
        <v>40645</v>
      </c>
      <c r="D1750" s="4" t="s">
        <v>63</v>
      </c>
      <c r="E1750" s="4">
        <v>4.0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30.0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ht="12.75" customHeight="1">
      <c r="A1751" s="4">
        <v>2475.0</v>
      </c>
      <c r="B1751" s="4">
        <v>17985.0</v>
      </c>
      <c r="C1751" s="5">
        <f t="shared" si="766"/>
        <v>40645</v>
      </c>
      <c r="D1751" s="4" t="s">
        <v>63</v>
      </c>
      <c r="E1751" s="4">
        <v>50.0</v>
      </c>
      <c r="F1751" s="4">
        <v>849.031</v>
      </c>
      <c r="G1751" s="4">
        <v>0.07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7">C1751+2</f>
        <v>40647</v>
      </c>
    </row>
    <row r="1752" ht="12.75" customHeight="1">
      <c r="A1752" s="4">
        <v>2841.0</v>
      </c>
      <c r="B1752" s="4">
        <v>20480.0</v>
      </c>
      <c r="C1752" s="5">
        <f>DATE(2012,12,31)-1432</f>
        <v>39842</v>
      </c>
      <c r="D1752" s="4" t="s">
        <v>63</v>
      </c>
      <c r="E1752" s="4">
        <v>4.0</v>
      </c>
      <c r="F1752" s="4">
        <v>1042.63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</v>
      </c>
      <c r="U1752" s="5">
        <f t="shared" si="767"/>
        <v>39844</v>
      </c>
    </row>
    <row r="1753" ht="12.75" customHeight="1">
      <c r="A1753" s="4">
        <v>2919.0</v>
      </c>
      <c r="B1753" s="4">
        <v>21091.0</v>
      </c>
      <c r="C1753" s="5">
        <f>DATE(2012,12,31)-1115</f>
        <v>40159</v>
      </c>
      <c r="D1753" s="4" t="s">
        <v>30</v>
      </c>
      <c r="E1753" s="4">
        <v>32.0</v>
      </c>
      <c r="F1753" s="4">
        <v>270.73</v>
      </c>
      <c r="G1753" s="4">
        <v>0.1</v>
      </c>
      <c r="H1753" s="4" t="s">
        <v>56</v>
      </c>
      <c r="I1753" s="6">
        <v>-54.5675</v>
      </c>
      <c r="J1753" s="4">
        <v>8.88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7"/>
        <v>40161</v>
      </c>
    </row>
    <row r="1754" ht="12.75" customHeight="1">
      <c r="A1754" s="4">
        <v>3748.0</v>
      </c>
      <c r="B1754" s="4">
        <v>26759.0</v>
      </c>
      <c r="C1754" s="5">
        <f>DATE(2012,12,31)-341</f>
        <v>40933</v>
      </c>
      <c r="D1754" s="4" t="s">
        <v>45</v>
      </c>
      <c r="E1754" s="4">
        <v>30.0</v>
      </c>
      <c r="F1754" s="4">
        <v>251.11</v>
      </c>
      <c r="G1754" s="4">
        <v>0.03</v>
      </c>
      <c r="H1754" s="4" t="s">
        <v>22</v>
      </c>
      <c r="I1754" s="6">
        <v>10.0385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7"/>
        <v>40935</v>
      </c>
    </row>
    <row r="1755" ht="12.75" customHeight="1">
      <c r="A1755" s="4">
        <v>3759.0</v>
      </c>
      <c r="B1755" s="4">
        <v>26853.0</v>
      </c>
      <c r="C1755" s="5">
        <f>DATE(2012,12,31)-202</f>
        <v>41072</v>
      </c>
      <c r="D1755" s="4" t="s">
        <v>21</v>
      </c>
      <c r="E1755" s="4">
        <v>21.0</v>
      </c>
      <c r="F1755" s="4">
        <v>64.44</v>
      </c>
      <c r="G1755" s="4">
        <v>0.0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ht="12.75" customHeight="1">
      <c r="A1756" s="4">
        <v>3768.0</v>
      </c>
      <c r="B1756" s="4">
        <v>26918.0</v>
      </c>
      <c r="C1756" s="5">
        <f>DATE(2012,12,31)-1365</f>
        <v>39909</v>
      </c>
      <c r="D1756" s="4" t="s">
        <v>21</v>
      </c>
      <c r="E1756" s="4">
        <v>16.0</v>
      </c>
      <c r="F1756" s="4">
        <v>77.96</v>
      </c>
      <c r="G1756" s="4">
        <v>0.05</v>
      </c>
      <c r="H1756" s="4" t="s">
        <v>22</v>
      </c>
      <c r="I1756" s="6">
        <v>16.65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ht="12.75" customHeight="1">
      <c r="A1757" s="4">
        <v>3847.0</v>
      </c>
      <c r="B1757" s="4">
        <v>27456.0</v>
      </c>
      <c r="C1757" s="5">
        <f>DATE(2012,12,31)-1361</f>
        <v>39913</v>
      </c>
      <c r="D1757" s="4" t="s">
        <v>45</v>
      </c>
      <c r="E1757" s="4">
        <v>29.0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0.57</v>
      </c>
      <c r="U1757" s="5">
        <f>C1757+1</f>
        <v>39914</v>
      </c>
    </row>
    <row r="1758" ht="12.75" customHeight="1">
      <c r="A1758" s="4">
        <v>3980.0</v>
      </c>
      <c r="B1758" s="4">
        <v>28420.0</v>
      </c>
      <c r="C1758" s="5">
        <f>DATE(2012,12,31)-1194</f>
        <v>40080</v>
      </c>
      <c r="D1758" s="4" t="s">
        <v>21</v>
      </c>
      <c r="E1758" s="4">
        <v>2.0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ht="12.75" customHeight="1">
      <c r="A1759" s="4">
        <v>4123.0</v>
      </c>
      <c r="B1759" s="4">
        <v>29318.0</v>
      </c>
      <c r="C1759" s="5">
        <f t="shared" ref="C1759:C1760" si="768">DATE(2012,12,31)-550</f>
        <v>40724</v>
      </c>
      <c r="D1759" s="4" t="s">
        <v>45</v>
      </c>
      <c r="E1759" s="4">
        <v>21.0</v>
      </c>
      <c r="F1759" s="4">
        <v>2954.14</v>
      </c>
      <c r="G1759" s="4">
        <v>0.04</v>
      </c>
      <c r="H1759" s="4" t="s">
        <v>56</v>
      </c>
      <c r="I1759" s="6">
        <v>-522.94</v>
      </c>
      <c r="J1759" s="4">
        <v>138.14</v>
      </c>
      <c r="K1759" s="4">
        <v>35.0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9">C1759+1</f>
        <v>40725</v>
      </c>
    </row>
    <row r="1760" ht="12.75" customHeight="1">
      <c r="A1760" s="4">
        <v>4124.0</v>
      </c>
      <c r="B1760" s="4">
        <v>29318.0</v>
      </c>
      <c r="C1760" s="5">
        <f t="shared" si="768"/>
        <v>40724</v>
      </c>
      <c r="D1760" s="4" t="s">
        <v>45</v>
      </c>
      <c r="E1760" s="4">
        <v>34.0</v>
      </c>
      <c r="F1760" s="4">
        <v>3375.3075</v>
      </c>
      <c r="G1760" s="4">
        <v>0.1</v>
      </c>
      <c r="H1760" s="4" t="s">
        <v>22</v>
      </c>
      <c r="I1760" s="6">
        <v>562.1310000000001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0.57</v>
      </c>
      <c r="U1760" s="5">
        <f t="shared" si="769"/>
        <v>40725</v>
      </c>
    </row>
    <row r="1761" ht="12.75" customHeight="1">
      <c r="A1761" s="4">
        <v>4223.0</v>
      </c>
      <c r="B1761" s="4">
        <v>30016.0</v>
      </c>
      <c r="C1761" s="5">
        <f t="shared" ref="C1761:C1762" si="770">DATE(2012,12,31)-1458</f>
        <v>39816</v>
      </c>
      <c r="D1761" s="4" t="s">
        <v>78</v>
      </c>
      <c r="E1761" s="4">
        <v>15.0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ht="12.75" customHeight="1">
      <c r="A1762" s="4">
        <v>4224.0</v>
      </c>
      <c r="B1762" s="4">
        <v>30016.0</v>
      </c>
      <c r="C1762" s="5">
        <f t="shared" si="770"/>
        <v>39816</v>
      </c>
      <c r="D1762" s="4" t="s">
        <v>78</v>
      </c>
      <c r="E1762" s="4">
        <v>8.0</v>
      </c>
      <c r="F1762" s="4">
        <v>754.6555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0.57</v>
      </c>
      <c r="U1762" s="5">
        <f>C1762+3</f>
        <v>39819</v>
      </c>
    </row>
    <row r="1763" ht="12.75" customHeight="1">
      <c r="A1763" s="4">
        <v>4676.0</v>
      </c>
      <c r="B1763" s="4">
        <v>33255.0</v>
      </c>
      <c r="C1763" s="5">
        <f>DATE(2012,12,31)-921</f>
        <v>40353</v>
      </c>
      <c r="D1763" s="4" t="s">
        <v>78</v>
      </c>
      <c r="E1763" s="4">
        <v>19.0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ht="12.75" customHeight="1">
      <c r="A1764" s="4">
        <v>4933.0</v>
      </c>
      <c r="B1764" s="4">
        <v>35104.0</v>
      </c>
      <c r="C1764" s="5">
        <f t="shared" ref="C1764:C1765" si="771">DATE(2012,12,31)-253</f>
        <v>41021</v>
      </c>
      <c r="D1764" s="4" t="s">
        <v>30</v>
      </c>
      <c r="E1764" s="4">
        <v>1.0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ht="12.75" customHeight="1">
      <c r="A1765" s="4">
        <v>4934.0</v>
      </c>
      <c r="B1765" s="4">
        <v>35104.0</v>
      </c>
      <c r="C1765" s="5">
        <f t="shared" si="771"/>
        <v>41021</v>
      </c>
      <c r="D1765" s="4" t="s">
        <v>30</v>
      </c>
      <c r="E1765" s="4">
        <v>18.0</v>
      </c>
      <c r="F1765" s="4">
        <v>388.15</v>
      </c>
      <c r="G1765" s="4">
        <v>0.0</v>
      </c>
      <c r="H1765" s="4" t="s">
        <v>22</v>
      </c>
      <c r="I1765" s="6">
        <v>-44.21</v>
      </c>
      <c r="J1765" s="4">
        <v>19.94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0.57</v>
      </c>
      <c r="U1765" s="5">
        <f t="shared" ref="U1765:U1766" si="772">C1765+2</f>
        <v>41023</v>
      </c>
    </row>
    <row r="1766" ht="12.75" customHeight="1">
      <c r="A1766" s="4">
        <v>4946.0</v>
      </c>
      <c r="B1766" s="4">
        <v>35142.0</v>
      </c>
      <c r="C1766" s="5">
        <f>DATE(2012,12,31)-984</f>
        <v>40290</v>
      </c>
      <c r="D1766" s="4" t="s">
        <v>21</v>
      </c>
      <c r="E1766" s="4">
        <v>11.0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20.24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2"/>
        <v>40292</v>
      </c>
    </row>
    <row r="1767" ht="12.75" customHeight="1">
      <c r="A1767" s="4">
        <v>4997.0</v>
      </c>
      <c r="B1767" s="4">
        <v>35584.0</v>
      </c>
      <c r="C1767" s="5">
        <f>DATE(2012,12,31)-608</f>
        <v>40666</v>
      </c>
      <c r="D1767" s="4" t="s">
        <v>63</v>
      </c>
      <c r="E1767" s="4">
        <v>15.0</v>
      </c>
      <c r="F1767" s="4">
        <v>150.33</v>
      </c>
      <c r="G1767" s="4">
        <v>0.08</v>
      </c>
      <c r="H1767" s="4" t="s">
        <v>56</v>
      </c>
      <c r="I1767" s="6">
        <v>-98.23</v>
      </c>
      <c r="J1767" s="4">
        <v>9.71</v>
      </c>
      <c r="K1767" s="4">
        <v>9.45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ht="12.75" customHeight="1">
      <c r="A1768" s="4">
        <v>5037.0</v>
      </c>
      <c r="B1768" s="4">
        <v>35908.0</v>
      </c>
      <c r="C1768" s="5">
        <f t="shared" ref="C1768:C1769" si="773">DATE(2012,12,31)-750</f>
        <v>40524</v>
      </c>
      <c r="D1768" s="4" t="s">
        <v>45</v>
      </c>
      <c r="E1768" s="4">
        <v>40.0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ht="12.75" customHeight="1">
      <c r="A1769" s="4">
        <v>5038.0</v>
      </c>
      <c r="B1769" s="4">
        <v>35908.0</v>
      </c>
      <c r="C1769" s="5">
        <f t="shared" si="773"/>
        <v>40524</v>
      </c>
      <c r="D1769" s="4" t="s">
        <v>45</v>
      </c>
      <c r="E1769" s="4">
        <v>45.0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4.81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0.58</v>
      </c>
      <c r="U1769" s="5">
        <f>C1769+1</f>
        <v>40525</v>
      </c>
    </row>
    <row r="1770" ht="12.75" customHeight="1">
      <c r="A1770" s="4">
        <v>5152.0</v>
      </c>
      <c r="B1770" s="4">
        <v>36706.0</v>
      </c>
      <c r="C1770" s="5">
        <f t="shared" ref="C1770:C1771" si="774">DATE(2012,12,31)-1360</f>
        <v>39914</v>
      </c>
      <c r="D1770" s="4" t="s">
        <v>45</v>
      </c>
      <c r="E1770" s="4">
        <v>47.0</v>
      </c>
      <c r="F1770" s="4">
        <v>887.45</v>
      </c>
      <c r="G1770" s="4">
        <v>0.1</v>
      </c>
      <c r="H1770" s="4" t="s">
        <v>22</v>
      </c>
      <c r="I1770" s="6">
        <v>365.789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5">C1770+2</f>
        <v>39916</v>
      </c>
    </row>
    <row r="1771" ht="12.75" customHeight="1">
      <c r="A1771" s="4">
        <v>5153.0</v>
      </c>
      <c r="B1771" s="4">
        <v>36706.0</v>
      </c>
      <c r="C1771" s="5">
        <f t="shared" si="774"/>
        <v>39914</v>
      </c>
      <c r="D1771" s="4" t="s">
        <v>45</v>
      </c>
      <c r="E1771" s="4">
        <v>7.0</v>
      </c>
      <c r="F1771" s="4">
        <v>355.97</v>
      </c>
      <c r="G1771" s="4">
        <v>0.03</v>
      </c>
      <c r="H1771" s="4" t="s">
        <v>22</v>
      </c>
      <c r="I1771" s="6">
        <v>-4.459999999999994</v>
      </c>
      <c r="J1771" s="4">
        <v>48.04</v>
      </c>
      <c r="K1771" s="4">
        <v>19.99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5"/>
        <v>39916</v>
      </c>
    </row>
    <row r="1772" ht="12.75" customHeight="1">
      <c r="A1772" s="4">
        <v>5214.0</v>
      </c>
      <c r="B1772" s="4">
        <v>37121.0</v>
      </c>
      <c r="C1772" s="5">
        <f>DATE(2012,12,31)-657</f>
        <v>40617</v>
      </c>
      <c r="D1772" s="4" t="s">
        <v>45</v>
      </c>
      <c r="E1772" s="4">
        <v>44.0</v>
      </c>
      <c r="F1772" s="4">
        <v>9499.3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6">C1772+1</f>
        <v>40618</v>
      </c>
    </row>
    <row r="1773" ht="12.75" customHeight="1">
      <c r="A1773" s="4">
        <v>5420.0</v>
      </c>
      <c r="B1773" s="4">
        <v>38528.0</v>
      </c>
      <c r="C1773" s="5">
        <f>DATE(2012,12,31)-377</f>
        <v>40897</v>
      </c>
      <c r="D1773" s="4" t="s">
        <v>78</v>
      </c>
      <c r="E1773" s="4">
        <v>36.0</v>
      </c>
      <c r="F1773" s="4">
        <v>2544.985</v>
      </c>
      <c r="G1773" s="4">
        <v>0.07</v>
      </c>
      <c r="H1773" s="4" t="s">
        <v>22</v>
      </c>
      <c r="I1773" s="6">
        <v>-113.058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6"/>
        <v>40898</v>
      </c>
    </row>
    <row r="1774" ht="12.75" customHeight="1">
      <c r="A1774" s="4">
        <v>5469.0</v>
      </c>
      <c r="B1774" s="4">
        <v>38853.0</v>
      </c>
      <c r="C1774" s="5">
        <f>DATE(2012,12,31)-283</f>
        <v>40991</v>
      </c>
      <c r="D1774" s="4" t="s">
        <v>21</v>
      </c>
      <c r="E1774" s="4">
        <v>13.0</v>
      </c>
      <c r="F1774" s="4">
        <v>728.025</v>
      </c>
      <c r="G1774" s="4">
        <v>0.04</v>
      </c>
      <c r="H1774" s="4" t="s">
        <v>22</v>
      </c>
      <c r="I1774" s="6">
        <v>19.997999999999998</v>
      </c>
      <c r="J1774" s="4">
        <v>65.99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</v>
      </c>
      <c r="U1774" s="5">
        <f>C1774+4</f>
        <v>40995</v>
      </c>
    </row>
    <row r="1775" ht="12.75" customHeight="1">
      <c r="A1775" s="4">
        <v>5585.0</v>
      </c>
      <c r="B1775" s="4">
        <v>39590.0</v>
      </c>
      <c r="C1775" s="5">
        <f>DATE(2012,12,31)-597</f>
        <v>40677</v>
      </c>
      <c r="D1775" s="4" t="s">
        <v>21</v>
      </c>
      <c r="E1775" s="4">
        <v>9.0</v>
      </c>
      <c r="F1775" s="4">
        <v>79.25</v>
      </c>
      <c r="G1775" s="4">
        <v>0.0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ht="12.75" customHeight="1">
      <c r="A1776" s="4">
        <v>5735.0</v>
      </c>
      <c r="B1776" s="4">
        <v>40707.0</v>
      </c>
      <c r="C1776" s="5">
        <f>DATE(2012,12,31)-1299</f>
        <v>39975</v>
      </c>
      <c r="D1776" s="4" t="s">
        <v>30</v>
      </c>
      <c r="E1776" s="4">
        <v>26.0</v>
      </c>
      <c r="F1776" s="4">
        <v>1495.184</v>
      </c>
      <c r="G1776" s="4">
        <v>0.0</v>
      </c>
      <c r="H1776" s="4" t="s">
        <v>22</v>
      </c>
      <c r="I1776" s="6">
        <v>211.08599999999998</v>
      </c>
      <c r="J1776" s="4">
        <v>65.99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</v>
      </c>
      <c r="U1776" s="5">
        <f>C1776+2</f>
        <v>39977</v>
      </c>
    </row>
    <row r="1777" ht="12.75" customHeight="1">
      <c r="A1777" s="4">
        <v>5769.0</v>
      </c>
      <c r="B1777" s="4">
        <v>40961.0</v>
      </c>
      <c r="C1777" s="5">
        <f>DATE(2012,12,31)-642</f>
        <v>40632</v>
      </c>
      <c r="D1777" s="4" t="s">
        <v>63</v>
      </c>
      <c r="E1777" s="4">
        <v>7.0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7">C1777+1</f>
        <v>40633</v>
      </c>
    </row>
    <row r="1778" ht="12.75" customHeight="1">
      <c r="A1778" s="4">
        <v>5783.0</v>
      </c>
      <c r="B1778" s="4">
        <v>41026.0</v>
      </c>
      <c r="C1778" s="5">
        <f t="shared" ref="C1778:C1779" si="778">DATE(2012,12,31)-622</f>
        <v>40652</v>
      </c>
      <c r="D1778" s="4" t="s">
        <v>63</v>
      </c>
      <c r="E1778" s="4">
        <v>8.0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42.0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7"/>
        <v>40653</v>
      </c>
    </row>
    <row r="1779" ht="12.75" customHeight="1">
      <c r="A1779" s="4">
        <v>5784.0</v>
      </c>
      <c r="B1779" s="4">
        <v>41026.0</v>
      </c>
      <c r="C1779" s="5">
        <f t="shared" si="778"/>
        <v>40652</v>
      </c>
      <c r="D1779" s="4" t="s">
        <v>63</v>
      </c>
      <c r="E1779" s="4">
        <v>19.0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ht="12.75" customHeight="1">
      <c r="A1780" s="4">
        <v>5853.0</v>
      </c>
      <c r="B1780" s="4">
        <v>41543.0</v>
      </c>
      <c r="C1780" s="5">
        <f t="shared" ref="C1780:C1781" si="779">DATE(2012,12,31)-1424</f>
        <v>39850</v>
      </c>
      <c r="D1780" s="4" t="s">
        <v>21</v>
      </c>
      <c r="E1780" s="4">
        <v>45.0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160.98</v>
      </c>
      <c r="K1780" s="4">
        <v>30.0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80">C1780+4</f>
        <v>39854</v>
      </c>
    </row>
    <row r="1781" ht="12.75" customHeight="1">
      <c r="A1781" s="4">
        <v>5854.0</v>
      </c>
      <c r="B1781" s="4">
        <v>41543.0</v>
      </c>
      <c r="C1781" s="5">
        <f t="shared" si="779"/>
        <v>39850</v>
      </c>
      <c r="D1781" s="4" t="s">
        <v>21</v>
      </c>
      <c r="E1781" s="4">
        <v>24.0</v>
      </c>
      <c r="F1781" s="4">
        <v>1318.8684999999998</v>
      </c>
      <c r="G1781" s="4">
        <v>0.03</v>
      </c>
      <c r="H1781" s="4" t="s">
        <v>22</v>
      </c>
      <c r="I1781" s="6">
        <v>172.332</v>
      </c>
      <c r="J1781" s="4">
        <v>65.99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80"/>
        <v>39854</v>
      </c>
    </row>
    <row r="1782" ht="12.75" customHeight="1">
      <c r="A1782" s="4">
        <v>5862.0</v>
      </c>
      <c r="B1782" s="4">
        <v>41606.0</v>
      </c>
      <c r="C1782" s="5">
        <f t="shared" ref="C1782:C1783" si="781">DATE(2012,12,31)-1287</f>
        <v>39987</v>
      </c>
      <c r="D1782" s="4" t="s">
        <v>30</v>
      </c>
      <c r="E1782" s="4">
        <v>23.0</v>
      </c>
      <c r="F1782" s="4">
        <v>4514.86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2">C1782+1</f>
        <v>39988</v>
      </c>
    </row>
    <row r="1783" ht="12.75" customHeight="1">
      <c r="A1783" s="4">
        <v>5863.0</v>
      </c>
      <c r="B1783" s="4">
        <v>41606.0</v>
      </c>
      <c r="C1783" s="5">
        <f t="shared" si="781"/>
        <v>39987</v>
      </c>
      <c r="D1783" s="4" t="s">
        <v>30</v>
      </c>
      <c r="E1783" s="4">
        <v>30.0</v>
      </c>
      <c r="F1783" s="4">
        <v>79.14</v>
      </c>
      <c r="G1783" s="4">
        <v>0.09</v>
      </c>
      <c r="H1783" s="4" t="s">
        <v>22</v>
      </c>
      <c r="I1783" s="6">
        <v>-4.73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2"/>
        <v>39988</v>
      </c>
    </row>
    <row r="1784" ht="12.75" customHeight="1">
      <c r="A1784" s="4">
        <v>5913.0</v>
      </c>
      <c r="B1784" s="4">
        <v>41926.0</v>
      </c>
      <c r="C1784" s="5">
        <f t="shared" ref="C1784:C1785" si="783">DATE(2012,12,31)-695</f>
        <v>40579</v>
      </c>
      <c r="D1784" s="4" t="s">
        <v>30</v>
      </c>
      <c r="E1784" s="4">
        <v>17.0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2"/>
        <v>40580</v>
      </c>
    </row>
    <row r="1785" ht="12.75" customHeight="1">
      <c r="A1785" s="4">
        <v>5914.0</v>
      </c>
      <c r="B1785" s="4">
        <v>41926.0</v>
      </c>
      <c r="C1785" s="5">
        <f t="shared" si="783"/>
        <v>40579</v>
      </c>
      <c r="D1785" s="4" t="s">
        <v>30</v>
      </c>
      <c r="E1785" s="4">
        <v>43.0</v>
      </c>
      <c r="F1785" s="4">
        <v>1562.69</v>
      </c>
      <c r="G1785" s="4">
        <v>0.0</v>
      </c>
      <c r="H1785" s="4" t="s">
        <v>22</v>
      </c>
      <c r="I1785" s="6">
        <v>287.74</v>
      </c>
      <c r="J1785" s="4">
        <v>34.76</v>
      </c>
      <c r="K1785" s="4">
        <v>8.22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0.57</v>
      </c>
      <c r="U1785" s="5">
        <f>C1785+0</f>
        <v>40579</v>
      </c>
    </row>
    <row r="1786" ht="12.75" customHeight="1">
      <c r="A1786" s="4">
        <v>7082.0</v>
      </c>
      <c r="B1786" s="4">
        <v>50533.0</v>
      </c>
      <c r="C1786" s="5">
        <f t="shared" ref="C1786:C1787" si="784">DATE(2012,12,31)-580</f>
        <v>40694</v>
      </c>
      <c r="D1786" s="4" t="s">
        <v>45</v>
      </c>
      <c r="E1786" s="4">
        <v>32.0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</v>
      </c>
      <c r="K1786" s="4">
        <v>35.0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ht="12.75" customHeight="1">
      <c r="A1787" s="4">
        <v>7083.0</v>
      </c>
      <c r="B1787" s="4">
        <v>50533.0</v>
      </c>
      <c r="C1787" s="5">
        <f t="shared" si="784"/>
        <v>40694</v>
      </c>
      <c r="D1787" s="4" t="s">
        <v>45</v>
      </c>
      <c r="E1787" s="4">
        <v>3.0</v>
      </c>
      <c r="F1787" s="4">
        <v>73.44</v>
      </c>
      <c r="G1787" s="4">
        <v>0.0</v>
      </c>
      <c r="H1787" s="4" t="s">
        <v>31</v>
      </c>
      <c r="I1787" s="6">
        <v>-53.784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5">C1787+1</f>
        <v>40695</v>
      </c>
    </row>
    <row r="1788" ht="12.75" customHeight="1">
      <c r="A1788" s="4">
        <v>7252.0</v>
      </c>
      <c r="B1788" s="4">
        <v>51747.0</v>
      </c>
      <c r="C1788" s="5">
        <f>DATE(2012,12,31)-179</f>
        <v>41095</v>
      </c>
      <c r="D1788" s="4" t="s">
        <v>63</v>
      </c>
      <c r="E1788" s="4">
        <v>3.0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5"/>
        <v>41096</v>
      </c>
    </row>
    <row r="1789" ht="12.75" customHeight="1">
      <c r="A1789" s="4">
        <v>7469.0</v>
      </c>
      <c r="B1789" s="4">
        <v>53314.0</v>
      </c>
      <c r="C1789" s="5">
        <f t="shared" ref="C1789:C1790" si="786">DATE(2012,12,31)-834</f>
        <v>40440</v>
      </c>
      <c r="D1789" s="4" t="s">
        <v>30</v>
      </c>
      <c r="E1789" s="4">
        <v>33.0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19.99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ht="12.75" customHeight="1">
      <c r="A1790" s="4">
        <v>7470.0</v>
      </c>
      <c r="B1790" s="4">
        <v>53314.0</v>
      </c>
      <c r="C1790" s="5">
        <f t="shared" si="786"/>
        <v>40440</v>
      </c>
      <c r="D1790" s="4" t="s">
        <v>30</v>
      </c>
      <c r="E1790" s="4">
        <v>15.0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145.98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7">C1790+2</f>
        <v>40442</v>
      </c>
    </row>
    <row r="1791" ht="12.75" customHeight="1">
      <c r="A1791" s="4">
        <v>7648.0</v>
      </c>
      <c r="B1791" s="4">
        <v>54791.0</v>
      </c>
      <c r="C1791" s="5">
        <f>DATE(2012,12,31)-11</f>
        <v>41263</v>
      </c>
      <c r="D1791" s="4" t="s">
        <v>30</v>
      </c>
      <c r="E1791" s="4">
        <v>45.0</v>
      </c>
      <c r="F1791" s="4">
        <v>4165.04</v>
      </c>
      <c r="G1791" s="4">
        <v>0.0</v>
      </c>
      <c r="H1791" s="4" t="s">
        <v>31</v>
      </c>
      <c r="I1791" s="6">
        <v>135.68</v>
      </c>
      <c r="J1791" s="4">
        <v>90.98</v>
      </c>
      <c r="K1791" s="4">
        <v>30.0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7"/>
        <v>41265</v>
      </c>
    </row>
    <row r="1792" ht="12.75" customHeight="1">
      <c r="A1792" s="4">
        <v>7657.0</v>
      </c>
      <c r="B1792" s="4">
        <v>54912.0</v>
      </c>
      <c r="C1792" s="5">
        <f>DATE(2012,12,31)-529</f>
        <v>40745</v>
      </c>
      <c r="D1792" s="4" t="s">
        <v>21</v>
      </c>
      <c r="E1792" s="4">
        <v>17.0</v>
      </c>
      <c r="F1792" s="4">
        <v>117.33</v>
      </c>
      <c r="G1792" s="4">
        <v>0.07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ht="12.75" customHeight="1">
      <c r="A1793" s="4">
        <v>7711.0</v>
      </c>
      <c r="B1793" s="4">
        <v>55269.0</v>
      </c>
      <c r="C1793" s="5">
        <f>DATE(2012,12,31)-1030</f>
        <v>40244</v>
      </c>
      <c r="D1793" s="4" t="s">
        <v>63</v>
      </c>
      <c r="E1793" s="4">
        <v>1.0</v>
      </c>
      <c r="F1793" s="4">
        <v>49.61</v>
      </c>
      <c r="G1793" s="4">
        <v>0.0</v>
      </c>
      <c r="H1793" s="4" t="s">
        <v>22</v>
      </c>
      <c r="I1793" s="6">
        <v>-41.82</v>
      </c>
      <c r="J1793" s="4">
        <v>30.98</v>
      </c>
      <c r="K1793" s="4">
        <v>17.08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ht="12.75" customHeight="1">
      <c r="A1794" s="4">
        <v>7845.0</v>
      </c>
      <c r="B1794" s="4">
        <v>56101.0</v>
      </c>
      <c r="C1794" s="5">
        <f t="shared" ref="C1794:C1795" si="788">DATE(2012,12,31)-896</f>
        <v>40378</v>
      </c>
      <c r="D1794" s="4" t="s">
        <v>45</v>
      </c>
      <c r="E1794" s="4">
        <v>1.0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ht="12.75" customHeight="1">
      <c r="A1795" s="4">
        <v>7846.0</v>
      </c>
      <c r="B1795" s="4">
        <v>56101.0</v>
      </c>
      <c r="C1795" s="5">
        <f t="shared" si="788"/>
        <v>40378</v>
      </c>
      <c r="D1795" s="4" t="s">
        <v>45</v>
      </c>
      <c r="E1795" s="4">
        <v>44.0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19.99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ht="12.75" customHeight="1">
      <c r="A1796" s="4">
        <v>7917.0</v>
      </c>
      <c r="B1796" s="4">
        <v>56582.0</v>
      </c>
      <c r="C1796" s="5">
        <f>DATE(2012,12,31)-1298</f>
        <v>39976</v>
      </c>
      <c r="D1796" s="4" t="s">
        <v>21</v>
      </c>
      <c r="E1796" s="4">
        <v>36.0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130.98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ht="12.75" customHeight="1">
      <c r="A1797" s="4">
        <v>7932.0</v>
      </c>
      <c r="B1797" s="4">
        <v>56677.0</v>
      </c>
      <c r="C1797" s="5">
        <f>DATE(2012,12,31)-1360</f>
        <v>39914</v>
      </c>
      <c r="D1797" s="4" t="s">
        <v>30</v>
      </c>
      <c r="E1797" s="4">
        <v>35.0</v>
      </c>
      <c r="F1797" s="4">
        <v>430.55</v>
      </c>
      <c r="G1797" s="4">
        <v>0.0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</v>
      </c>
      <c r="U1797" s="5">
        <f t="shared" ref="U1797:U1799" si="789">C1797+1</f>
        <v>39915</v>
      </c>
    </row>
    <row r="1798" ht="12.75" customHeight="1">
      <c r="A1798" s="4">
        <v>8214.0</v>
      </c>
      <c r="B1798" s="4">
        <v>58725.0</v>
      </c>
      <c r="C1798" s="5">
        <f>DATE(2012,12,31)-956</f>
        <v>40318</v>
      </c>
      <c r="D1798" s="4" t="s">
        <v>45</v>
      </c>
      <c r="E1798" s="4">
        <v>20.0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9"/>
        <v>40319</v>
      </c>
    </row>
    <row r="1799" ht="12.75" customHeight="1">
      <c r="A1799" s="4">
        <v>8349.0</v>
      </c>
      <c r="B1799" s="4">
        <v>59683.0</v>
      </c>
      <c r="C1799" s="5">
        <f>DATE(2012,12,31)-79</f>
        <v>41195</v>
      </c>
      <c r="D1799" s="4" t="s">
        <v>45</v>
      </c>
      <c r="E1799" s="4">
        <v>37.0</v>
      </c>
      <c r="F1799" s="4">
        <v>191.36</v>
      </c>
      <c r="G1799" s="4">
        <v>0.05</v>
      </c>
      <c r="H1799" s="4" t="s">
        <v>22</v>
      </c>
      <c r="I1799" s="6">
        <v>-82.08699999999999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9"/>
        <v>41196</v>
      </c>
    </row>
    <row r="1800" ht="12.75" customHeight="1">
      <c r="A1800" s="4">
        <v>133.0</v>
      </c>
      <c r="B1800" s="4">
        <v>837.0</v>
      </c>
      <c r="C1800" s="5">
        <f>DATE(2012,12,31)-1296</f>
        <v>39978</v>
      </c>
      <c r="D1800" s="4" t="s">
        <v>45</v>
      </c>
      <c r="E1800" s="4">
        <v>11.0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90">C1800+2</f>
        <v>39980</v>
      </c>
    </row>
    <row r="1801" ht="12.75" customHeight="1">
      <c r="A1801" s="4">
        <v>169.0</v>
      </c>
      <c r="B1801" s="4">
        <v>1059.0</v>
      </c>
      <c r="C1801" s="5">
        <f t="shared" ref="C1801:C1802" si="791">DATE(2012,12,31)-1404</f>
        <v>39870</v>
      </c>
      <c r="D1801" s="4" t="s">
        <v>78</v>
      </c>
      <c r="E1801" s="4">
        <v>22.0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90"/>
        <v>39872</v>
      </c>
    </row>
    <row r="1802" ht="12.75" customHeight="1">
      <c r="A1802" s="4">
        <v>170.0</v>
      </c>
      <c r="B1802" s="4">
        <v>1059.0</v>
      </c>
      <c r="C1802" s="5">
        <f t="shared" si="791"/>
        <v>39870</v>
      </c>
      <c r="D1802" s="4" t="s">
        <v>78</v>
      </c>
      <c r="E1802" s="4">
        <v>24.0</v>
      </c>
      <c r="F1802" s="4">
        <v>990.1</v>
      </c>
      <c r="G1802" s="4">
        <v>0.03</v>
      </c>
      <c r="H1802" s="4" t="s">
        <v>22</v>
      </c>
      <c r="I1802" s="6">
        <v>310.216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2">C1802+1</f>
        <v>39871</v>
      </c>
    </row>
    <row r="1803" ht="12.75" customHeight="1">
      <c r="A1803" s="4">
        <v>264.0</v>
      </c>
      <c r="B1803" s="4">
        <v>1826.0</v>
      </c>
      <c r="C1803" s="5">
        <f>DATE(2012,12,31)-260</f>
        <v>41014</v>
      </c>
      <c r="D1803" s="4" t="s">
        <v>45</v>
      </c>
      <c r="E1803" s="4">
        <v>5.0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2"/>
        <v>41015</v>
      </c>
    </row>
    <row r="1804" ht="12.75" customHeight="1">
      <c r="A1804" s="4">
        <v>288.0</v>
      </c>
      <c r="B1804" s="4">
        <v>2020.0</v>
      </c>
      <c r="C1804" s="5">
        <f>DATE(2012,12,31)-925</f>
        <v>40349</v>
      </c>
      <c r="D1804" s="4" t="s">
        <v>63</v>
      </c>
      <c r="E1804" s="4">
        <v>42.0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5.02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ht="12.75" customHeight="1">
      <c r="A1805" s="4">
        <v>1428.0</v>
      </c>
      <c r="B1805" s="4">
        <v>10340.0</v>
      </c>
      <c r="C1805" s="5">
        <f t="shared" ref="C1805:C1807" si="793">DATE(2012,12,31)-558</f>
        <v>40716</v>
      </c>
      <c r="D1805" s="4" t="s">
        <v>30</v>
      </c>
      <c r="E1805" s="4">
        <v>24.0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</v>
      </c>
      <c r="U1805" s="5">
        <f t="shared" ref="U1805:U1806" si="794">C1805+1</f>
        <v>40717</v>
      </c>
    </row>
    <row r="1806" ht="12.75" customHeight="1">
      <c r="A1806" s="4">
        <v>1429.0</v>
      </c>
      <c r="B1806" s="4">
        <v>10340.0</v>
      </c>
      <c r="C1806" s="5">
        <f t="shared" si="793"/>
        <v>40716</v>
      </c>
      <c r="D1806" s="4" t="s">
        <v>30</v>
      </c>
      <c r="E1806" s="4">
        <v>2.0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4"/>
        <v>40717</v>
      </c>
    </row>
    <row r="1807" ht="12.75" customHeight="1">
      <c r="A1807" s="4">
        <v>1430.0</v>
      </c>
      <c r="B1807" s="4">
        <v>10340.0</v>
      </c>
      <c r="C1807" s="5">
        <f t="shared" si="793"/>
        <v>40716</v>
      </c>
      <c r="D1807" s="4" t="s">
        <v>30</v>
      </c>
      <c r="E1807" s="4">
        <v>15.0</v>
      </c>
      <c r="F1807" s="4">
        <v>311.98</v>
      </c>
      <c r="G1807" s="4">
        <v>0.09</v>
      </c>
      <c r="H1807" s="4" t="s">
        <v>22</v>
      </c>
      <c r="I1807" s="6">
        <v>-9.78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ht="12.75" customHeight="1">
      <c r="A1808" s="4">
        <v>1533.0</v>
      </c>
      <c r="B1808" s="4">
        <v>11044.0</v>
      </c>
      <c r="C1808" s="5">
        <f>DATE(2012,12,31)-190</f>
        <v>41084</v>
      </c>
      <c r="D1808" s="4" t="s">
        <v>63</v>
      </c>
      <c r="E1808" s="4">
        <v>3.0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5.0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</v>
      </c>
      <c r="U1808" s="5">
        <f>C1808+1</f>
        <v>41085</v>
      </c>
    </row>
    <row r="1809" ht="12.75" customHeight="1">
      <c r="A1809" s="4">
        <v>1849.0</v>
      </c>
      <c r="B1809" s="4">
        <v>13313.0</v>
      </c>
      <c r="C1809" s="5">
        <f t="shared" ref="C1809:C1811" si="795">DATE(2012,12,31)-1264</f>
        <v>40010</v>
      </c>
      <c r="D1809" s="4" t="s">
        <v>45</v>
      </c>
      <c r="E1809" s="4">
        <v>18.0</v>
      </c>
      <c r="F1809" s="4">
        <v>243.51</v>
      </c>
      <c r="G1809" s="4">
        <v>0.02</v>
      </c>
      <c r="H1809" s="4" t="s">
        <v>22</v>
      </c>
      <c r="I1809" s="6">
        <v>-159.86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6">C1809+2</f>
        <v>40012</v>
      </c>
    </row>
    <row r="1810" ht="12.75" customHeight="1">
      <c r="A1810" s="4">
        <v>1850.0</v>
      </c>
      <c r="B1810" s="4">
        <v>13313.0</v>
      </c>
      <c r="C1810" s="5">
        <f t="shared" si="795"/>
        <v>40010</v>
      </c>
      <c r="D1810" s="4" t="s">
        <v>45</v>
      </c>
      <c r="E1810" s="4">
        <v>22.0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6"/>
        <v>40012</v>
      </c>
    </row>
    <row r="1811" ht="12.75" customHeight="1">
      <c r="A1811" s="4">
        <v>1851.0</v>
      </c>
      <c r="B1811" s="4">
        <v>13313.0</v>
      </c>
      <c r="C1811" s="5">
        <f t="shared" si="795"/>
        <v>40010</v>
      </c>
      <c r="D1811" s="4" t="s">
        <v>45</v>
      </c>
      <c r="E1811" s="4">
        <v>45.0</v>
      </c>
      <c r="F1811" s="4">
        <v>592.73</v>
      </c>
      <c r="G1811" s="4">
        <v>0.02</v>
      </c>
      <c r="H1811" s="4" t="s">
        <v>22</v>
      </c>
      <c r="I1811" s="6">
        <v>75.01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ht="12.75" customHeight="1">
      <c r="A1812" s="4">
        <v>2182.0</v>
      </c>
      <c r="B1812" s="4">
        <v>15718.0</v>
      </c>
      <c r="C1812" s="5">
        <f>DATE(2012,12,31)-1434</f>
        <v>39840</v>
      </c>
      <c r="D1812" s="4" t="s">
        <v>78</v>
      </c>
      <c r="E1812" s="4">
        <v>36.0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0.58</v>
      </c>
      <c r="U1812" s="5">
        <f>C1812+1</f>
        <v>39841</v>
      </c>
    </row>
    <row r="1813" ht="12.75" customHeight="1">
      <c r="A1813" s="4">
        <v>2410.0</v>
      </c>
      <c r="B1813" s="4">
        <v>17506.0</v>
      </c>
      <c r="C1813" s="5">
        <f>DATE(2012,12,31)-1037</f>
        <v>40237</v>
      </c>
      <c r="D1813" s="4" t="s">
        <v>21</v>
      </c>
      <c r="E1813" s="4">
        <v>33.0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0.57</v>
      </c>
      <c r="U1813" s="5">
        <f>C1813+4</f>
        <v>40241</v>
      </c>
    </row>
    <row r="1814" ht="12.75" customHeight="1">
      <c r="A1814" s="4">
        <v>2766.0</v>
      </c>
      <c r="B1814" s="4">
        <v>20003.0</v>
      </c>
      <c r="C1814" s="5">
        <f>DATE(2012,12,31)-336</f>
        <v>40938</v>
      </c>
      <c r="D1814" s="4" t="s">
        <v>63</v>
      </c>
      <c r="E1814" s="4">
        <v>39.0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4.0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ht="12.75" customHeight="1">
      <c r="A1815" s="4">
        <v>2882.0</v>
      </c>
      <c r="B1815" s="4">
        <v>20805.0</v>
      </c>
      <c r="C1815" s="5">
        <f t="shared" ref="C1815:C1818" si="797">DATE(2012,12,31)-721</f>
        <v>40553</v>
      </c>
      <c r="D1815" s="4" t="s">
        <v>30</v>
      </c>
      <c r="E1815" s="4">
        <v>12.0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ht="12.75" customHeight="1">
      <c r="A1816" s="4">
        <v>2883.0</v>
      </c>
      <c r="B1816" s="4">
        <v>20805.0</v>
      </c>
      <c r="C1816" s="5">
        <f t="shared" si="797"/>
        <v>40553</v>
      </c>
      <c r="D1816" s="4" t="s">
        <v>30</v>
      </c>
      <c r="E1816" s="4">
        <v>35.0</v>
      </c>
      <c r="F1816" s="4">
        <v>418.34</v>
      </c>
      <c r="G1816" s="4">
        <v>0.08</v>
      </c>
      <c r="H1816" s="4" t="s">
        <v>22</v>
      </c>
      <c r="I1816" s="6">
        <v>73.57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ht="12.75" customHeight="1">
      <c r="A1817" s="4">
        <v>2884.0</v>
      </c>
      <c r="B1817" s="4">
        <v>20805.0</v>
      </c>
      <c r="C1817" s="5">
        <f t="shared" si="797"/>
        <v>40553</v>
      </c>
      <c r="D1817" s="4" t="s">
        <v>30</v>
      </c>
      <c r="E1817" s="4">
        <v>3.0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8">C1817+1</f>
        <v>40554</v>
      </c>
    </row>
    <row r="1818" ht="12.75" customHeight="1">
      <c r="A1818" s="4">
        <v>2885.0</v>
      </c>
      <c r="B1818" s="4">
        <v>20805.0</v>
      </c>
      <c r="C1818" s="5">
        <f t="shared" si="797"/>
        <v>40553</v>
      </c>
      <c r="D1818" s="4" t="s">
        <v>30</v>
      </c>
      <c r="E1818" s="4">
        <v>12.0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8"/>
        <v>40554</v>
      </c>
    </row>
    <row r="1819" ht="12.75" customHeight="1">
      <c r="A1819" s="4">
        <v>3290.0</v>
      </c>
      <c r="B1819" s="4">
        <v>23524.0</v>
      </c>
      <c r="C1819" s="5">
        <f t="shared" ref="C1819:C1820" si="799">DATE(2012,12,31)-1343</f>
        <v>39931</v>
      </c>
      <c r="D1819" s="4" t="s">
        <v>30</v>
      </c>
      <c r="E1819" s="4">
        <v>28.0</v>
      </c>
      <c r="F1819" s="4">
        <v>129.33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800">C1819+2</f>
        <v>39933</v>
      </c>
    </row>
    <row r="1820" ht="12.75" customHeight="1">
      <c r="A1820" s="4">
        <v>3291.0</v>
      </c>
      <c r="B1820" s="4">
        <v>23524.0</v>
      </c>
      <c r="C1820" s="5">
        <f t="shared" si="799"/>
        <v>39931</v>
      </c>
      <c r="D1820" s="4" t="s">
        <v>30</v>
      </c>
      <c r="E1820" s="4">
        <v>46.0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800"/>
        <v>39933</v>
      </c>
    </row>
    <row r="1821" ht="12.75" customHeight="1">
      <c r="A1821" s="4">
        <v>4201.0</v>
      </c>
      <c r="B1821" s="4">
        <v>29860.0</v>
      </c>
      <c r="C1821" s="5">
        <f>DATE(2012,12,31)-1205</f>
        <v>40069</v>
      </c>
      <c r="D1821" s="4" t="s">
        <v>78</v>
      </c>
      <c r="E1821" s="4">
        <v>48.0</v>
      </c>
      <c r="F1821" s="4">
        <v>8295.29</v>
      </c>
      <c r="G1821" s="4">
        <v>0.08</v>
      </c>
      <c r="H1821" s="4" t="s">
        <v>22</v>
      </c>
      <c r="I1821" s="6">
        <v>2267.22</v>
      </c>
      <c r="J1821" s="4">
        <v>178.47</v>
      </c>
      <c r="K1821" s="4">
        <v>19.99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</v>
      </c>
      <c r="U1821" s="5">
        <f>C1821+3</f>
        <v>40072</v>
      </c>
    </row>
    <row r="1822" ht="12.75" customHeight="1">
      <c r="A1822" s="4">
        <v>4325.0</v>
      </c>
      <c r="B1822" s="4">
        <v>30787.0</v>
      </c>
      <c r="C1822" s="5">
        <f>DATE(2012,12,31)-461</f>
        <v>40813</v>
      </c>
      <c r="D1822" s="4" t="s">
        <v>30</v>
      </c>
      <c r="E1822" s="4">
        <v>43.0</v>
      </c>
      <c r="F1822" s="4">
        <v>6477.459</v>
      </c>
      <c r="G1822" s="4">
        <v>0.05</v>
      </c>
      <c r="H1822" s="4" t="s">
        <v>22</v>
      </c>
      <c r="I1822" s="6">
        <v>1836.459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0.57</v>
      </c>
      <c r="U1822" s="5">
        <f>C1822+1</f>
        <v>40814</v>
      </c>
    </row>
    <row r="1823" ht="12.75" customHeight="1">
      <c r="A1823" s="4">
        <v>5258.0</v>
      </c>
      <c r="B1823" s="4">
        <v>37440.0</v>
      </c>
      <c r="C1823" s="5">
        <f>DATE(2012,12,31)-922</f>
        <v>40352</v>
      </c>
      <c r="D1823" s="4" t="s">
        <v>45</v>
      </c>
      <c r="E1823" s="4">
        <v>31.0</v>
      </c>
      <c r="F1823" s="4">
        <v>295.45</v>
      </c>
      <c r="G1823" s="4">
        <v>0.03</v>
      </c>
      <c r="H1823" s="4" t="s">
        <v>22</v>
      </c>
      <c r="I1823" s="6">
        <v>-4.36</v>
      </c>
      <c r="J1823" s="4">
        <v>9.38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0.57</v>
      </c>
      <c r="U1823" s="5">
        <f>C1823+2</f>
        <v>40354</v>
      </c>
    </row>
    <row r="1824" ht="12.75" customHeight="1">
      <c r="A1824" s="4">
        <v>5633.0</v>
      </c>
      <c r="B1824" s="4">
        <v>39872.0</v>
      </c>
      <c r="C1824" s="5">
        <f>DATE(2012,12,31)-1043</f>
        <v>40231</v>
      </c>
      <c r="D1824" s="4" t="s">
        <v>78</v>
      </c>
      <c r="E1824" s="4">
        <v>5.0</v>
      </c>
      <c r="F1824" s="4">
        <v>16.24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1">C1824+1</f>
        <v>40232</v>
      </c>
    </row>
    <row r="1825" ht="12.75" customHeight="1">
      <c r="A1825" s="4">
        <v>5646.0</v>
      </c>
      <c r="B1825" s="4">
        <v>39943.0</v>
      </c>
      <c r="C1825" s="5">
        <f t="shared" ref="C1825:C1826" si="802">DATE(2012,12,31)-207</f>
        <v>41067</v>
      </c>
      <c r="D1825" s="4" t="s">
        <v>30</v>
      </c>
      <c r="E1825" s="4">
        <v>16.0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1"/>
        <v>41068</v>
      </c>
    </row>
    <row r="1826" ht="12.75" customHeight="1">
      <c r="A1826" s="4">
        <v>5647.0</v>
      </c>
      <c r="B1826" s="4">
        <v>39943.0</v>
      </c>
      <c r="C1826" s="5">
        <f t="shared" si="802"/>
        <v>41067</v>
      </c>
      <c r="D1826" s="4" t="s">
        <v>30</v>
      </c>
      <c r="E1826" s="4">
        <v>12.0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3">C1826+2</f>
        <v>41069</v>
      </c>
    </row>
    <row r="1827" ht="12.75" customHeight="1">
      <c r="A1827" s="4">
        <v>5985.0</v>
      </c>
      <c r="B1827" s="4">
        <v>42405.0</v>
      </c>
      <c r="C1827" s="5">
        <f>DATE(2012,12,31)-1075</f>
        <v>40199</v>
      </c>
      <c r="D1827" s="4" t="s">
        <v>30</v>
      </c>
      <c r="E1827" s="4">
        <v>13.0</v>
      </c>
      <c r="F1827" s="4">
        <v>81.68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3"/>
        <v>40201</v>
      </c>
    </row>
    <row r="1828" ht="12.75" customHeight="1">
      <c r="A1828" s="4">
        <v>6631.0</v>
      </c>
      <c r="B1828" s="4">
        <v>47171.0</v>
      </c>
      <c r="C1828" s="5">
        <f t="shared" ref="C1828:C1830" si="804">DATE(2012,12,31)-1089</f>
        <v>40185</v>
      </c>
      <c r="D1828" s="4" t="s">
        <v>63</v>
      </c>
      <c r="E1828" s="4">
        <v>21.0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5">C1828+1</f>
        <v>40186</v>
      </c>
    </row>
    <row r="1829" ht="12.75" customHeight="1">
      <c r="A1829" s="4">
        <v>6632.0</v>
      </c>
      <c r="B1829" s="4">
        <v>47171.0</v>
      </c>
      <c r="C1829" s="5">
        <f t="shared" si="804"/>
        <v>40185</v>
      </c>
      <c r="D1829" s="4" t="s">
        <v>63</v>
      </c>
      <c r="E1829" s="4">
        <v>19.0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0.57</v>
      </c>
      <c r="U1829" s="5">
        <f t="shared" si="805"/>
        <v>40186</v>
      </c>
    </row>
    <row r="1830" ht="12.75" customHeight="1">
      <c r="A1830" s="4">
        <v>6633.0</v>
      </c>
      <c r="B1830" s="4">
        <v>47171.0</v>
      </c>
      <c r="C1830" s="5">
        <f t="shared" si="804"/>
        <v>40185</v>
      </c>
      <c r="D1830" s="4" t="s">
        <v>63</v>
      </c>
      <c r="E1830" s="4">
        <v>32.0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ht="12.75" customHeight="1">
      <c r="A1831" s="4">
        <v>6820.0</v>
      </c>
      <c r="B1831" s="4">
        <v>48576.0</v>
      </c>
      <c r="C1831" s="5">
        <f t="shared" ref="C1831:C1832" si="806">DATE(2012,12,31)-30</f>
        <v>41244</v>
      </c>
      <c r="D1831" s="4" t="s">
        <v>45</v>
      </c>
      <c r="E1831" s="4">
        <v>17.0</v>
      </c>
      <c r="F1831" s="4">
        <v>464.59</v>
      </c>
      <c r="G1831" s="4">
        <v>0.07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ht="12.75" customHeight="1">
      <c r="A1832" s="4">
        <v>6821.0</v>
      </c>
      <c r="B1832" s="4">
        <v>48576.0</v>
      </c>
      <c r="C1832" s="5">
        <f t="shared" si="806"/>
        <v>41244</v>
      </c>
      <c r="D1832" s="4" t="s">
        <v>45</v>
      </c>
      <c r="E1832" s="4">
        <v>47.0</v>
      </c>
      <c r="F1832" s="4">
        <v>316.68</v>
      </c>
      <c r="G1832" s="4">
        <v>0.06</v>
      </c>
      <c r="H1832" s="4" t="s">
        <v>22</v>
      </c>
      <c r="I1832" s="6">
        <v>-161.0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ht="12.75" customHeight="1">
      <c r="A1833" s="4">
        <v>7547.0</v>
      </c>
      <c r="B1833" s="4">
        <v>53984.0</v>
      </c>
      <c r="C1833" s="5">
        <f>DATE(2012,12,31)-21</f>
        <v>41253</v>
      </c>
      <c r="D1833" s="4" t="s">
        <v>63</v>
      </c>
      <c r="E1833" s="4">
        <v>23.0</v>
      </c>
      <c r="F1833" s="4">
        <v>172.9</v>
      </c>
      <c r="G1833" s="4">
        <v>0.0</v>
      </c>
      <c r="H1833" s="4" t="s">
        <v>22</v>
      </c>
      <c r="I1833" s="6">
        <v>51.43</v>
      </c>
      <c r="J1833" s="4">
        <v>6.88</v>
      </c>
      <c r="K1833" s="4">
        <v>2.0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ht="12.75" customHeight="1">
      <c r="A1834" s="4">
        <v>18.0</v>
      </c>
      <c r="B1834" s="4">
        <v>129.0</v>
      </c>
      <c r="C1834" s="5">
        <f>DATE(2012,12,31)-43</f>
        <v>41231</v>
      </c>
      <c r="D1834" s="4" t="s">
        <v>21</v>
      </c>
      <c r="E1834" s="4">
        <v>4.0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ht="12.75" customHeight="1">
      <c r="A1835" s="4">
        <v>68.0</v>
      </c>
      <c r="B1835" s="4">
        <v>388.0</v>
      </c>
      <c r="C1835" s="5">
        <f>DATE(2012,12,31)-16</f>
        <v>41258</v>
      </c>
      <c r="D1835" s="4" t="s">
        <v>45</v>
      </c>
      <c r="E1835" s="4">
        <v>46.0</v>
      </c>
      <c r="F1835" s="4">
        <v>517.93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ht="12.75" customHeight="1">
      <c r="A1836" s="4">
        <v>205.0</v>
      </c>
      <c r="B1836" s="4">
        <v>1345.0</v>
      </c>
      <c r="C1836" s="5">
        <f>DATE(2012,12,31)-65</f>
        <v>41209</v>
      </c>
      <c r="D1836" s="4" t="s">
        <v>21</v>
      </c>
      <c r="E1836" s="4">
        <v>24.0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ht="12.75" customHeight="1">
      <c r="A1837" s="4">
        <v>257.0</v>
      </c>
      <c r="B1837" s="4">
        <v>1793.0</v>
      </c>
      <c r="C1837" s="5">
        <f>DATE(2012,12,31)-173</f>
        <v>41101</v>
      </c>
      <c r="D1837" s="4" t="s">
        <v>45</v>
      </c>
      <c r="E1837" s="4">
        <v>36.0</v>
      </c>
      <c r="F1837" s="4">
        <v>233.43</v>
      </c>
      <c r="G1837" s="4">
        <v>0.03</v>
      </c>
      <c r="H1837" s="4" t="s">
        <v>22</v>
      </c>
      <c r="I1837" s="6">
        <v>-71.898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ht="12.75" customHeight="1">
      <c r="A1838" s="4">
        <v>316.0</v>
      </c>
      <c r="B1838" s="4">
        <v>2209.0</v>
      </c>
      <c r="C1838" s="5">
        <f t="shared" ref="C1838:C1841" si="807">DATE(2012,12,31)-175</f>
        <v>41099</v>
      </c>
      <c r="D1838" s="4" t="s">
        <v>30</v>
      </c>
      <c r="E1838" s="4">
        <v>27.0</v>
      </c>
      <c r="F1838" s="4">
        <v>9418.73</v>
      </c>
      <c r="G1838" s="4">
        <v>0.0</v>
      </c>
      <c r="H1838" s="4" t="s">
        <v>31</v>
      </c>
      <c r="I1838" s="6">
        <v>2245.24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0.57</v>
      </c>
      <c r="U1838" s="5">
        <f>C1838+2</f>
        <v>41101</v>
      </c>
    </row>
    <row r="1839" ht="12.75" customHeight="1">
      <c r="A1839" s="4">
        <v>317.0</v>
      </c>
      <c r="B1839" s="4">
        <v>2209.0</v>
      </c>
      <c r="C1839" s="5">
        <f t="shared" si="807"/>
        <v>41099</v>
      </c>
      <c r="D1839" s="4" t="s">
        <v>30</v>
      </c>
      <c r="E1839" s="4">
        <v>1.0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ht="12.75" customHeight="1">
      <c r="A1840" s="4">
        <v>318.0</v>
      </c>
      <c r="B1840" s="4">
        <v>2209.0</v>
      </c>
      <c r="C1840" s="5">
        <f t="shared" si="807"/>
        <v>41099</v>
      </c>
      <c r="D1840" s="4" t="s">
        <v>30</v>
      </c>
      <c r="E1840" s="4">
        <v>42.0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</v>
      </c>
      <c r="U1840" s="5">
        <f>C1840+0</f>
        <v>41099</v>
      </c>
    </row>
    <row r="1841" ht="12.75" customHeight="1">
      <c r="A1841" s="4">
        <v>319.0</v>
      </c>
      <c r="B1841" s="4">
        <v>2209.0</v>
      </c>
      <c r="C1841" s="5">
        <f t="shared" si="807"/>
        <v>41099</v>
      </c>
      <c r="D1841" s="4" t="s">
        <v>30</v>
      </c>
      <c r="E1841" s="4">
        <v>13.0</v>
      </c>
      <c r="F1841" s="4">
        <v>1265.4969999999998</v>
      </c>
      <c r="G1841" s="4">
        <v>0.1</v>
      </c>
      <c r="H1841" s="4" t="s">
        <v>22</v>
      </c>
      <c r="I1841" s="6">
        <v>-161.117</v>
      </c>
      <c r="J1841" s="4">
        <v>125.99</v>
      </c>
      <c r="K1841" s="4">
        <v>3.0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ht="12.75" customHeight="1">
      <c r="A1842" s="4">
        <v>439.0</v>
      </c>
      <c r="B1842" s="4">
        <v>2947.0</v>
      </c>
      <c r="C1842" s="5">
        <f>DATE(2012,12,31)-616</f>
        <v>40658</v>
      </c>
      <c r="D1842" s="4" t="s">
        <v>78</v>
      </c>
      <c r="E1842" s="4">
        <v>8.0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ht="12.75" customHeight="1">
      <c r="A1843" s="4">
        <v>474.0</v>
      </c>
      <c r="B1843" s="4">
        <v>3271.0</v>
      </c>
      <c r="C1843" s="5">
        <f t="shared" ref="C1843:C1844" si="808">DATE(2012,12,31)-366</f>
        <v>40908</v>
      </c>
      <c r="D1843" s="4" t="s">
        <v>78</v>
      </c>
      <c r="E1843" s="4">
        <v>45.0</v>
      </c>
      <c r="F1843" s="4">
        <v>11532.99</v>
      </c>
      <c r="G1843" s="4">
        <v>0.07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0.58</v>
      </c>
      <c r="U1843" s="5">
        <f>C1843+0</f>
        <v>40908</v>
      </c>
    </row>
    <row r="1844" ht="12.75" customHeight="1">
      <c r="A1844" s="4">
        <v>475.0</v>
      </c>
      <c r="B1844" s="4">
        <v>3271.0</v>
      </c>
      <c r="C1844" s="5">
        <f t="shared" si="808"/>
        <v>40908</v>
      </c>
      <c r="D1844" s="4" t="s">
        <v>78</v>
      </c>
      <c r="E1844" s="4">
        <v>18.0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ht="12.75" customHeight="1">
      <c r="A1845" s="4">
        <v>623.0</v>
      </c>
      <c r="B1845" s="4">
        <v>4321.0</v>
      </c>
      <c r="C1845" s="5">
        <f>DATE(2012,12,31)-1263</f>
        <v>40011</v>
      </c>
      <c r="D1845" s="4" t="s">
        <v>63</v>
      </c>
      <c r="E1845" s="4">
        <v>47.0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19.99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9">C1845+2</f>
        <v>40013</v>
      </c>
    </row>
    <row r="1846" ht="12.75" customHeight="1">
      <c r="A1846" s="4">
        <v>643.0</v>
      </c>
      <c r="B1846" s="4">
        <v>4545.0</v>
      </c>
      <c r="C1846" s="5">
        <f t="shared" ref="C1846:C1847" si="810">DATE(2012,12,31)-1080</f>
        <v>40194</v>
      </c>
      <c r="D1846" s="4" t="s">
        <v>45</v>
      </c>
      <c r="E1846" s="4">
        <v>33.0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4.0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9"/>
        <v>40196</v>
      </c>
    </row>
    <row r="1847" ht="12.75" customHeight="1">
      <c r="A1847" s="4">
        <v>644.0</v>
      </c>
      <c r="B1847" s="4">
        <v>4545.0</v>
      </c>
      <c r="C1847" s="5">
        <f t="shared" si="810"/>
        <v>40194</v>
      </c>
      <c r="D1847" s="4" t="s">
        <v>45</v>
      </c>
      <c r="E1847" s="4">
        <v>4.0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ht="12.75" customHeight="1">
      <c r="A1848" s="4">
        <v>783.0</v>
      </c>
      <c r="B1848" s="4">
        <v>5572.0</v>
      </c>
      <c r="C1848" s="5">
        <f>DATE(2012,12,31)-1264</f>
        <v>40010</v>
      </c>
      <c r="D1848" s="4" t="s">
        <v>30</v>
      </c>
      <c r="E1848" s="4">
        <v>37.0</v>
      </c>
      <c r="F1848" s="4">
        <v>288.55</v>
      </c>
      <c r="G1848" s="4">
        <v>0.03</v>
      </c>
      <c r="H1848" s="4" t="s">
        <v>22</v>
      </c>
      <c r="I1848" s="6">
        <v>-133.7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ht="12.75" customHeight="1">
      <c r="A1849" s="4">
        <v>800.0</v>
      </c>
      <c r="B1849" s="4">
        <v>5703.0</v>
      </c>
      <c r="C1849" s="5">
        <f>DATE(2012,12,31)-961</f>
        <v>40313</v>
      </c>
      <c r="D1849" s="4" t="s">
        <v>63</v>
      </c>
      <c r="E1849" s="4">
        <v>29.0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ht="12.75" customHeight="1">
      <c r="A1850" s="4">
        <v>819.0</v>
      </c>
      <c r="B1850" s="4">
        <v>5920.0</v>
      </c>
      <c r="C1850" s="5">
        <f>DATE(2012,12,31)-1138</f>
        <v>40136</v>
      </c>
      <c r="D1850" s="4" t="s">
        <v>30</v>
      </c>
      <c r="E1850" s="4">
        <v>4.0</v>
      </c>
      <c r="F1850" s="4">
        <v>582.59</v>
      </c>
      <c r="G1850" s="4">
        <v>0.07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ht="12.75" customHeight="1">
      <c r="A1851" s="4">
        <v>880.0</v>
      </c>
      <c r="B1851" s="4">
        <v>6311.0</v>
      </c>
      <c r="C1851" s="5">
        <f>DATE(2012,12,31)-1055</f>
        <v>40219</v>
      </c>
      <c r="D1851" s="4" t="s">
        <v>63</v>
      </c>
      <c r="E1851" s="4">
        <v>18.0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0.58</v>
      </c>
      <c r="U1851" s="5">
        <f>C1851+3</f>
        <v>40222</v>
      </c>
    </row>
    <row r="1852" ht="12.75" customHeight="1">
      <c r="A1852" s="4">
        <v>1125.0</v>
      </c>
      <c r="B1852" s="4">
        <v>8231.0</v>
      </c>
      <c r="C1852" s="5">
        <f t="shared" ref="C1852:C1853" si="811">DATE(2012,12,31)-74</f>
        <v>41200</v>
      </c>
      <c r="D1852" s="4" t="s">
        <v>78</v>
      </c>
      <c r="E1852" s="4">
        <v>27.0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ht="12.75" customHeight="1">
      <c r="A1853" s="4">
        <v>1126.0</v>
      </c>
      <c r="B1853" s="4">
        <v>8231.0</v>
      </c>
      <c r="C1853" s="5">
        <f t="shared" si="811"/>
        <v>41200</v>
      </c>
      <c r="D1853" s="4" t="s">
        <v>78</v>
      </c>
      <c r="E1853" s="4">
        <v>5.0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ht="12.75" customHeight="1">
      <c r="A1854" s="4">
        <v>1191.0</v>
      </c>
      <c r="B1854" s="4">
        <v>8709.0</v>
      </c>
      <c r="C1854" s="5">
        <f t="shared" ref="C1854:C1855" si="812">DATE(2012,12,31)-1394</f>
        <v>39880</v>
      </c>
      <c r="D1854" s="4" t="s">
        <v>30</v>
      </c>
      <c r="E1854" s="4">
        <v>50.0</v>
      </c>
      <c r="F1854" s="4">
        <v>2451.41</v>
      </c>
      <c r="G1854" s="4">
        <v>0.07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ht="12.75" customHeight="1">
      <c r="A1855" s="4">
        <v>1192.0</v>
      </c>
      <c r="B1855" s="4">
        <v>8709.0</v>
      </c>
      <c r="C1855" s="5">
        <f t="shared" si="812"/>
        <v>39880</v>
      </c>
      <c r="D1855" s="4" t="s">
        <v>30</v>
      </c>
      <c r="E1855" s="4">
        <v>11.0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ht="12.75" customHeight="1">
      <c r="A1856" s="4">
        <v>1338.0</v>
      </c>
      <c r="B1856" s="4">
        <v>9765.0</v>
      </c>
      <c r="C1856" s="5">
        <f>DATE(2012,12,31)-80</f>
        <v>41194</v>
      </c>
      <c r="D1856" s="4" t="s">
        <v>21</v>
      </c>
      <c r="E1856" s="4">
        <v>26.0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ht="12.75" customHeight="1">
      <c r="A1857" s="4">
        <v>1399.0</v>
      </c>
      <c r="B1857" s="4">
        <v>10147.0</v>
      </c>
      <c r="C1857" s="5">
        <f>DATE(2012,12,31)-814</f>
        <v>40460</v>
      </c>
      <c r="D1857" s="4" t="s">
        <v>30</v>
      </c>
      <c r="E1857" s="4">
        <v>22.0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ht="12.75" customHeight="1">
      <c r="A1858" s="4">
        <v>1645.0</v>
      </c>
      <c r="B1858" s="4">
        <v>11876.0</v>
      </c>
      <c r="C1858" s="5">
        <f>DATE(2012,12,31)-547</f>
        <v>40727</v>
      </c>
      <c r="D1858" s="4" t="s">
        <v>30</v>
      </c>
      <c r="E1858" s="4">
        <v>47.0</v>
      </c>
      <c r="F1858" s="4">
        <v>5051.89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ht="12.75" customHeight="1">
      <c r="A1859" s="4">
        <v>1692.0</v>
      </c>
      <c r="B1859" s="4">
        <v>12224.0</v>
      </c>
      <c r="C1859" s="5">
        <f t="shared" ref="C1859:C1860" si="813">DATE(2012,12,31)-1115</f>
        <v>40159</v>
      </c>
      <c r="D1859" s="4" t="s">
        <v>30</v>
      </c>
      <c r="E1859" s="4">
        <v>2.0</v>
      </c>
      <c r="F1859" s="4">
        <v>302.91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ht="12.75" customHeight="1">
      <c r="A1860" s="4">
        <v>1693.0</v>
      </c>
      <c r="B1860" s="4">
        <v>12224.0</v>
      </c>
      <c r="C1860" s="5">
        <f t="shared" si="813"/>
        <v>40159</v>
      </c>
      <c r="D1860" s="4" t="s">
        <v>30</v>
      </c>
      <c r="E1860" s="4">
        <v>29.0</v>
      </c>
      <c r="F1860" s="4">
        <v>842.6134999999999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5.0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ht="12.75" customHeight="1">
      <c r="A1861" s="4">
        <v>1696.0</v>
      </c>
      <c r="B1861" s="4">
        <v>12256.0</v>
      </c>
      <c r="C1861" s="5">
        <f>DATE(2012,12,31)-13</f>
        <v>41261</v>
      </c>
      <c r="D1861" s="4" t="s">
        <v>63</v>
      </c>
      <c r="E1861" s="4">
        <v>44.0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ht="12.75" customHeight="1">
      <c r="A1862" s="4">
        <v>1703.0</v>
      </c>
      <c r="B1862" s="4">
        <v>12261.0</v>
      </c>
      <c r="C1862" s="5">
        <f t="shared" ref="C1862:C1866" si="814">DATE(2012,12,31)-800</f>
        <v>40474</v>
      </c>
      <c r="D1862" s="4" t="s">
        <v>21</v>
      </c>
      <c r="E1862" s="4">
        <v>12.0</v>
      </c>
      <c r="F1862" s="4">
        <v>2237.76</v>
      </c>
      <c r="G1862" s="4">
        <v>0.1</v>
      </c>
      <c r="H1862" s="4" t="s">
        <v>31</v>
      </c>
      <c r="I1862" s="6">
        <v>151.86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0.58</v>
      </c>
      <c r="U1862" s="5">
        <f>C1862+5</f>
        <v>40479</v>
      </c>
    </row>
    <row r="1863" ht="12.75" customHeight="1">
      <c r="A1863" s="4">
        <v>1704.0</v>
      </c>
      <c r="B1863" s="4">
        <v>12261.0</v>
      </c>
      <c r="C1863" s="5">
        <f t="shared" si="814"/>
        <v>40474</v>
      </c>
      <c r="D1863" s="4" t="s">
        <v>21</v>
      </c>
      <c r="E1863" s="4">
        <v>4.0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ht="12.75" customHeight="1">
      <c r="A1864" s="4">
        <v>1705.0</v>
      </c>
      <c r="B1864" s="4">
        <v>12261.0</v>
      </c>
      <c r="C1864" s="5">
        <f t="shared" si="814"/>
        <v>40474</v>
      </c>
      <c r="D1864" s="4" t="s">
        <v>21</v>
      </c>
      <c r="E1864" s="4">
        <v>19.0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0.58</v>
      </c>
      <c r="U1864" s="5">
        <f>C1864+5</f>
        <v>40479</v>
      </c>
    </row>
    <row r="1865" ht="12.75" customHeight="1">
      <c r="A1865" s="4">
        <v>1706.0</v>
      </c>
      <c r="B1865" s="4">
        <v>12261.0</v>
      </c>
      <c r="C1865" s="5">
        <f t="shared" si="814"/>
        <v>40474</v>
      </c>
      <c r="D1865" s="4" t="s">
        <v>21</v>
      </c>
      <c r="E1865" s="4">
        <v>23.0</v>
      </c>
      <c r="F1865" s="4">
        <v>217.35</v>
      </c>
      <c r="G1865" s="4">
        <v>0.0</v>
      </c>
      <c r="H1865" s="4" t="s">
        <v>22</v>
      </c>
      <c r="I1865" s="6">
        <v>-67.19</v>
      </c>
      <c r="J1865" s="4">
        <v>8.74</v>
      </c>
      <c r="K1865" s="4">
        <v>8.29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ht="12.75" customHeight="1">
      <c r="A1866" s="4">
        <v>1707.0</v>
      </c>
      <c r="B1866" s="4">
        <v>12261.0</v>
      </c>
      <c r="C1866" s="5">
        <f t="shared" si="814"/>
        <v>40474</v>
      </c>
      <c r="D1866" s="4" t="s">
        <v>21</v>
      </c>
      <c r="E1866" s="4">
        <v>15.0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19.99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</v>
      </c>
      <c r="U1866" s="5">
        <f>C1866+5</f>
        <v>40479</v>
      </c>
    </row>
    <row r="1867" ht="12.75" customHeight="1">
      <c r="A1867" s="4">
        <v>1863.0</v>
      </c>
      <c r="B1867" s="4">
        <v>13408.0</v>
      </c>
      <c r="C1867" s="5">
        <f>DATE(2012,12,31)-1416</f>
        <v>39858</v>
      </c>
      <c r="D1867" s="4" t="s">
        <v>21</v>
      </c>
      <c r="E1867" s="4">
        <v>4.0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ht="12.75" customHeight="1">
      <c r="A1868" s="4">
        <v>1868.0</v>
      </c>
      <c r="B1868" s="4">
        <v>13444.0</v>
      </c>
      <c r="C1868" s="5">
        <f>DATE(2012,12,31)-361</f>
        <v>40913</v>
      </c>
      <c r="D1868" s="4" t="s">
        <v>30</v>
      </c>
      <c r="E1868" s="4">
        <v>33.0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ht="12.75" customHeight="1">
      <c r="A1869" s="4">
        <v>1893.0</v>
      </c>
      <c r="B1869" s="4">
        <v>13601.0</v>
      </c>
      <c r="C1869" s="5">
        <f>DATE(2012,12,31)-137</f>
        <v>41137</v>
      </c>
      <c r="D1869" s="4" t="s">
        <v>21</v>
      </c>
      <c r="E1869" s="4">
        <v>17.0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19.99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0.57</v>
      </c>
      <c r="U1869" s="5">
        <f>C1869+4</f>
        <v>41141</v>
      </c>
    </row>
    <row r="1870" ht="12.75" customHeight="1">
      <c r="A1870" s="4">
        <v>1938.0</v>
      </c>
      <c r="B1870" s="4">
        <v>13894.0</v>
      </c>
      <c r="C1870" s="5">
        <f t="shared" ref="C1870:C1871" si="815">DATE(2012,12,31)-265</f>
        <v>41009</v>
      </c>
      <c r="D1870" s="4" t="s">
        <v>63</v>
      </c>
      <c r="E1870" s="4">
        <v>31.0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6">C1870+1</f>
        <v>41010</v>
      </c>
    </row>
    <row r="1871" ht="12.75" customHeight="1">
      <c r="A1871" s="4">
        <v>1939.0</v>
      </c>
      <c r="B1871" s="4">
        <v>13894.0</v>
      </c>
      <c r="C1871" s="5">
        <f t="shared" si="815"/>
        <v>41009</v>
      </c>
      <c r="D1871" s="4" t="s">
        <v>63</v>
      </c>
      <c r="E1871" s="4">
        <v>50.0</v>
      </c>
      <c r="F1871" s="4">
        <v>1540.285</v>
      </c>
      <c r="G1871" s="4">
        <v>0.05</v>
      </c>
      <c r="H1871" s="4" t="s">
        <v>22</v>
      </c>
      <c r="I1871" s="6">
        <v>829.647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6"/>
        <v>41010</v>
      </c>
    </row>
    <row r="1872" ht="12.75" customHeight="1">
      <c r="A1872" s="4">
        <v>2286.0</v>
      </c>
      <c r="B1872" s="4">
        <v>16480.0</v>
      </c>
      <c r="C1872" s="5">
        <f>DATE(2012,12,31)-1121</f>
        <v>40153</v>
      </c>
      <c r="D1872" s="4" t="s">
        <v>45</v>
      </c>
      <c r="E1872" s="4">
        <v>14.0</v>
      </c>
      <c r="F1872" s="4">
        <v>87.23</v>
      </c>
      <c r="G1872" s="4">
        <v>0.09</v>
      </c>
      <c r="H1872" s="4" t="s">
        <v>56</v>
      </c>
      <c r="I1872" s="6">
        <v>-69.529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7">C1872+2</f>
        <v>40155</v>
      </c>
    </row>
    <row r="1873" ht="12.75" customHeight="1">
      <c r="A1873" s="4">
        <v>2455.0</v>
      </c>
      <c r="B1873" s="4">
        <v>17858.0</v>
      </c>
      <c r="C1873" s="5">
        <f t="shared" ref="C1873:C1875" si="818">DATE(2012,12,31)-828</f>
        <v>40446</v>
      </c>
      <c r="D1873" s="4" t="s">
        <v>63</v>
      </c>
      <c r="E1873" s="4">
        <v>21.0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7"/>
        <v>40448</v>
      </c>
    </row>
    <row r="1874" ht="12.75" customHeight="1">
      <c r="A1874" s="4">
        <v>2456.0</v>
      </c>
      <c r="B1874" s="4">
        <v>17858.0</v>
      </c>
      <c r="C1874" s="5">
        <f t="shared" si="818"/>
        <v>40446</v>
      </c>
      <c r="D1874" s="4" t="s">
        <v>63</v>
      </c>
      <c r="E1874" s="4">
        <v>12.0</v>
      </c>
      <c r="F1874" s="4">
        <v>385.7</v>
      </c>
      <c r="G1874" s="4">
        <v>0.0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9">C1874+1</f>
        <v>40447</v>
      </c>
    </row>
    <row r="1875" ht="12.75" customHeight="1">
      <c r="A1875" s="4">
        <v>2457.0</v>
      </c>
      <c r="B1875" s="4">
        <v>17858.0</v>
      </c>
      <c r="C1875" s="5">
        <f t="shared" si="818"/>
        <v>40446</v>
      </c>
      <c r="D1875" s="4" t="s">
        <v>63</v>
      </c>
      <c r="E1875" s="4">
        <v>46.0</v>
      </c>
      <c r="F1875" s="4">
        <v>1048.39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9"/>
        <v>40447</v>
      </c>
    </row>
    <row r="1876" ht="12.75" customHeight="1">
      <c r="A1876" s="4">
        <v>2571.0</v>
      </c>
      <c r="B1876" s="4">
        <v>18561.0</v>
      </c>
      <c r="C1876" s="5">
        <f>DATE(2012,12,31)-1452</f>
        <v>39822</v>
      </c>
      <c r="D1876" s="4" t="s">
        <v>45</v>
      </c>
      <c r="E1876" s="4">
        <v>9.0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9"/>
        <v>39823</v>
      </c>
    </row>
    <row r="1877" ht="12.75" customHeight="1">
      <c r="A1877" s="4">
        <v>2739.0</v>
      </c>
      <c r="B1877" s="4">
        <v>19777.0</v>
      </c>
      <c r="C1877" s="5">
        <f t="shared" ref="C1877:C1879" si="820">DATE(2012,12,31)-73</f>
        <v>41201</v>
      </c>
      <c r="D1877" s="4" t="s">
        <v>45</v>
      </c>
      <c r="E1877" s="4">
        <v>22.0</v>
      </c>
      <c r="F1877" s="4">
        <v>321.91</v>
      </c>
      <c r="G1877" s="4">
        <v>0.06</v>
      </c>
      <c r="H1877" s="4" t="s">
        <v>22</v>
      </c>
      <c r="I1877" s="6">
        <v>-24.955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ht="12.75" customHeight="1">
      <c r="A1878" s="4">
        <v>2740.0</v>
      </c>
      <c r="B1878" s="4">
        <v>19777.0</v>
      </c>
      <c r="C1878" s="5">
        <f t="shared" si="820"/>
        <v>41201</v>
      </c>
      <c r="D1878" s="4" t="s">
        <v>45</v>
      </c>
      <c r="E1878" s="4">
        <v>2.0</v>
      </c>
      <c r="F1878" s="4">
        <v>132.96</v>
      </c>
      <c r="G1878" s="4">
        <v>0.05</v>
      </c>
      <c r="H1878" s="4" t="s">
        <v>22</v>
      </c>
      <c r="I1878" s="6">
        <v>-61.8815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1">C1878+2</f>
        <v>41203</v>
      </c>
    </row>
    <row r="1879" ht="12.75" customHeight="1">
      <c r="A1879" s="4">
        <v>2741.0</v>
      </c>
      <c r="B1879" s="4">
        <v>19777.0</v>
      </c>
      <c r="C1879" s="5">
        <f t="shared" si="820"/>
        <v>41201</v>
      </c>
      <c r="D1879" s="4" t="s">
        <v>45</v>
      </c>
      <c r="E1879" s="4">
        <v>24.0</v>
      </c>
      <c r="F1879" s="4">
        <v>3268.7515</v>
      </c>
      <c r="G1879" s="4">
        <v>0.04</v>
      </c>
      <c r="H1879" s="4" t="s">
        <v>22</v>
      </c>
      <c r="I1879" s="6">
        <v>562.914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1"/>
        <v>41203</v>
      </c>
    </row>
    <row r="1880" ht="12.75" customHeight="1">
      <c r="A1880" s="4">
        <v>2992.0</v>
      </c>
      <c r="B1880" s="4">
        <v>21601.0</v>
      </c>
      <c r="C1880" s="5">
        <f>DATE(2012,12,31)-635</f>
        <v>40639</v>
      </c>
      <c r="D1880" s="4" t="s">
        <v>21</v>
      </c>
      <c r="E1880" s="4">
        <v>20.0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35.0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ht="12.75" customHeight="1">
      <c r="A1881" s="4">
        <v>3013.0</v>
      </c>
      <c r="B1881" s="4">
        <v>21670.0</v>
      </c>
      <c r="C1881" s="5">
        <f>DATE(2012,12,31)-720</f>
        <v>40554</v>
      </c>
      <c r="D1881" s="4" t="s">
        <v>30</v>
      </c>
      <c r="E1881" s="4">
        <v>24.0</v>
      </c>
      <c r="F1881" s="4">
        <v>1965.21</v>
      </c>
      <c r="G1881" s="4">
        <v>0.0</v>
      </c>
      <c r="H1881" s="4" t="s">
        <v>22</v>
      </c>
      <c r="I1881" s="6">
        <v>830.75</v>
      </c>
      <c r="J1881" s="4">
        <v>78.69</v>
      </c>
      <c r="K1881" s="4">
        <v>19.99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ht="12.75" customHeight="1">
      <c r="A1882" s="4">
        <v>3285.0</v>
      </c>
      <c r="B1882" s="4">
        <v>23489.0</v>
      </c>
      <c r="C1882" s="5">
        <f>DATE(2012,12,31)-125</f>
        <v>41149</v>
      </c>
      <c r="D1882" s="4" t="s">
        <v>30</v>
      </c>
      <c r="E1882" s="4">
        <v>42.0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ht="12.75" customHeight="1">
      <c r="A1883" s="4">
        <v>3432.0</v>
      </c>
      <c r="B1883" s="4">
        <v>24486.0</v>
      </c>
      <c r="C1883" s="5">
        <f t="shared" ref="C1883:C1884" si="822">DATE(2012,12,31)-619</f>
        <v>40655</v>
      </c>
      <c r="D1883" s="4" t="s">
        <v>63</v>
      </c>
      <c r="E1883" s="4">
        <v>3.0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3">C1883+1</f>
        <v>40656</v>
      </c>
    </row>
    <row r="1884" ht="12.75" customHeight="1">
      <c r="A1884" s="4">
        <v>3433.0</v>
      </c>
      <c r="B1884" s="4">
        <v>24486.0</v>
      </c>
      <c r="C1884" s="5">
        <f t="shared" si="822"/>
        <v>40655</v>
      </c>
      <c r="D1884" s="4" t="s">
        <v>63</v>
      </c>
      <c r="E1884" s="4">
        <v>14.0</v>
      </c>
      <c r="F1884" s="4">
        <v>27.06</v>
      </c>
      <c r="G1884" s="4">
        <v>0.0</v>
      </c>
      <c r="H1884" s="4" t="s">
        <v>22</v>
      </c>
      <c r="I1884" s="6">
        <v>-0.06000000000000005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</v>
      </c>
      <c r="U1884" s="5">
        <f t="shared" si="823"/>
        <v>40656</v>
      </c>
    </row>
    <row r="1885" ht="12.75" customHeight="1">
      <c r="A1885" s="4">
        <v>3490.0</v>
      </c>
      <c r="B1885" s="4">
        <v>24869.0</v>
      </c>
      <c r="C1885" s="5">
        <f>DATE(2012,12,31)-1300</f>
        <v>39974</v>
      </c>
      <c r="D1885" s="4" t="s">
        <v>45</v>
      </c>
      <c r="E1885" s="4">
        <v>14.0</v>
      </c>
      <c r="F1885" s="4">
        <v>132.72</v>
      </c>
      <c r="G1885" s="4">
        <v>0.05</v>
      </c>
      <c r="H1885" s="4" t="s">
        <v>22</v>
      </c>
      <c r="I1885" s="6">
        <v>-9.177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3"/>
        <v>39975</v>
      </c>
    </row>
    <row r="1886" ht="12.75" customHeight="1">
      <c r="A1886" s="4">
        <v>3601.0</v>
      </c>
      <c r="B1886" s="4">
        <v>25697.0</v>
      </c>
      <c r="C1886" s="5">
        <f>DATE(2012,12,31)-615</f>
        <v>40659</v>
      </c>
      <c r="D1886" s="4" t="s">
        <v>21</v>
      </c>
      <c r="E1886" s="4">
        <v>46.0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ht="12.75" customHeight="1">
      <c r="A1887" s="4">
        <v>3854.0</v>
      </c>
      <c r="B1887" s="4">
        <v>27490.0</v>
      </c>
      <c r="C1887" s="5">
        <f>DATE(2012,12,31)-292</f>
        <v>40982</v>
      </c>
      <c r="D1887" s="4" t="s">
        <v>45</v>
      </c>
      <c r="E1887" s="4">
        <v>18.0</v>
      </c>
      <c r="F1887" s="4">
        <v>611.71</v>
      </c>
      <c r="G1887" s="4">
        <v>0.02</v>
      </c>
      <c r="H1887" s="4" t="s">
        <v>22</v>
      </c>
      <c r="I1887" s="6">
        <v>93.22800000000001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4">C1887+2</f>
        <v>40984</v>
      </c>
    </row>
    <row r="1888" ht="12.75" customHeight="1">
      <c r="A1888" s="4">
        <v>3906.0</v>
      </c>
      <c r="B1888" s="4">
        <v>27844.0</v>
      </c>
      <c r="C1888" s="5">
        <f>DATE(2012,12,31)-551</f>
        <v>40723</v>
      </c>
      <c r="D1888" s="4" t="s">
        <v>21</v>
      </c>
      <c r="E1888" s="4">
        <v>27.0</v>
      </c>
      <c r="F1888" s="4">
        <v>135.86</v>
      </c>
      <c r="G1888" s="4">
        <v>0.04</v>
      </c>
      <c r="H1888" s="4" t="s">
        <v>22</v>
      </c>
      <c r="I1888" s="6">
        <v>-73.42</v>
      </c>
      <c r="J1888" s="4">
        <v>4.98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4"/>
        <v>40725</v>
      </c>
    </row>
    <row r="1889" ht="12.75" customHeight="1">
      <c r="A1889" s="4">
        <v>3981.0</v>
      </c>
      <c r="B1889" s="4">
        <v>28451.0</v>
      </c>
      <c r="C1889" s="5">
        <f t="shared" ref="C1889:C1891" si="825">DATE(2012,12,31)-1456</f>
        <v>39818</v>
      </c>
      <c r="D1889" s="4" t="s">
        <v>78</v>
      </c>
      <c r="E1889" s="4">
        <v>21.0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4"/>
        <v>39820</v>
      </c>
    </row>
    <row r="1890" ht="12.75" customHeight="1">
      <c r="A1890" s="4">
        <v>3982.0</v>
      </c>
      <c r="B1890" s="4">
        <v>28451.0</v>
      </c>
      <c r="C1890" s="5">
        <f t="shared" si="825"/>
        <v>39818</v>
      </c>
      <c r="D1890" s="4" t="s">
        <v>78</v>
      </c>
      <c r="E1890" s="4">
        <v>41.0</v>
      </c>
      <c r="F1890" s="4">
        <v>8958.46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ht="12.75" customHeight="1">
      <c r="A1891" s="4">
        <v>3983.0</v>
      </c>
      <c r="B1891" s="4">
        <v>28451.0</v>
      </c>
      <c r="C1891" s="5">
        <f t="shared" si="825"/>
        <v>39818</v>
      </c>
      <c r="D1891" s="4" t="s">
        <v>78</v>
      </c>
      <c r="E1891" s="4">
        <v>33.0</v>
      </c>
      <c r="F1891" s="4">
        <v>4913.7</v>
      </c>
      <c r="G1891" s="4">
        <v>0.0</v>
      </c>
      <c r="H1891" s="4" t="s">
        <v>31</v>
      </c>
      <c r="I1891" s="6">
        <v>1054.93</v>
      </c>
      <c r="J1891" s="4">
        <v>145.45</v>
      </c>
      <c r="K1891" s="4">
        <v>17.85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</v>
      </c>
      <c r="U1891" s="5">
        <f t="shared" ref="U1891:U1892" si="826">C1891+2</f>
        <v>39820</v>
      </c>
    </row>
    <row r="1892" ht="12.75" customHeight="1">
      <c r="A1892" s="4">
        <v>3989.0</v>
      </c>
      <c r="B1892" s="4">
        <v>28482.0</v>
      </c>
      <c r="C1892" s="5">
        <f t="shared" ref="C1892:C1893" si="827">DATE(2012,12,31)-1029</f>
        <v>40245</v>
      </c>
      <c r="D1892" s="4" t="s">
        <v>78</v>
      </c>
      <c r="E1892" s="4">
        <v>22.0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6"/>
        <v>40247</v>
      </c>
    </row>
    <row r="1893" ht="12.75" customHeight="1">
      <c r="A1893" s="4">
        <v>3990.0</v>
      </c>
      <c r="B1893" s="4">
        <v>28482.0</v>
      </c>
      <c r="C1893" s="5">
        <f t="shared" si="827"/>
        <v>40245</v>
      </c>
      <c r="D1893" s="4" t="s">
        <v>78</v>
      </c>
      <c r="E1893" s="4">
        <v>40.0</v>
      </c>
      <c r="F1893" s="4">
        <v>177.92</v>
      </c>
      <c r="G1893" s="4">
        <v>0.0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ht="12.75" customHeight="1">
      <c r="A1894" s="4">
        <v>4012.0</v>
      </c>
      <c r="B1894" s="4">
        <v>28642.0</v>
      </c>
      <c r="C1894" s="5">
        <f t="shared" ref="C1894:C1895" si="828">DATE(2012,12,31)-713</f>
        <v>40561</v>
      </c>
      <c r="D1894" s="4" t="s">
        <v>30</v>
      </c>
      <c r="E1894" s="4">
        <v>41.0</v>
      </c>
      <c r="F1894" s="4">
        <v>230.29</v>
      </c>
      <c r="G1894" s="4">
        <v>0.0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9">C1894+2</f>
        <v>40563</v>
      </c>
    </row>
    <row r="1895" ht="12.75" customHeight="1">
      <c r="A1895" s="4">
        <v>4013.0</v>
      </c>
      <c r="B1895" s="4">
        <v>28642.0</v>
      </c>
      <c r="C1895" s="5">
        <f t="shared" si="828"/>
        <v>40561</v>
      </c>
      <c r="D1895" s="4" t="s">
        <v>30</v>
      </c>
      <c r="E1895" s="4">
        <v>27.0</v>
      </c>
      <c r="F1895" s="4">
        <v>1592.0415</v>
      </c>
      <c r="G1895" s="4">
        <v>0.0</v>
      </c>
      <c r="H1895" s="4" t="s">
        <v>22</v>
      </c>
      <c r="I1895" s="6">
        <v>-52.70099999999999</v>
      </c>
      <c r="J1895" s="4">
        <v>65.99</v>
      </c>
      <c r="K1895" s="4">
        <v>19.99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9"/>
        <v>40563</v>
      </c>
    </row>
    <row r="1896" ht="12.75" customHeight="1">
      <c r="A1896" s="4">
        <v>4136.0</v>
      </c>
      <c r="B1896" s="4">
        <v>29380.0</v>
      </c>
      <c r="C1896" s="5">
        <f>DATE(2012,12,31)-1344</f>
        <v>39930</v>
      </c>
      <c r="D1896" s="4" t="s">
        <v>45</v>
      </c>
      <c r="E1896" s="4">
        <v>13.0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ht="12.75" customHeight="1">
      <c r="A1897" s="4">
        <v>4499.0</v>
      </c>
      <c r="B1897" s="4">
        <v>32036.0</v>
      </c>
      <c r="C1897" s="5">
        <f t="shared" ref="C1897:C1898" si="830">DATE(2012,12,31)-453</f>
        <v>40821</v>
      </c>
      <c r="D1897" s="4" t="s">
        <v>63</v>
      </c>
      <c r="E1897" s="4">
        <v>6.0</v>
      </c>
      <c r="F1897" s="4">
        <v>338.89</v>
      </c>
      <c r="G1897" s="4">
        <v>0.07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ht="12.75" customHeight="1">
      <c r="A1898" s="4">
        <v>4500.0</v>
      </c>
      <c r="B1898" s="4">
        <v>32036.0</v>
      </c>
      <c r="C1898" s="5">
        <f t="shared" si="830"/>
        <v>40821</v>
      </c>
      <c r="D1898" s="4" t="s">
        <v>63</v>
      </c>
      <c r="E1898" s="4">
        <v>25.0</v>
      </c>
      <c r="F1898" s="4">
        <v>362.52</v>
      </c>
      <c r="G1898" s="4">
        <v>0.07</v>
      </c>
      <c r="H1898" s="4" t="s">
        <v>22</v>
      </c>
      <c r="I1898" s="6">
        <v>-68.49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0.57</v>
      </c>
      <c r="U1898" s="5">
        <f t="shared" ref="U1898:U1899" si="831">C1898+1</f>
        <v>40822</v>
      </c>
    </row>
    <row r="1899" ht="12.75" customHeight="1">
      <c r="A1899" s="4">
        <v>4540.0</v>
      </c>
      <c r="B1899" s="4">
        <v>32295.0</v>
      </c>
      <c r="C1899" s="5">
        <f>DATE(2012,12,31)-1454</f>
        <v>39820</v>
      </c>
      <c r="D1899" s="4" t="s">
        <v>30</v>
      </c>
      <c r="E1899" s="4">
        <v>11.0</v>
      </c>
      <c r="F1899" s="4">
        <v>607.597</v>
      </c>
      <c r="G1899" s="4">
        <v>0.07</v>
      </c>
      <c r="H1899" s="4" t="s">
        <v>22</v>
      </c>
      <c r="I1899" s="6">
        <v>-112.244</v>
      </c>
      <c r="J1899" s="4">
        <v>65.99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0.58</v>
      </c>
      <c r="U1899" s="5">
        <f t="shared" si="831"/>
        <v>39821</v>
      </c>
    </row>
    <row r="1900" ht="12.75" customHeight="1">
      <c r="A1900" s="4">
        <v>4702.0</v>
      </c>
      <c r="B1900" s="4">
        <v>33505.0</v>
      </c>
      <c r="C1900" s="5">
        <f t="shared" ref="C1900:C1901" si="832">DATE(2012,12,31)-828</f>
        <v>40446</v>
      </c>
      <c r="D1900" s="4" t="s">
        <v>21</v>
      </c>
      <c r="E1900" s="4">
        <v>32.0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4.0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ht="12.75" customHeight="1">
      <c r="A1901" s="4">
        <v>4703.0</v>
      </c>
      <c r="B1901" s="4">
        <v>33505.0</v>
      </c>
      <c r="C1901" s="5">
        <f t="shared" si="832"/>
        <v>40446</v>
      </c>
      <c r="D1901" s="4" t="s">
        <v>21</v>
      </c>
      <c r="E1901" s="4">
        <v>35.0</v>
      </c>
      <c r="F1901" s="4">
        <v>2463.2405</v>
      </c>
      <c r="G1901" s="4">
        <v>0.07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0.58</v>
      </c>
      <c r="U1901" s="5">
        <f>C1901+0</f>
        <v>40446</v>
      </c>
    </row>
    <row r="1902" ht="12.75" customHeight="1">
      <c r="A1902" s="4">
        <v>4797.0</v>
      </c>
      <c r="B1902" s="4">
        <v>34086.0</v>
      </c>
      <c r="C1902" s="5">
        <f>DATE(2012,12,31)-246</f>
        <v>41028</v>
      </c>
      <c r="D1902" s="4" t="s">
        <v>30</v>
      </c>
      <c r="E1902" s="4">
        <v>41.0</v>
      </c>
      <c r="F1902" s="4">
        <v>2251.9135</v>
      </c>
      <c r="G1902" s="4">
        <v>0.04</v>
      </c>
      <c r="H1902" s="4" t="s">
        <v>22</v>
      </c>
      <c r="I1902" s="6">
        <v>655.911</v>
      </c>
      <c r="J1902" s="4">
        <v>65.99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</v>
      </c>
      <c r="U1902" s="5">
        <f t="shared" ref="U1902:U1904" si="833">C1902+2</f>
        <v>41030</v>
      </c>
    </row>
    <row r="1903" ht="12.75" customHeight="1">
      <c r="A1903" s="4">
        <v>4809.0</v>
      </c>
      <c r="B1903" s="4">
        <v>34209.0</v>
      </c>
      <c r="C1903" s="5">
        <f t="shared" ref="C1903:C1904" si="834">DATE(2012,12,31)-860</f>
        <v>40414</v>
      </c>
      <c r="D1903" s="4" t="s">
        <v>30</v>
      </c>
      <c r="E1903" s="4">
        <v>48.0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3"/>
        <v>40416</v>
      </c>
    </row>
    <row r="1904" ht="12.75" customHeight="1">
      <c r="A1904" s="4">
        <v>4810.0</v>
      </c>
      <c r="B1904" s="4">
        <v>34209.0</v>
      </c>
      <c r="C1904" s="5">
        <f t="shared" si="834"/>
        <v>40414</v>
      </c>
      <c r="D1904" s="4" t="s">
        <v>30</v>
      </c>
      <c r="E1904" s="4">
        <v>29.0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3"/>
        <v>40416</v>
      </c>
    </row>
    <row r="1905" ht="12.75" customHeight="1">
      <c r="A1905" s="4">
        <v>5176.0</v>
      </c>
      <c r="B1905" s="4">
        <v>36807.0</v>
      </c>
      <c r="C1905" s="5">
        <f>DATE(2012,12,31)-1386</f>
        <v>39888</v>
      </c>
      <c r="D1905" s="4" t="s">
        <v>63</v>
      </c>
      <c r="E1905" s="4">
        <v>14.0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ht="12.75" customHeight="1">
      <c r="A1906" s="4">
        <v>5247.0</v>
      </c>
      <c r="B1906" s="4">
        <v>37318.0</v>
      </c>
      <c r="C1906" s="5">
        <f>DATE(2012,12,31)-991</f>
        <v>40283</v>
      </c>
      <c r="D1906" s="4" t="s">
        <v>63</v>
      </c>
      <c r="E1906" s="4">
        <v>32.0</v>
      </c>
      <c r="F1906" s="4">
        <v>1031.23</v>
      </c>
      <c r="G1906" s="4">
        <v>0.07</v>
      </c>
      <c r="H1906" s="4" t="s">
        <v>22</v>
      </c>
      <c r="I1906" s="6">
        <v>-138.54</v>
      </c>
      <c r="J1906" s="4">
        <v>33.98</v>
      </c>
      <c r="K1906" s="4">
        <v>19.99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</v>
      </c>
      <c r="U1906" s="5">
        <f t="shared" ref="U1906:U1907" si="835">C1906+2</f>
        <v>40285</v>
      </c>
    </row>
    <row r="1907" ht="12.75" customHeight="1">
      <c r="A1907" s="4">
        <v>5412.0</v>
      </c>
      <c r="B1907" s="4">
        <v>38496.0</v>
      </c>
      <c r="C1907" s="5">
        <f>DATE(2012,12,31)-1045</f>
        <v>40229</v>
      </c>
      <c r="D1907" s="4" t="s">
        <v>78</v>
      </c>
      <c r="E1907" s="4">
        <v>23.0</v>
      </c>
      <c r="F1907" s="4">
        <v>116.57</v>
      </c>
      <c r="G1907" s="4">
        <v>0.07</v>
      </c>
      <c r="H1907" s="4" t="s">
        <v>22</v>
      </c>
      <c r="I1907" s="6">
        <v>-43.18</v>
      </c>
      <c r="J1907" s="4">
        <v>4.98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5"/>
        <v>40231</v>
      </c>
    </row>
    <row r="1908" ht="12.75" customHeight="1">
      <c r="A1908" s="4">
        <v>5878.0</v>
      </c>
      <c r="B1908" s="4">
        <v>41702.0</v>
      </c>
      <c r="C1908" s="5">
        <f t="shared" ref="C1908:C1909" si="836">DATE(2012,12,31)-740</f>
        <v>40534</v>
      </c>
      <c r="D1908" s="4" t="s">
        <v>45</v>
      </c>
      <c r="E1908" s="4">
        <v>21.0</v>
      </c>
      <c r="F1908" s="4">
        <v>3323.44</v>
      </c>
      <c r="G1908" s="4">
        <v>0.03</v>
      </c>
      <c r="H1908" s="4" t="s">
        <v>22</v>
      </c>
      <c r="I1908" s="6">
        <v>99.87999999999994</v>
      </c>
      <c r="J1908" s="4">
        <v>152.48</v>
      </c>
      <c r="K1908" s="4">
        <v>4.0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ht="12.75" customHeight="1">
      <c r="A1909" s="4">
        <v>5879.0</v>
      </c>
      <c r="B1909" s="4">
        <v>41702.0</v>
      </c>
      <c r="C1909" s="5">
        <f t="shared" si="836"/>
        <v>40534</v>
      </c>
      <c r="D1909" s="4" t="s">
        <v>45</v>
      </c>
      <c r="E1909" s="4">
        <v>5.0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7">C1909+2</f>
        <v>40536</v>
      </c>
    </row>
    <row r="1910" ht="12.75" customHeight="1">
      <c r="A1910" s="4">
        <v>6317.0</v>
      </c>
      <c r="B1910" s="4">
        <v>44706.0</v>
      </c>
      <c r="C1910" s="5">
        <f t="shared" ref="C1910:C1911" si="838">DATE(2012,12,31)-1007</f>
        <v>40267</v>
      </c>
      <c r="D1910" s="4" t="s">
        <v>21</v>
      </c>
      <c r="E1910" s="4">
        <v>18.0</v>
      </c>
      <c r="F1910" s="4">
        <v>7556.61</v>
      </c>
      <c r="G1910" s="4">
        <v>0.08</v>
      </c>
      <c r="H1910" s="4" t="s">
        <v>31</v>
      </c>
      <c r="I1910" s="6">
        <v>-352.242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7"/>
        <v>40269</v>
      </c>
    </row>
    <row r="1911" ht="12.75" customHeight="1">
      <c r="A1911" s="4">
        <v>6318.0</v>
      </c>
      <c r="B1911" s="4">
        <v>44706.0</v>
      </c>
      <c r="C1911" s="5">
        <f t="shared" si="838"/>
        <v>40267</v>
      </c>
      <c r="D1911" s="4" t="s">
        <v>21</v>
      </c>
      <c r="E1911" s="4">
        <v>33.0</v>
      </c>
      <c r="F1911" s="4">
        <v>47.48</v>
      </c>
      <c r="G1911" s="4">
        <v>0.07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ht="12.75" customHeight="1">
      <c r="A1912" s="4">
        <v>6383.0</v>
      </c>
      <c r="B1912" s="4">
        <v>45347.0</v>
      </c>
      <c r="C1912" s="5">
        <f t="shared" ref="C1912:C1913" si="839">DATE(2012,12,31)-824</f>
        <v>40450</v>
      </c>
      <c r="D1912" s="4" t="s">
        <v>63</v>
      </c>
      <c r="E1912" s="4">
        <v>10.0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ht="12.75" customHeight="1">
      <c r="A1913" s="4">
        <v>6384.0</v>
      </c>
      <c r="B1913" s="4">
        <v>45347.0</v>
      </c>
      <c r="C1913" s="5">
        <f t="shared" si="839"/>
        <v>40450</v>
      </c>
      <c r="D1913" s="4" t="s">
        <v>63</v>
      </c>
      <c r="E1913" s="4">
        <v>41.0</v>
      </c>
      <c r="F1913" s="4">
        <v>24051.49</v>
      </c>
      <c r="G1913" s="4">
        <v>0.07</v>
      </c>
      <c r="H1913" s="4" t="s">
        <v>56</v>
      </c>
      <c r="I1913" s="6">
        <v>9791.041000000001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ht="12.75" customHeight="1">
      <c r="A1914" s="4">
        <v>6559.0</v>
      </c>
      <c r="B1914" s="4">
        <v>46627.0</v>
      </c>
      <c r="C1914" s="5">
        <f t="shared" ref="C1914:C1915" si="840">DATE(2012,12,31)-1299</f>
        <v>39975</v>
      </c>
      <c r="D1914" s="4" t="s">
        <v>78</v>
      </c>
      <c r="E1914" s="4">
        <v>3.0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1">C1914+1</f>
        <v>39976</v>
      </c>
    </row>
    <row r="1915" ht="12.75" customHeight="1">
      <c r="A1915" s="4">
        <v>6560.0</v>
      </c>
      <c r="B1915" s="4">
        <v>46627.0</v>
      </c>
      <c r="C1915" s="5">
        <f t="shared" si="840"/>
        <v>39975</v>
      </c>
      <c r="D1915" s="4" t="s">
        <v>78</v>
      </c>
      <c r="E1915" s="4">
        <v>24.0</v>
      </c>
      <c r="F1915" s="4">
        <v>1388.628</v>
      </c>
      <c r="G1915" s="4">
        <v>0.03</v>
      </c>
      <c r="H1915" s="4" t="s">
        <v>22</v>
      </c>
      <c r="I1915" s="6">
        <v>261.522</v>
      </c>
      <c r="J1915" s="4">
        <v>65.99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</v>
      </c>
      <c r="U1915" s="5">
        <f t="shared" si="841"/>
        <v>39976</v>
      </c>
    </row>
    <row r="1916" ht="12.75" customHeight="1">
      <c r="A1916" s="4">
        <v>6628.0</v>
      </c>
      <c r="B1916" s="4">
        <v>47168.0</v>
      </c>
      <c r="C1916" s="5">
        <f t="shared" ref="C1916:C1917" si="842">DATE(2012,12,31)-1289</f>
        <v>39985</v>
      </c>
      <c r="D1916" s="4" t="s">
        <v>45</v>
      </c>
      <c r="E1916" s="4">
        <v>24.0</v>
      </c>
      <c r="F1916" s="4">
        <v>2920.83</v>
      </c>
      <c r="G1916" s="4">
        <v>0.02</v>
      </c>
      <c r="H1916" s="4" t="s">
        <v>31</v>
      </c>
      <c r="I1916" s="6">
        <v>1068.16</v>
      </c>
      <c r="J1916" s="4">
        <v>119.99</v>
      </c>
      <c r="K1916" s="4">
        <v>14.0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1"/>
        <v>39986</v>
      </c>
    </row>
    <row r="1917" ht="12.75" customHeight="1">
      <c r="A1917" s="4">
        <v>6629.0</v>
      </c>
      <c r="B1917" s="4">
        <v>47168.0</v>
      </c>
      <c r="C1917" s="5">
        <f t="shared" si="842"/>
        <v>39985</v>
      </c>
      <c r="D1917" s="4" t="s">
        <v>45</v>
      </c>
      <c r="E1917" s="4">
        <v>42.0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1"/>
        <v>39986</v>
      </c>
    </row>
    <row r="1918" ht="12.75" customHeight="1">
      <c r="A1918" s="4">
        <v>7011.0</v>
      </c>
      <c r="B1918" s="4">
        <v>50051.0</v>
      </c>
      <c r="C1918" s="5">
        <f t="shared" ref="C1918:C1919" si="843">DATE(2012,12,31)-1184</f>
        <v>40090</v>
      </c>
      <c r="D1918" s="4" t="s">
        <v>63</v>
      </c>
      <c r="E1918" s="4">
        <v>17.0</v>
      </c>
      <c r="F1918" s="4">
        <v>103.72</v>
      </c>
      <c r="G1918" s="4">
        <v>0.02</v>
      </c>
      <c r="H1918" s="4" t="s">
        <v>22</v>
      </c>
      <c r="I1918" s="6">
        <v>-72.059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4">C1918+2</f>
        <v>40092</v>
      </c>
    </row>
    <row r="1919" ht="12.75" customHeight="1">
      <c r="A1919" s="4">
        <v>7012.0</v>
      </c>
      <c r="B1919" s="4">
        <v>50051.0</v>
      </c>
      <c r="C1919" s="5">
        <f t="shared" si="843"/>
        <v>40090</v>
      </c>
      <c r="D1919" s="4" t="s">
        <v>63</v>
      </c>
      <c r="E1919" s="4">
        <v>4.0</v>
      </c>
      <c r="F1919" s="4">
        <v>185.15</v>
      </c>
      <c r="G1919" s="4">
        <v>0.09</v>
      </c>
      <c r="H1919" s="4" t="s">
        <v>22</v>
      </c>
      <c r="I1919" s="6">
        <v>10.2</v>
      </c>
      <c r="J1919" s="4">
        <v>41.47</v>
      </c>
      <c r="K1919" s="4">
        <v>34.2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4"/>
        <v>40092</v>
      </c>
    </row>
    <row r="1920" ht="12.75" customHeight="1">
      <c r="A1920" s="4">
        <v>7068.0</v>
      </c>
      <c r="B1920" s="4">
        <v>50433.0</v>
      </c>
      <c r="C1920" s="5">
        <f>DATE(2012,12,31)-347</f>
        <v>40927</v>
      </c>
      <c r="D1920" s="4" t="s">
        <v>78</v>
      </c>
      <c r="E1920" s="4">
        <v>50.0</v>
      </c>
      <c r="F1920" s="4">
        <v>6628.55</v>
      </c>
      <c r="G1920" s="4">
        <v>0.1</v>
      </c>
      <c r="H1920" s="4" t="s">
        <v>31</v>
      </c>
      <c r="I1920" s="6">
        <v>1081.65</v>
      </c>
      <c r="J1920" s="4">
        <v>145.45</v>
      </c>
      <c r="K1920" s="4">
        <v>17.85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</v>
      </c>
      <c r="U1920" s="5">
        <f t="shared" si="844"/>
        <v>40929</v>
      </c>
    </row>
    <row r="1921" ht="12.75" customHeight="1">
      <c r="A1921" s="4">
        <v>7106.0</v>
      </c>
      <c r="B1921" s="4">
        <v>50721.0</v>
      </c>
      <c r="C1921" s="5">
        <f>DATE(2012,12,31)-308</f>
        <v>40966</v>
      </c>
      <c r="D1921" s="4" t="s">
        <v>30</v>
      </c>
      <c r="E1921" s="4">
        <v>33.0</v>
      </c>
      <c r="F1921" s="4">
        <v>9758.7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19.99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4"/>
        <v>40968</v>
      </c>
    </row>
    <row r="1922" ht="12.75" customHeight="1">
      <c r="A1922" s="4">
        <v>7114.0</v>
      </c>
      <c r="B1922" s="4">
        <v>50758.0</v>
      </c>
      <c r="C1922" s="5">
        <f>DATE(2012,12,31)-172</f>
        <v>41102</v>
      </c>
      <c r="D1922" s="4" t="s">
        <v>63</v>
      </c>
      <c r="E1922" s="4">
        <v>17.0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4"/>
        <v>41104</v>
      </c>
    </row>
    <row r="1923" ht="12.75" customHeight="1">
      <c r="A1923" s="4">
        <v>7135.0</v>
      </c>
      <c r="B1923" s="4">
        <v>50883.0</v>
      </c>
      <c r="C1923" s="5">
        <f>DATE(2012,12,31)-213</f>
        <v>41061</v>
      </c>
      <c r="D1923" s="4" t="s">
        <v>21</v>
      </c>
      <c r="E1923" s="4">
        <v>35.0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30.0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ht="12.75" customHeight="1">
      <c r="A1924" s="4">
        <v>7219.0</v>
      </c>
      <c r="B1924" s="4">
        <v>51524.0</v>
      </c>
      <c r="C1924" s="5">
        <f t="shared" ref="C1924:C1925" si="845">DATE(2012,12,31)-1023</f>
        <v>40251</v>
      </c>
      <c r="D1924" s="4" t="s">
        <v>63</v>
      </c>
      <c r="E1924" s="4">
        <v>16.0</v>
      </c>
      <c r="F1924" s="4">
        <v>2723.1</v>
      </c>
      <c r="G1924" s="4">
        <v>0.07</v>
      </c>
      <c r="H1924" s="4" t="s">
        <v>22</v>
      </c>
      <c r="I1924" s="6">
        <v>-446.31</v>
      </c>
      <c r="J1924" s="4">
        <v>167.27</v>
      </c>
      <c r="K1924" s="4">
        <v>35.0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ht="12.75" customHeight="1">
      <c r="A1925" s="4">
        <v>7220.0</v>
      </c>
      <c r="B1925" s="4">
        <v>51524.0</v>
      </c>
      <c r="C1925" s="5">
        <f t="shared" si="845"/>
        <v>40251</v>
      </c>
      <c r="D1925" s="4" t="s">
        <v>63</v>
      </c>
      <c r="E1925" s="4">
        <v>20.0</v>
      </c>
      <c r="F1925" s="4">
        <v>347.2675</v>
      </c>
      <c r="G1925" s="4">
        <v>0.06</v>
      </c>
      <c r="H1925" s="4" t="s">
        <v>56</v>
      </c>
      <c r="I1925" s="6">
        <v>-71.09299999999999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ht="12.75" customHeight="1">
      <c r="A1926" s="4">
        <v>7345.0</v>
      </c>
      <c r="B1926" s="4">
        <v>52322.0</v>
      </c>
      <c r="C1926" s="5">
        <f>DATE(2012,12,31)-1063</f>
        <v>40211</v>
      </c>
      <c r="D1926" s="4" t="s">
        <v>21</v>
      </c>
      <c r="E1926" s="4">
        <v>1.0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2.0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ht="12.75" customHeight="1">
      <c r="A1927" s="4">
        <v>7427.0</v>
      </c>
      <c r="B1927" s="4">
        <v>52932.0</v>
      </c>
      <c r="C1927" s="5">
        <f>DATE(2012,12,31)-233</f>
        <v>41041</v>
      </c>
      <c r="D1927" s="4" t="s">
        <v>21</v>
      </c>
      <c r="E1927" s="4">
        <v>3.0</v>
      </c>
      <c r="F1927" s="4">
        <v>26.23</v>
      </c>
      <c r="G1927" s="4">
        <v>0.0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ht="12.75" customHeight="1">
      <c r="A1928" s="4">
        <v>7431.0</v>
      </c>
      <c r="B1928" s="4">
        <v>52995.0</v>
      </c>
      <c r="C1928" s="5">
        <f>DATE(2012,12,31)-291</f>
        <v>40983</v>
      </c>
      <c r="D1928" s="4" t="s">
        <v>45</v>
      </c>
      <c r="E1928" s="4">
        <v>8.0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ht="12.75" customHeight="1">
      <c r="A1929" s="4">
        <v>7435.0</v>
      </c>
      <c r="B1929" s="4">
        <v>53024.0</v>
      </c>
      <c r="C1929" s="5">
        <f t="shared" ref="C1929:C1930" si="846">DATE(2012,12,31)-233</f>
        <v>41041</v>
      </c>
      <c r="D1929" s="4" t="s">
        <v>45</v>
      </c>
      <c r="E1929" s="4">
        <v>9.0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7">C1929+1</f>
        <v>41042</v>
      </c>
    </row>
    <row r="1930" ht="12.75" customHeight="1">
      <c r="A1930" s="4">
        <v>7436.0</v>
      </c>
      <c r="B1930" s="4">
        <v>53024.0</v>
      </c>
      <c r="C1930" s="5">
        <f t="shared" si="846"/>
        <v>41041</v>
      </c>
      <c r="D1930" s="4" t="s">
        <v>45</v>
      </c>
      <c r="E1930" s="4">
        <v>46.0</v>
      </c>
      <c r="F1930" s="4">
        <v>2255.1945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5.0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7"/>
        <v>41042</v>
      </c>
    </row>
    <row r="1931" ht="12.75" customHeight="1">
      <c r="A1931" s="4">
        <v>7567.0</v>
      </c>
      <c r="B1931" s="4">
        <v>54145.0</v>
      </c>
      <c r="C1931" s="5">
        <f>DATE(2012,12,31)-1094</f>
        <v>40180</v>
      </c>
      <c r="D1931" s="4" t="s">
        <v>21</v>
      </c>
      <c r="E1931" s="4">
        <v>34.0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8">C1931+0</f>
        <v>40180</v>
      </c>
    </row>
    <row r="1932" ht="12.75" customHeight="1">
      <c r="A1932" s="4">
        <v>7804.0</v>
      </c>
      <c r="B1932" s="4">
        <v>55840.0</v>
      </c>
      <c r="C1932" s="5">
        <f>DATE(2012,12,31)-1232</f>
        <v>40042</v>
      </c>
      <c r="D1932" s="4" t="s">
        <v>63</v>
      </c>
      <c r="E1932" s="4">
        <v>11.0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</v>
      </c>
      <c r="K1932" s="4">
        <v>4.86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8"/>
        <v>40042</v>
      </c>
    </row>
    <row r="1933" ht="12.75" customHeight="1">
      <c r="A1933" s="4">
        <v>7964.0</v>
      </c>
      <c r="B1933" s="4">
        <v>56930.0</v>
      </c>
      <c r="C1933" s="5">
        <f>DATE(2012,12,31)-136</f>
        <v>41138</v>
      </c>
      <c r="D1933" s="4" t="s">
        <v>21</v>
      </c>
      <c r="E1933" s="4">
        <v>10.0</v>
      </c>
      <c r="F1933" s="4">
        <v>987.54</v>
      </c>
      <c r="G1933" s="4">
        <v>0.07</v>
      </c>
      <c r="H1933" s="4" t="s">
        <v>22</v>
      </c>
      <c r="I1933" s="6">
        <v>-396.84</v>
      </c>
      <c r="J1933" s="4">
        <v>101.41</v>
      </c>
      <c r="K1933" s="4">
        <v>35.0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8"/>
        <v>41138</v>
      </c>
    </row>
    <row r="1934" ht="12.75" customHeight="1">
      <c r="A1934" s="4">
        <v>8068.0</v>
      </c>
      <c r="B1934" s="4">
        <v>57570.0</v>
      </c>
      <c r="C1934" s="5">
        <f>DATE(2012,12,31)-94</f>
        <v>41180</v>
      </c>
      <c r="D1934" s="4" t="s">
        <v>30</v>
      </c>
      <c r="E1934" s="4">
        <v>27.0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9">C1934+2</f>
        <v>41182</v>
      </c>
    </row>
    <row r="1935" ht="12.75" customHeight="1">
      <c r="A1935" s="4">
        <v>8121.0</v>
      </c>
      <c r="B1935" s="4">
        <v>58051.0</v>
      </c>
      <c r="C1935" s="5">
        <f>DATE(2012,12,31)-286</f>
        <v>40988</v>
      </c>
      <c r="D1935" s="4" t="s">
        <v>30</v>
      </c>
      <c r="E1935" s="4">
        <v>6.0</v>
      </c>
      <c r="F1935" s="4">
        <v>256.6</v>
      </c>
      <c r="G1935" s="4">
        <v>0.0</v>
      </c>
      <c r="H1935" s="4" t="s">
        <v>22</v>
      </c>
      <c r="I1935" s="6">
        <v>-106.76</v>
      </c>
      <c r="J1935" s="4">
        <v>39.98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9"/>
        <v>40990</v>
      </c>
    </row>
    <row r="1936" ht="12.75" customHeight="1">
      <c r="A1936" s="4">
        <v>8311.0</v>
      </c>
      <c r="B1936" s="4">
        <v>59392.0</v>
      </c>
      <c r="C1936" s="5">
        <f t="shared" ref="C1936:C1937" si="850">DATE(2012,12,31)-919</f>
        <v>40355</v>
      </c>
      <c r="D1936" s="4" t="s">
        <v>63</v>
      </c>
      <c r="E1936" s="4">
        <v>19.0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</v>
      </c>
      <c r="U1936" s="5">
        <f>C1936+1</f>
        <v>40356</v>
      </c>
    </row>
    <row r="1937" ht="12.75" customHeight="1">
      <c r="A1937" s="4">
        <v>8312.0</v>
      </c>
      <c r="B1937" s="4">
        <v>59392.0</v>
      </c>
      <c r="C1937" s="5">
        <f t="shared" si="850"/>
        <v>40355</v>
      </c>
      <c r="D1937" s="4" t="s">
        <v>63</v>
      </c>
      <c r="E1937" s="4">
        <v>45.0</v>
      </c>
      <c r="F1937" s="4">
        <v>1305.31</v>
      </c>
      <c r="G1937" s="4">
        <v>0.03</v>
      </c>
      <c r="H1937" s="4" t="s">
        <v>22</v>
      </c>
      <c r="I1937" s="6">
        <v>589.2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1">C1937+2</f>
        <v>40357</v>
      </c>
    </row>
    <row r="1938" ht="12.75" customHeight="1">
      <c r="A1938" s="4">
        <v>461.0</v>
      </c>
      <c r="B1938" s="4">
        <v>3136.0</v>
      </c>
      <c r="C1938" s="5">
        <f>DATE(2012,12,31)-1240</f>
        <v>40034</v>
      </c>
      <c r="D1938" s="4" t="s">
        <v>45</v>
      </c>
      <c r="E1938" s="4">
        <v>8.0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0.58</v>
      </c>
      <c r="U1938" s="5">
        <f t="shared" si="851"/>
        <v>40036</v>
      </c>
    </row>
    <row r="1939" ht="12.75" customHeight="1">
      <c r="A1939" s="4">
        <v>534.0</v>
      </c>
      <c r="B1939" s="4">
        <v>3648.0</v>
      </c>
      <c r="C1939" s="5">
        <f t="shared" ref="C1939:C1940" si="852">DATE(2012,12,31)-929</f>
        <v>40345</v>
      </c>
      <c r="D1939" s="4" t="s">
        <v>21</v>
      </c>
      <c r="E1939" s="4">
        <v>46.0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1"/>
        <v>40347</v>
      </c>
    </row>
    <row r="1940" ht="12.75" customHeight="1">
      <c r="A1940" s="4">
        <v>535.0</v>
      </c>
      <c r="B1940" s="4">
        <v>3648.0</v>
      </c>
      <c r="C1940" s="5">
        <f t="shared" si="852"/>
        <v>40345</v>
      </c>
      <c r="D1940" s="4" t="s">
        <v>21</v>
      </c>
      <c r="E1940" s="4">
        <v>34.0</v>
      </c>
      <c r="F1940" s="4">
        <v>5488.5265</v>
      </c>
      <c r="G1940" s="4">
        <v>0.05</v>
      </c>
      <c r="H1940" s="4" t="s">
        <v>22</v>
      </c>
      <c r="I1940" s="6">
        <v>1382.445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0.57</v>
      </c>
      <c r="U1940" s="5">
        <f>C1940+7</f>
        <v>40352</v>
      </c>
    </row>
    <row r="1941" ht="12.75" customHeight="1">
      <c r="A1941" s="4">
        <v>870.0</v>
      </c>
      <c r="B1941" s="4">
        <v>6246.0</v>
      </c>
      <c r="C1941" s="5">
        <f>DATE(2012,12,31)-1167</f>
        <v>40107</v>
      </c>
      <c r="D1941" s="4" t="s">
        <v>45</v>
      </c>
      <c r="E1941" s="4">
        <v>13.0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ht="12.75" customHeight="1">
      <c r="A1942" s="4">
        <v>1242.0</v>
      </c>
      <c r="B1942" s="4">
        <v>9028.0</v>
      </c>
      <c r="C1942" s="5">
        <f>DATE(2012,12,31)-741</f>
        <v>40533</v>
      </c>
      <c r="D1942" s="4" t="s">
        <v>21</v>
      </c>
      <c r="E1942" s="4">
        <v>48.0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</v>
      </c>
      <c r="U1942" s="5">
        <f>C1942+4</f>
        <v>40537</v>
      </c>
    </row>
    <row r="1943" ht="12.75" customHeight="1">
      <c r="A1943" s="4">
        <v>1294.0</v>
      </c>
      <c r="B1943" s="4">
        <v>9478.0</v>
      </c>
      <c r="C1943" s="5">
        <f t="shared" ref="C1943:C1944" si="853">DATE(2012,12,31)-1374</f>
        <v>39900</v>
      </c>
      <c r="D1943" s="4" t="s">
        <v>30</v>
      </c>
      <c r="E1943" s="4">
        <v>48.0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ht="12.75" customHeight="1">
      <c r="A1944" s="4">
        <v>1295.0</v>
      </c>
      <c r="B1944" s="4">
        <v>9478.0</v>
      </c>
      <c r="C1944" s="5">
        <f t="shared" si="853"/>
        <v>39900</v>
      </c>
      <c r="D1944" s="4" t="s">
        <v>30</v>
      </c>
      <c r="E1944" s="4">
        <v>48.0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ht="12.75" customHeight="1">
      <c r="A1945" s="4">
        <v>1715.0</v>
      </c>
      <c r="B1945" s="4">
        <v>12323.0</v>
      </c>
      <c r="C1945" s="5">
        <f t="shared" ref="C1945:C1946" si="854">DATE(2012,12,31)-639</f>
        <v>40635</v>
      </c>
      <c r="D1945" s="4" t="s">
        <v>45</v>
      </c>
      <c r="E1945" s="4">
        <v>32.0</v>
      </c>
      <c r="F1945" s="4">
        <v>513.74</v>
      </c>
      <c r="G1945" s="4">
        <v>0.02</v>
      </c>
      <c r="H1945" s="4" t="s">
        <v>22</v>
      </c>
      <c r="I1945" s="6">
        <v>-28.681</v>
      </c>
      <c r="J1945" s="4">
        <v>15.15</v>
      </c>
      <c r="K1945" s="4">
        <v>10.13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ht="12.75" customHeight="1">
      <c r="A1946" s="4">
        <v>1716.0</v>
      </c>
      <c r="B1946" s="4">
        <v>12323.0</v>
      </c>
      <c r="C1946" s="5">
        <f t="shared" si="854"/>
        <v>40635</v>
      </c>
      <c r="D1946" s="4" t="s">
        <v>45</v>
      </c>
      <c r="E1946" s="4">
        <v>4.0</v>
      </c>
      <c r="F1946" s="4">
        <v>36.8</v>
      </c>
      <c r="G1946" s="4">
        <v>0.0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</v>
      </c>
      <c r="U1946" s="5">
        <f>C1946+2</f>
        <v>40637</v>
      </c>
    </row>
    <row r="1947" ht="12.75" customHeight="1">
      <c r="A1947" s="4">
        <v>1934.0</v>
      </c>
      <c r="B1947" s="4">
        <v>13830.0</v>
      </c>
      <c r="C1947" s="5">
        <f>DATE(2012,12,31)-1106</f>
        <v>40168</v>
      </c>
      <c r="D1947" s="4" t="s">
        <v>30</v>
      </c>
      <c r="E1947" s="4">
        <v>27.0</v>
      </c>
      <c r="F1947" s="4">
        <v>2609.53</v>
      </c>
      <c r="G1947" s="4">
        <v>0.0</v>
      </c>
      <c r="H1947" s="4" t="s">
        <v>22</v>
      </c>
      <c r="I1947" s="6">
        <v>911.66</v>
      </c>
      <c r="J1947" s="4">
        <v>90.48</v>
      </c>
      <c r="K1947" s="4">
        <v>19.99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ht="12.75" customHeight="1">
      <c r="A1948" s="4">
        <v>2069.0</v>
      </c>
      <c r="B1948" s="4">
        <v>14791.0</v>
      </c>
      <c r="C1948" s="5">
        <f>DATE(2012,12,31)-1051</f>
        <v>40223</v>
      </c>
      <c r="D1948" s="4" t="s">
        <v>63</v>
      </c>
      <c r="E1948" s="4">
        <v>29.0</v>
      </c>
      <c r="F1948" s="4">
        <v>1576.223</v>
      </c>
      <c r="G1948" s="4">
        <v>0.05</v>
      </c>
      <c r="H1948" s="4" t="s">
        <v>22</v>
      </c>
      <c r="I1948" s="6">
        <v>286.119</v>
      </c>
      <c r="J1948" s="4">
        <v>65.99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0.57</v>
      </c>
      <c r="U1948" s="5">
        <f>C1948+1</f>
        <v>40224</v>
      </c>
    </row>
    <row r="1949" ht="12.75" customHeight="1">
      <c r="A1949" s="4">
        <v>2484.0</v>
      </c>
      <c r="B1949" s="4">
        <v>18085.0</v>
      </c>
      <c r="C1949" s="5">
        <f t="shared" ref="C1949:C1950" si="855">DATE(2012,12,31)-463</f>
        <v>40811</v>
      </c>
      <c r="D1949" s="4" t="s">
        <v>30</v>
      </c>
      <c r="E1949" s="4">
        <v>23.0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ht="12.75" customHeight="1">
      <c r="A1950" s="4">
        <v>2485.0</v>
      </c>
      <c r="B1950" s="4">
        <v>18085.0</v>
      </c>
      <c r="C1950" s="5">
        <f t="shared" si="855"/>
        <v>40811</v>
      </c>
      <c r="D1950" s="4" t="s">
        <v>30</v>
      </c>
      <c r="E1950" s="4">
        <v>33.0</v>
      </c>
      <c r="F1950" s="4">
        <v>5352.934499999999</v>
      </c>
      <c r="G1950" s="4">
        <v>0.09</v>
      </c>
      <c r="H1950" s="4" t="s">
        <v>22</v>
      </c>
      <c r="I1950" s="6">
        <v>1343.205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0.57</v>
      </c>
      <c r="U1950" s="5">
        <f t="shared" ref="U1950:U1951" si="856">C1950+1</f>
        <v>40812</v>
      </c>
    </row>
    <row r="1951" ht="12.75" customHeight="1">
      <c r="A1951" s="4">
        <v>2863.0</v>
      </c>
      <c r="B1951" s="4">
        <v>20674.0</v>
      </c>
      <c r="C1951" s="5">
        <f>DATE(2012,12,31)-754</f>
        <v>40520</v>
      </c>
      <c r="D1951" s="4" t="s">
        <v>30</v>
      </c>
      <c r="E1951" s="4">
        <v>37.0</v>
      </c>
      <c r="F1951" s="4">
        <v>17717.34</v>
      </c>
      <c r="G1951" s="4">
        <v>0.0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6"/>
        <v>40521</v>
      </c>
    </row>
    <row r="1952" ht="12.75" customHeight="1">
      <c r="A1952" s="4">
        <v>3496.0</v>
      </c>
      <c r="B1952" s="4">
        <v>24903.0</v>
      </c>
      <c r="C1952" s="5">
        <f>DATE(2012,12,31)-804</f>
        <v>40470</v>
      </c>
      <c r="D1952" s="4" t="s">
        <v>21</v>
      </c>
      <c r="E1952" s="4">
        <v>33.0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ht="12.75" customHeight="1">
      <c r="A1953" s="4">
        <v>3603.0</v>
      </c>
      <c r="B1953" s="4">
        <v>25735.0</v>
      </c>
      <c r="C1953" s="5">
        <f>DATE(2012,12,31)-732</f>
        <v>40542</v>
      </c>
      <c r="D1953" s="4" t="s">
        <v>45</v>
      </c>
      <c r="E1953" s="4">
        <v>45.0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ht="12.75" customHeight="1">
      <c r="A1954" s="4">
        <v>4188.0</v>
      </c>
      <c r="B1954" s="4">
        <v>29762.0</v>
      </c>
      <c r="C1954" s="5">
        <f>DATE(2012,12,31)-881</f>
        <v>40393</v>
      </c>
      <c r="D1954" s="4" t="s">
        <v>78</v>
      </c>
      <c r="E1954" s="4">
        <v>33.0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74.35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0.57</v>
      </c>
      <c r="U1954" s="5">
        <f>C1954+1</f>
        <v>40394</v>
      </c>
    </row>
    <row r="1955" ht="12.75" customHeight="1">
      <c r="A1955" s="4">
        <v>4199.0</v>
      </c>
      <c r="B1955" s="4">
        <v>29856.0</v>
      </c>
      <c r="C1955" s="5">
        <f>DATE(2012,12,31)-206</f>
        <v>41068</v>
      </c>
      <c r="D1955" s="4" t="s">
        <v>63</v>
      </c>
      <c r="E1955" s="4">
        <v>24.0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ht="12.75" customHeight="1">
      <c r="A1956" s="4">
        <v>4574.0</v>
      </c>
      <c r="B1956" s="4">
        <v>32580.0</v>
      </c>
      <c r="C1956" s="5">
        <f t="shared" ref="C1956:C1957" si="857">DATE(2012,12,31)-473</f>
        <v>40801</v>
      </c>
      <c r="D1956" s="4" t="s">
        <v>30</v>
      </c>
      <c r="E1956" s="4">
        <v>23.0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ht="12.75" customHeight="1">
      <c r="A1957" s="4">
        <v>4575.0</v>
      </c>
      <c r="B1957" s="4">
        <v>32580.0</v>
      </c>
      <c r="C1957" s="5">
        <f t="shared" si="857"/>
        <v>40801</v>
      </c>
      <c r="D1957" s="4" t="s">
        <v>30</v>
      </c>
      <c r="E1957" s="4">
        <v>38.0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ht="12.75" customHeight="1">
      <c r="A1958" s="4">
        <v>4788.0</v>
      </c>
      <c r="B1958" s="4">
        <v>34017.0</v>
      </c>
      <c r="C1958" s="5">
        <f t="shared" ref="C1958:C1959" si="858">DATE(2012,12,31)-1379</f>
        <v>39895</v>
      </c>
      <c r="D1958" s="4" t="s">
        <v>30</v>
      </c>
      <c r="E1958" s="4">
        <v>20.0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ht="12.75" customHeight="1">
      <c r="A1959" s="4">
        <v>4789.0</v>
      </c>
      <c r="B1959" s="4">
        <v>34017.0</v>
      </c>
      <c r="C1959" s="5">
        <f t="shared" si="858"/>
        <v>39895</v>
      </c>
      <c r="D1959" s="4" t="s">
        <v>30</v>
      </c>
      <c r="E1959" s="4">
        <v>28.0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0.57</v>
      </c>
      <c r="U1959" s="5">
        <f t="shared" ref="U1959:U1960" si="859">C1959+2</f>
        <v>39897</v>
      </c>
    </row>
    <row r="1960" ht="12.75" customHeight="1">
      <c r="A1960" s="4">
        <v>6013.0</v>
      </c>
      <c r="B1960" s="4">
        <v>42597.0</v>
      </c>
      <c r="C1960" s="5">
        <f>DATE(2012,12,31)-1012</f>
        <v>40262</v>
      </c>
      <c r="D1960" s="4" t="s">
        <v>63</v>
      </c>
      <c r="E1960" s="4">
        <v>5.0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9"/>
        <v>40264</v>
      </c>
    </row>
    <row r="1961" ht="12.75" customHeight="1">
      <c r="A1961" s="4">
        <v>6587.0</v>
      </c>
      <c r="B1961" s="4">
        <v>46884.0</v>
      </c>
      <c r="C1961" s="5">
        <f>DATE(2012,12,31)-1444</f>
        <v>39830</v>
      </c>
      <c r="D1961" s="4" t="s">
        <v>63</v>
      </c>
      <c r="E1961" s="4">
        <v>25.0</v>
      </c>
      <c r="F1961" s="4">
        <v>280.43</v>
      </c>
      <c r="G1961" s="4">
        <v>0.1</v>
      </c>
      <c r="H1961" s="4" t="s">
        <v>22</v>
      </c>
      <c r="I1961" s="6">
        <v>39.52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</v>
      </c>
      <c r="U1961" s="5">
        <f>C1961+1</f>
        <v>39831</v>
      </c>
    </row>
    <row r="1962" ht="12.75" customHeight="1">
      <c r="A1962" s="4">
        <v>7347.0</v>
      </c>
      <c r="B1962" s="4">
        <v>52325.0</v>
      </c>
      <c r="C1962" s="5">
        <f>DATE(2012,12,31)-170</f>
        <v>41104</v>
      </c>
      <c r="D1962" s="4" t="s">
        <v>45</v>
      </c>
      <c r="E1962" s="4">
        <v>23.0</v>
      </c>
      <c r="F1962" s="4">
        <v>5126.3</v>
      </c>
      <c r="G1962" s="4">
        <v>0.07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ht="12.75" customHeight="1">
      <c r="A1963" s="4">
        <v>7478.0</v>
      </c>
      <c r="B1963" s="4">
        <v>53382.0</v>
      </c>
      <c r="C1963" s="5">
        <f t="shared" ref="C1963:C1964" si="860">DATE(2012,12,31)-1100</f>
        <v>40174</v>
      </c>
      <c r="D1963" s="4" t="s">
        <v>45</v>
      </c>
      <c r="E1963" s="4">
        <v>13.0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49.0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</v>
      </c>
      <c r="U1963" s="5">
        <f t="shared" ref="U1963:U1966" si="861">C1963+1</f>
        <v>40175</v>
      </c>
    </row>
    <row r="1964" ht="12.75" customHeight="1">
      <c r="A1964" s="4">
        <v>7479.0</v>
      </c>
      <c r="B1964" s="4">
        <v>53382.0</v>
      </c>
      <c r="C1964" s="5">
        <f t="shared" si="860"/>
        <v>40174</v>
      </c>
      <c r="D1964" s="4" t="s">
        <v>45</v>
      </c>
      <c r="E1964" s="4">
        <v>15.0</v>
      </c>
      <c r="F1964" s="4">
        <v>4760.02</v>
      </c>
      <c r="G1964" s="4">
        <v>0.0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</v>
      </c>
      <c r="U1964" s="5">
        <f t="shared" si="861"/>
        <v>40175</v>
      </c>
    </row>
    <row r="1965" ht="12.75" customHeight="1">
      <c r="A1965" s="4">
        <v>7523.0</v>
      </c>
      <c r="B1965" s="4">
        <v>53728.0</v>
      </c>
      <c r="C1965" s="5">
        <f>DATE(2012,12,31)-436</f>
        <v>40838</v>
      </c>
      <c r="D1965" s="4" t="s">
        <v>30</v>
      </c>
      <c r="E1965" s="4">
        <v>27.0</v>
      </c>
      <c r="F1965" s="4">
        <v>1502.66</v>
      </c>
      <c r="G1965" s="4">
        <v>0.07</v>
      </c>
      <c r="H1965" s="4" t="s">
        <v>22</v>
      </c>
      <c r="I1965" s="6">
        <v>637.602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1"/>
        <v>40839</v>
      </c>
    </row>
    <row r="1966" ht="12.75" customHeight="1">
      <c r="A1966" s="4">
        <v>10.0</v>
      </c>
      <c r="B1966" s="4">
        <v>65.0</v>
      </c>
      <c r="C1966" s="5">
        <f>DATE(2012,12,31)-655</f>
        <v>40619</v>
      </c>
      <c r="D1966" s="4" t="s">
        <v>78</v>
      </c>
      <c r="E1966" s="4">
        <v>32.0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1"/>
        <v>40620</v>
      </c>
    </row>
    <row r="1967" ht="12.75" customHeight="1">
      <c r="A1967" s="4">
        <v>39.0</v>
      </c>
      <c r="B1967" s="4">
        <v>230.0</v>
      </c>
      <c r="C1967" s="5">
        <f t="shared" ref="C1967:C1968" si="862">DATE(2012,12,31)-797</f>
        <v>40477</v>
      </c>
      <c r="D1967" s="4" t="s">
        <v>78</v>
      </c>
      <c r="E1967" s="4">
        <v>47.0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0.58</v>
      </c>
      <c r="U1967" s="5">
        <f t="shared" ref="U1967:U1968" si="863">C1967+2</f>
        <v>40479</v>
      </c>
    </row>
    <row r="1968" ht="12.75" customHeight="1">
      <c r="A1968" s="4">
        <v>40.0</v>
      </c>
      <c r="B1968" s="4">
        <v>230.0</v>
      </c>
      <c r="C1968" s="5">
        <f t="shared" si="862"/>
        <v>40477</v>
      </c>
      <c r="D1968" s="4" t="s">
        <v>78</v>
      </c>
      <c r="E1968" s="4">
        <v>11.0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0.57</v>
      </c>
      <c r="U1968" s="5">
        <f t="shared" si="863"/>
        <v>40479</v>
      </c>
    </row>
    <row r="1969" ht="12.75" customHeight="1">
      <c r="A1969" s="4">
        <v>61.0</v>
      </c>
      <c r="B1969" s="4">
        <v>355.0</v>
      </c>
      <c r="C1969" s="5">
        <f>DATE(2012,12,31)-1297</f>
        <v>39977</v>
      </c>
      <c r="D1969" s="4" t="s">
        <v>21</v>
      </c>
      <c r="E1969" s="4">
        <v>16.0</v>
      </c>
      <c r="F1969" s="4">
        <v>1239.6315</v>
      </c>
      <c r="G1969" s="4">
        <v>0.0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ht="12.75" customHeight="1">
      <c r="A1970" s="4">
        <v>75.0</v>
      </c>
      <c r="B1970" s="4">
        <v>449.0</v>
      </c>
      <c r="C1970" s="5">
        <f>DATE(2012,12,31)-531</f>
        <v>40743</v>
      </c>
      <c r="D1970" s="4" t="s">
        <v>30</v>
      </c>
      <c r="E1970" s="4">
        <v>45.0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</v>
      </c>
      <c r="U1970" s="5">
        <f>C1970+2</f>
        <v>40745</v>
      </c>
    </row>
    <row r="1971" ht="12.75" customHeight="1">
      <c r="A1971" s="4">
        <v>101.0</v>
      </c>
      <c r="B1971" s="4">
        <v>640.0</v>
      </c>
      <c r="C1971" s="5">
        <f t="shared" ref="C1971:C1972" si="864">DATE(2012,12,31)-1074</f>
        <v>40200</v>
      </c>
      <c r="D1971" s="4" t="s">
        <v>30</v>
      </c>
      <c r="E1971" s="4">
        <v>39.0</v>
      </c>
      <c r="F1971" s="4">
        <v>4913.69</v>
      </c>
      <c r="G1971" s="4">
        <v>0.02</v>
      </c>
      <c r="H1971" s="4" t="s">
        <v>31</v>
      </c>
      <c r="I1971" s="6">
        <v>-1153.9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5">C1971+1</f>
        <v>40201</v>
      </c>
    </row>
    <row r="1972" ht="12.75" customHeight="1">
      <c r="A1972" s="4">
        <v>102.0</v>
      </c>
      <c r="B1972" s="4">
        <v>640.0</v>
      </c>
      <c r="C1972" s="5">
        <f t="shared" si="864"/>
        <v>40200</v>
      </c>
      <c r="D1972" s="4" t="s">
        <v>30</v>
      </c>
      <c r="E1972" s="4">
        <v>24.0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9.54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5"/>
        <v>40201</v>
      </c>
    </row>
    <row r="1973" ht="12.75" customHeight="1">
      <c r="A1973" s="4">
        <v>106.0</v>
      </c>
      <c r="B1973" s="4">
        <v>646.0</v>
      </c>
      <c r="C1973" s="5">
        <f>DATE(2012,12,31)-1136</f>
        <v>40138</v>
      </c>
      <c r="D1973" s="4" t="s">
        <v>30</v>
      </c>
      <c r="E1973" s="4">
        <v>18.0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</v>
      </c>
      <c r="U1973" s="5">
        <f t="shared" si="865"/>
        <v>40139</v>
      </c>
    </row>
    <row r="1974" ht="12.75" customHeight="1">
      <c r="A1974" s="4">
        <v>132.0</v>
      </c>
      <c r="B1974" s="4">
        <v>835.0</v>
      </c>
      <c r="C1974" s="5">
        <f>DATE(2012,12,31)-451</f>
        <v>40823</v>
      </c>
      <c r="D1974" s="4" t="s">
        <v>45</v>
      </c>
      <c r="E1974" s="4">
        <v>18.0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5"/>
        <v>40824</v>
      </c>
    </row>
    <row r="1975" ht="12.75" customHeight="1">
      <c r="A1975" s="4">
        <v>138.0</v>
      </c>
      <c r="B1975" s="4">
        <v>896.0</v>
      </c>
      <c r="C1975" s="5">
        <f>DATE(2012,12,31)-1029</f>
        <v>40245</v>
      </c>
      <c r="D1975" s="4" t="s">
        <v>78</v>
      </c>
      <c r="E1975" s="4">
        <v>50.0</v>
      </c>
      <c r="F1975" s="4">
        <v>1246.52</v>
      </c>
      <c r="G1975" s="4">
        <v>0.01</v>
      </c>
      <c r="H1975" s="4" t="s">
        <v>22</v>
      </c>
      <c r="I1975" s="6">
        <v>52.479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ht="12.75" customHeight="1">
      <c r="A1976" s="4">
        <v>159.0</v>
      </c>
      <c r="B1976" s="4">
        <v>994.0</v>
      </c>
      <c r="C1976" s="5">
        <f>DATE(2012,12,31)-1352</f>
        <v>39922</v>
      </c>
      <c r="D1976" s="4" t="s">
        <v>21</v>
      </c>
      <c r="E1976" s="4">
        <v>38.0</v>
      </c>
      <c r="F1976" s="4">
        <v>132.07</v>
      </c>
      <c r="G1976" s="4">
        <v>0.06</v>
      </c>
      <c r="H1976" s="4" t="s">
        <v>22</v>
      </c>
      <c r="I1976" s="6">
        <v>14.0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ht="12.75" customHeight="1">
      <c r="A1977" s="4">
        <v>167.0</v>
      </c>
      <c r="B1977" s="4">
        <v>1057.0</v>
      </c>
      <c r="C1977" s="5">
        <f>DATE(2012,12,31)-316</f>
        <v>40958</v>
      </c>
      <c r="D1977" s="4" t="s">
        <v>78</v>
      </c>
      <c r="E1977" s="4">
        <v>41.0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ht="12.75" customHeight="1">
      <c r="A1978" s="4">
        <v>228.0</v>
      </c>
      <c r="B1978" s="4">
        <v>1538.0</v>
      </c>
      <c r="C1978" s="5">
        <f>DATE(2012,12,31)-563</f>
        <v>40711</v>
      </c>
      <c r="D1978" s="4" t="s">
        <v>45</v>
      </c>
      <c r="E1978" s="4">
        <v>15.0</v>
      </c>
      <c r="F1978" s="4">
        <v>1297.304</v>
      </c>
      <c r="G1978" s="4">
        <v>0.0</v>
      </c>
      <c r="H1978" s="4" t="s">
        <v>22</v>
      </c>
      <c r="I1978" s="6">
        <v>149.823</v>
      </c>
      <c r="J1978" s="4">
        <v>95.99</v>
      </c>
      <c r="K1978" s="4">
        <v>4.9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</v>
      </c>
      <c r="U1978" s="5">
        <f>C1978+1</f>
        <v>40712</v>
      </c>
    </row>
    <row r="1979" ht="12.75" customHeight="1">
      <c r="A1979" s="4">
        <v>247.0</v>
      </c>
      <c r="B1979" s="4">
        <v>1701.0</v>
      </c>
      <c r="C1979" s="5">
        <f t="shared" ref="C1979:C1980" si="866">DATE(2012,12,31)-227</f>
        <v>41047</v>
      </c>
      <c r="D1979" s="4" t="s">
        <v>30</v>
      </c>
      <c r="E1979" s="4">
        <v>49.0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7">C1979+2</f>
        <v>41049</v>
      </c>
    </row>
    <row r="1980" ht="12.75" customHeight="1">
      <c r="A1980" s="4">
        <v>248.0</v>
      </c>
      <c r="B1980" s="4">
        <v>1701.0</v>
      </c>
      <c r="C1980" s="5">
        <f t="shared" si="866"/>
        <v>41047</v>
      </c>
      <c r="D1980" s="4" t="s">
        <v>30</v>
      </c>
      <c r="E1980" s="4">
        <v>1.0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0.57</v>
      </c>
      <c r="U1980" s="5">
        <f t="shared" si="867"/>
        <v>41049</v>
      </c>
    </row>
    <row r="1981" ht="12.75" customHeight="1">
      <c r="A1981" s="4">
        <v>274.0</v>
      </c>
      <c r="B1981" s="4">
        <v>1891.0</v>
      </c>
      <c r="C1981" s="5">
        <f>DATE(2012,12,31)-1113</f>
        <v>40161</v>
      </c>
      <c r="D1981" s="4" t="s">
        <v>21</v>
      </c>
      <c r="E1981" s="4">
        <v>3.0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7"/>
        <v>40163</v>
      </c>
    </row>
    <row r="1982" ht="12.75" customHeight="1">
      <c r="A1982" s="4">
        <v>289.0</v>
      </c>
      <c r="B1982" s="4">
        <v>2022.0</v>
      </c>
      <c r="C1982" s="5">
        <f>DATE(2012,12,31)-292</f>
        <v>40982</v>
      </c>
      <c r="D1982" s="4" t="s">
        <v>78</v>
      </c>
      <c r="E1982" s="4">
        <v>45.0</v>
      </c>
      <c r="F1982" s="4">
        <v>186.44</v>
      </c>
      <c r="G1982" s="4">
        <v>0.0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ht="12.75" customHeight="1">
      <c r="A1983" s="4">
        <v>312.0</v>
      </c>
      <c r="B1983" s="4">
        <v>2181.0</v>
      </c>
      <c r="C1983" s="5">
        <f t="shared" ref="C1983:C1984" si="868">DATE(2012,12,31)-476</f>
        <v>40798</v>
      </c>
      <c r="D1983" s="4" t="s">
        <v>63</v>
      </c>
      <c r="E1983" s="4">
        <v>40.0</v>
      </c>
      <c r="F1983" s="4">
        <v>102.56</v>
      </c>
      <c r="G1983" s="4">
        <v>0.06</v>
      </c>
      <c r="H1983" s="4" t="s">
        <v>22</v>
      </c>
      <c r="I1983" s="6">
        <v>36.62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ht="12.75" customHeight="1">
      <c r="A1984" s="4">
        <v>313.0</v>
      </c>
      <c r="B1984" s="4">
        <v>2181.0</v>
      </c>
      <c r="C1984" s="5">
        <f t="shared" si="868"/>
        <v>40798</v>
      </c>
      <c r="D1984" s="4" t="s">
        <v>63</v>
      </c>
      <c r="E1984" s="4">
        <v>3.0</v>
      </c>
      <c r="F1984" s="4">
        <v>15.87</v>
      </c>
      <c r="G1984" s="4">
        <v>0.01</v>
      </c>
      <c r="H1984" s="4" t="s">
        <v>56</v>
      </c>
      <c r="I1984" s="6">
        <v>2.53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ht="12.75" customHeight="1">
      <c r="A1985" s="4">
        <v>378.0</v>
      </c>
      <c r="B1985" s="4">
        <v>2628.0</v>
      </c>
      <c r="C1985" s="5">
        <f t="shared" ref="C1985:C1986" si="869">DATE(2012,12,31)-802</f>
        <v>40472</v>
      </c>
      <c r="D1985" s="4" t="s">
        <v>21</v>
      </c>
      <c r="E1985" s="4">
        <v>14.0</v>
      </c>
      <c r="F1985" s="4">
        <v>34.59</v>
      </c>
      <c r="G1985" s="4">
        <v>0.04</v>
      </c>
      <c r="H1985" s="4" t="s">
        <v>22</v>
      </c>
      <c r="I1985" s="6">
        <v>-60.13</v>
      </c>
      <c r="J1985" s="4">
        <v>2.18</v>
      </c>
      <c r="K1985" s="4">
        <v>5.0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ht="12.75" customHeight="1">
      <c r="A1986" s="4">
        <v>379.0</v>
      </c>
      <c r="B1986" s="4">
        <v>2628.0</v>
      </c>
      <c r="C1986" s="5">
        <f t="shared" si="869"/>
        <v>40472</v>
      </c>
      <c r="D1986" s="4" t="s">
        <v>21</v>
      </c>
      <c r="E1986" s="4">
        <v>29.0</v>
      </c>
      <c r="F1986" s="4">
        <v>5029.216</v>
      </c>
      <c r="G1986" s="4">
        <v>0.02</v>
      </c>
      <c r="H1986" s="4" t="s">
        <v>31</v>
      </c>
      <c r="I1986" s="6">
        <v>-752.832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70">C1986+9</f>
        <v>40481</v>
      </c>
    </row>
    <row r="1987" ht="12.75" customHeight="1">
      <c r="A1987" s="4">
        <v>392.0</v>
      </c>
      <c r="B1987" s="4">
        <v>2691.0</v>
      </c>
      <c r="C1987" s="5">
        <f>DATE(2012,12,31)-246</f>
        <v>41028</v>
      </c>
      <c r="D1987" s="4" t="s">
        <v>21</v>
      </c>
      <c r="E1987" s="4">
        <v>14.0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70"/>
        <v>41037</v>
      </c>
    </row>
    <row r="1988" ht="12.75" customHeight="1">
      <c r="A1988" s="4">
        <v>434.0</v>
      </c>
      <c r="B1988" s="4">
        <v>2912.0</v>
      </c>
      <c r="C1988" s="5">
        <f t="shared" ref="C1988:C1989" si="871">DATE(2012,12,31)-295</f>
        <v>40979</v>
      </c>
      <c r="D1988" s="4" t="s">
        <v>21</v>
      </c>
      <c r="E1988" s="4">
        <v>7.0</v>
      </c>
      <c r="F1988" s="4">
        <v>16587.13</v>
      </c>
      <c r="G1988" s="4">
        <v>0.08</v>
      </c>
      <c r="H1988" s="4" t="s">
        <v>31</v>
      </c>
      <c r="I1988" s="6">
        <v>-3476.8593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0.57</v>
      </c>
      <c r="U1988" s="5">
        <f>C1988+2</f>
        <v>40981</v>
      </c>
    </row>
    <row r="1989" ht="12.75" customHeight="1">
      <c r="A1989" s="4">
        <v>435.0</v>
      </c>
      <c r="B1989" s="4">
        <v>2912.0</v>
      </c>
      <c r="C1989" s="5">
        <f t="shared" si="871"/>
        <v>40979</v>
      </c>
      <c r="D1989" s="4" t="s">
        <v>21</v>
      </c>
      <c r="E1989" s="4">
        <v>9.0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ht="12.75" customHeight="1">
      <c r="A1990" s="4">
        <v>472.0</v>
      </c>
      <c r="B1990" s="4">
        <v>3235.0</v>
      </c>
      <c r="C1990" s="5">
        <f>DATE(2012,12,31)-413</f>
        <v>40861</v>
      </c>
      <c r="D1990" s="4" t="s">
        <v>21</v>
      </c>
      <c r="E1990" s="4">
        <v>31.0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ht="12.75" customHeight="1">
      <c r="A1991" s="4">
        <v>473.0</v>
      </c>
      <c r="B1991" s="4">
        <v>3266.0</v>
      </c>
      <c r="C1991" s="5">
        <f>DATE(2012,12,31)-656</f>
        <v>40618</v>
      </c>
      <c r="D1991" s="4" t="s">
        <v>21</v>
      </c>
      <c r="E1991" s="4">
        <v>4.0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ht="12.75" customHeight="1">
      <c r="A1992" s="4">
        <v>487.0</v>
      </c>
      <c r="B1992" s="4">
        <v>3363.0</v>
      </c>
      <c r="C1992" s="5">
        <f>DATE(2012,12,31)-466</f>
        <v>40808</v>
      </c>
      <c r="D1992" s="4" t="s">
        <v>30</v>
      </c>
      <c r="E1992" s="4">
        <v>21.0</v>
      </c>
      <c r="F1992" s="4">
        <v>8185.89</v>
      </c>
      <c r="G1992" s="4">
        <v>0.09</v>
      </c>
      <c r="H1992" s="4" t="s">
        <v>22</v>
      </c>
      <c r="I1992" s="6">
        <v>2137.28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0.57</v>
      </c>
      <c r="U1992" s="5">
        <f t="shared" ref="U1992:U1993" si="872">C1992+0</f>
        <v>40808</v>
      </c>
    </row>
    <row r="1993" ht="12.75" customHeight="1">
      <c r="A1993" s="4">
        <v>521.0</v>
      </c>
      <c r="B1993" s="4">
        <v>3585.0</v>
      </c>
      <c r="C1993" s="5">
        <f t="shared" ref="C1993:C1994" si="873">DATE(2012,12,31)-1135</f>
        <v>40139</v>
      </c>
      <c r="D1993" s="4" t="s">
        <v>30</v>
      </c>
      <c r="E1993" s="4">
        <v>27.0</v>
      </c>
      <c r="F1993" s="4">
        <v>259.72</v>
      </c>
      <c r="G1993" s="4">
        <v>0.07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2"/>
        <v>40139</v>
      </c>
    </row>
    <row r="1994" ht="12.75" customHeight="1">
      <c r="A1994" s="4">
        <v>522.0</v>
      </c>
      <c r="B1994" s="4">
        <v>3585.0</v>
      </c>
      <c r="C1994" s="5">
        <f t="shared" si="873"/>
        <v>40139</v>
      </c>
      <c r="D1994" s="4" t="s">
        <v>30</v>
      </c>
      <c r="E1994" s="4">
        <v>34.0</v>
      </c>
      <c r="F1994" s="4">
        <v>54.69</v>
      </c>
      <c r="G1994" s="4">
        <v>0.07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ht="12.75" customHeight="1">
      <c r="A1995" s="4">
        <v>550.0</v>
      </c>
      <c r="B1995" s="4">
        <v>3745.0</v>
      </c>
      <c r="C1995" s="5">
        <f>DATE(2012,12,31)-825</f>
        <v>40449</v>
      </c>
      <c r="D1995" s="4" t="s">
        <v>21</v>
      </c>
      <c r="E1995" s="4">
        <v>38.0</v>
      </c>
      <c r="F1995" s="4">
        <v>1143.35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4">C1995+2</f>
        <v>40451</v>
      </c>
    </row>
    <row r="1996" ht="12.75" customHeight="1">
      <c r="A1996" s="4">
        <v>605.0</v>
      </c>
      <c r="B1996" s="4">
        <v>4128.0</v>
      </c>
      <c r="C1996" s="5">
        <f>DATE(2012,12,31)-452</f>
        <v>40822</v>
      </c>
      <c r="D1996" s="4" t="s">
        <v>45</v>
      </c>
      <c r="E1996" s="4">
        <v>38.0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4"/>
        <v>40824</v>
      </c>
    </row>
    <row r="1997" ht="12.75" customHeight="1">
      <c r="A1997" s="4">
        <v>625.0</v>
      </c>
      <c r="B1997" s="4">
        <v>4354.0</v>
      </c>
      <c r="C1997" s="5">
        <f>DATE(2012,12,31)-1189</f>
        <v>40085</v>
      </c>
      <c r="D1997" s="4" t="s">
        <v>45</v>
      </c>
      <c r="E1997" s="4">
        <v>6.0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</v>
      </c>
      <c r="U1997" s="5">
        <f>C1997+1</f>
        <v>40086</v>
      </c>
    </row>
    <row r="1998" ht="12.75" customHeight="1">
      <c r="A1998" s="4">
        <v>645.0</v>
      </c>
      <c r="B1998" s="4">
        <v>4550.0</v>
      </c>
      <c r="C1998" s="5">
        <f>DATE(2012,12,31)-1099</f>
        <v>40175</v>
      </c>
      <c r="D1998" s="4" t="s">
        <v>30</v>
      </c>
      <c r="E1998" s="4">
        <v>32.0</v>
      </c>
      <c r="F1998" s="4">
        <v>3730.54</v>
      </c>
      <c r="G1998" s="4">
        <v>0.07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ht="12.75" customHeight="1">
      <c r="A1999" s="4">
        <v>680.0</v>
      </c>
      <c r="B1999" s="4">
        <v>4743.0</v>
      </c>
      <c r="C1999" s="5">
        <f t="shared" ref="C1999:C2000" si="875">DATE(2012,12,31)-1007</f>
        <v>40267</v>
      </c>
      <c r="D1999" s="4" t="s">
        <v>21</v>
      </c>
      <c r="E1999" s="4">
        <v>29.0</v>
      </c>
      <c r="F1999" s="4">
        <v>352.55</v>
      </c>
      <c r="G1999" s="4">
        <v>0.09</v>
      </c>
      <c r="H1999" s="4" t="s">
        <v>22</v>
      </c>
      <c r="I1999" s="6">
        <v>128.9875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ht="12.75" customHeight="1">
      <c r="A2000" s="4">
        <v>681.0</v>
      </c>
      <c r="B2000" s="4">
        <v>4743.0</v>
      </c>
      <c r="C2000" s="5">
        <f t="shared" si="875"/>
        <v>40267</v>
      </c>
      <c r="D2000" s="4" t="s">
        <v>21</v>
      </c>
      <c r="E2000" s="4">
        <v>32.0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ht="12.75" customHeight="1">
      <c r="A2001" s="4">
        <v>729.0</v>
      </c>
      <c r="B2001" s="4">
        <v>5251.0</v>
      </c>
      <c r="C2001" s="5">
        <f>DATE(2012,12,31)-630</f>
        <v>40644</v>
      </c>
      <c r="D2001" s="4" t="s">
        <v>63</v>
      </c>
      <c r="E2001" s="4">
        <v>38.0</v>
      </c>
      <c r="F2001" s="4">
        <v>3821.039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0.57</v>
      </c>
      <c r="U2001" s="5">
        <f t="shared" ref="U2001:U2002" si="876">C2001+2</f>
        <v>40646</v>
      </c>
    </row>
    <row r="2002" ht="12.75" customHeight="1">
      <c r="A2002" s="4">
        <v>733.0</v>
      </c>
      <c r="B2002" s="4">
        <v>5283.0</v>
      </c>
      <c r="C2002" s="5">
        <f>DATE(2012,12,31)-1307</f>
        <v>39967</v>
      </c>
      <c r="D2002" s="4" t="s">
        <v>63</v>
      </c>
      <c r="E2002" s="4">
        <v>23.0</v>
      </c>
      <c r="F2002" s="4">
        <v>2508.6730000000002</v>
      </c>
      <c r="G2002" s="4">
        <v>0.03</v>
      </c>
      <c r="H2002" s="4" t="s">
        <v>22</v>
      </c>
      <c r="I2002" s="6">
        <v>417.465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0.58</v>
      </c>
      <c r="U2002" s="5">
        <f t="shared" si="876"/>
        <v>39969</v>
      </c>
    </row>
    <row r="2003" ht="12.75" customHeight="1">
      <c r="A2003" s="4">
        <v>750.0</v>
      </c>
      <c r="B2003" s="4">
        <v>5381.0</v>
      </c>
      <c r="C2003" s="5">
        <f t="shared" ref="C2003:C2004" si="877">DATE(2012,12,31)-1068</f>
        <v>40206</v>
      </c>
      <c r="D2003" s="4" t="s">
        <v>21</v>
      </c>
      <c r="E2003" s="4">
        <v>47.0</v>
      </c>
      <c r="F2003" s="4">
        <v>4888.14</v>
      </c>
      <c r="G2003" s="4">
        <v>0.07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8">C2003+7</f>
        <v>40213</v>
      </c>
    </row>
    <row r="2004" ht="12.75" customHeight="1">
      <c r="A2004" s="4">
        <v>751.0</v>
      </c>
      <c r="B2004" s="4">
        <v>5381.0</v>
      </c>
      <c r="C2004" s="5">
        <f t="shared" si="877"/>
        <v>40206</v>
      </c>
      <c r="D2004" s="4" t="s">
        <v>21</v>
      </c>
      <c r="E2004" s="4">
        <v>27.0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8"/>
        <v>40213</v>
      </c>
    </row>
    <row r="2005" ht="12.75" customHeight="1">
      <c r="A2005" s="4">
        <v>759.0</v>
      </c>
      <c r="B2005" s="4">
        <v>5444.0</v>
      </c>
      <c r="C2005" s="5">
        <f>DATE(2012,12,31)-655</f>
        <v>40619</v>
      </c>
      <c r="D2005" s="4" t="s">
        <v>78</v>
      </c>
      <c r="E2005" s="4">
        <v>2.0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ht="12.75" customHeight="1">
      <c r="A2006" s="4">
        <v>785.0</v>
      </c>
      <c r="B2006" s="4">
        <v>5601.0</v>
      </c>
      <c r="C2006" s="5">
        <f>DATE(2012,12,31)-361</f>
        <v>40913</v>
      </c>
      <c r="D2006" s="4" t="s">
        <v>30</v>
      </c>
      <c r="E2006" s="4">
        <v>10.0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</v>
      </c>
      <c r="U2006" s="5">
        <f t="shared" ref="U2006:U2007" si="879">C2006+1</f>
        <v>40914</v>
      </c>
    </row>
    <row r="2007" ht="12.75" customHeight="1">
      <c r="A2007" s="4">
        <v>802.0</v>
      </c>
      <c r="B2007" s="4">
        <v>5760.0</v>
      </c>
      <c r="C2007" s="5">
        <f>DATE(2012,12,31)-1317</f>
        <v>39957</v>
      </c>
      <c r="D2007" s="4" t="s">
        <v>45</v>
      </c>
      <c r="E2007" s="4">
        <v>34.0</v>
      </c>
      <c r="F2007" s="4">
        <v>5261.73</v>
      </c>
      <c r="G2007" s="4">
        <v>0.05</v>
      </c>
      <c r="H2007" s="4" t="s">
        <v>31</v>
      </c>
      <c r="I2007" s="6">
        <v>650.3</v>
      </c>
      <c r="J2007" s="4">
        <v>150.98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</v>
      </c>
      <c r="U2007" s="5">
        <f t="shared" si="879"/>
        <v>39958</v>
      </c>
    </row>
    <row r="2008" ht="12.75" customHeight="1">
      <c r="A2008" s="4">
        <v>896.0</v>
      </c>
      <c r="B2008" s="4">
        <v>6438.0</v>
      </c>
      <c r="C2008" s="5">
        <f t="shared" ref="C2008:C2009" si="880">DATE(2012,12,31)-960</f>
        <v>40314</v>
      </c>
      <c r="D2008" s="4" t="s">
        <v>45</v>
      </c>
      <c r="E2008" s="4">
        <v>7.0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ht="12.75" customHeight="1">
      <c r="A2009" s="4">
        <v>897.0</v>
      </c>
      <c r="B2009" s="4">
        <v>6438.0</v>
      </c>
      <c r="C2009" s="5">
        <f t="shared" si="880"/>
        <v>40314</v>
      </c>
      <c r="D2009" s="4" t="s">
        <v>45</v>
      </c>
      <c r="E2009" s="4">
        <v>38.0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ht="12.75" customHeight="1">
      <c r="A2010" s="4">
        <v>917.0</v>
      </c>
      <c r="B2010" s="4">
        <v>6592.0</v>
      </c>
      <c r="C2010" s="5">
        <f t="shared" ref="C2010:C2011" si="881">DATE(2012,12,31)-1126</f>
        <v>40148</v>
      </c>
      <c r="D2010" s="4" t="s">
        <v>21</v>
      </c>
      <c r="E2010" s="4">
        <v>29.0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8.37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0.58</v>
      </c>
      <c r="U2010" s="5">
        <f>C2010+7</f>
        <v>40155</v>
      </c>
    </row>
    <row r="2011" ht="12.75" customHeight="1">
      <c r="A2011" s="4">
        <v>918.0</v>
      </c>
      <c r="B2011" s="4">
        <v>6592.0</v>
      </c>
      <c r="C2011" s="5">
        <f t="shared" si="881"/>
        <v>40148</v>
      </c>
      <c r="D2011" s="4" t="s">
        <v>21</v>
      </c>
      <c r="E2011" s="4">
        <v>33.0</v>
      </c>
      <c r="F2011" s="4">
        <v>1621.1</v>
      </c>
      <c r="G2011" s="4">
        <v>0.07</v>
      </c>
      <c r="H2011" s="4" t="s">
        <v>56</v>
      </c>
      <c r="I2011" s="6">
        <v>-971.36</v>
      </c>
      <c r="J2011" s="4">
        <v>48.91</v>
      </c>
      <c r="K2011" s="4">
        <v>35.0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2">C2011+2</f>
        <v>40150</v>
      </c>
    </row>
    <row r="2012" ht="12.75" customHeight="1">
      <c r="A2012" s="4">
        <v>933.0</v>
      </c>
      <c r="B2012" s="4">
        <v>6755.0</v>
      </c>
      <c r="C2012" s="5">
        <f>DATE(2012,12,31)-610</f>
        <v>40664</v>
      </c>
      <c r="D2012" s="4" t="s">
        <v>30</v>
      </c>
      <c r="E2012" s="4">
        <v>20.0</v>
      </c>
      <c r="F2012" s="4">
        <v>156.47</v>
      </c>
      <c r="G2012" s="4">
        <v>0.01</v>
      </c>
      <c r="H2012" s="4" t="s">
        <v>22</v>
      </c>
      <c r="I2012" s="6">
        <v>-39.2265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2"/>
        <v>40666</v>
      </c>
    </row>
    <row r="2013" ht="12.75" customHeight="1">
      <c r="A2013" s="4">
        <v>957.0</v>
      </c>
      <c r="B2013" s="4">
        <v>6918.0</v>
      </c>
      <c r="C2013" s="5">
        <f>DATE(2012,12,31)-549</f>
        <v>40725</v>
      </c>
      <c r="D2013" s="4" t="s">
        <v>78</v>
      </c>
      <c r="E2013" s="4">
        <v>38.0</v>
      </c>
      <c r="F2013" s="4">
        <v>1559.5</v>
      </c>
      <c r="G2013" s="4">
        <v>0.01</v>
      </c>
      <c r="H2013" s="4" t="s">
        <v>22</v>
      </c>
      <c r="I2013" s="6">
        <v>515.83</v>
      </c>
      <c r="J2013" s="4">
        <v>39.48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2"/>
        <v>40727</v>
      </c>
    </row>
    <row r="2014" ht="12.75" customHeight="1">
      <c r="A2014" s="4">
        <v>1060.0</v>
      </c>
      <c r="B2014" s="4">
        <v>7841.0</v>
      </c>
      <c r="C2014" s="5">
        <f t="shared" ref="C2014:C2015" si="883">DATE(2012,12,31)-225</f>
        <v>41049</v>
      </c>
      <c r="D2014" s="4" t="s">
        <v>45</v>
      </c>
      <c r="E2014" s="4">
        <v>21.0</v>
      </c>
      <c r="F2014" s="4">
        <v>1002.77</v>
      </c>
      <c r="G2014" s="4">
        <v>0.07</v>
      </c>
      <c r="H2014" s="4" t="s">
        <v>22</v>
      </c>
      <c r="I2014" s="6">
        <v>295.6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0.57</v>
      </c>
      <c r="U2014" s="5">
        <f t="shared" si="882"/>
        <v>41051</v>
      </c>
    </row>
    <row r="2015" ht="12.75" customHeight="1">
      <c r="A2015" s="4">
        <v>1061.0</v>
      </c>
      <c r="B2015" s="4">
        <v>7841.0</v>
      </c>
      <c r="C2015" s="5">
        <f t="shared" si="883"/>
        <v>41049</v>
      </c>
      <c r="D2015" s="4" t="s">
        <v>45</v>
      </c>
      <c r="E2015" s="4">
        <v>17.0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2"/>
        <v>41051</v>
      </c>
    </row>
    <row r="2016" ht="12.75" customHeight="1">
      <c r="A2016" s="4">
        <v>1104.0</v>
      </c>
      <c r="B2016" s="4">
        <v>8103.0</v>
      </c>
      <c r="C2016" s="5">
        <f>DATE(2012,12,31)-1155</f>
        <v>40119</v>
      </c>
      <c r="D2016" s="4" t="s">
        <v>21</v>
      </c>
      <c r="E2016" s="4">
        <v>16.0</v>
      </c>
      <c r="F2016" s="4">
        <v>457.68</v>
      </c>
      <c r="G2016" s="4">
        <v>0.07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ht="12.75" customHeight="1">
      <c r="A2017" s="4">
        <v>1130.0</v>
      </c>
      <c r="B2017" s="4">
        <v>8258.0</v>
      </c>
      <c r="C2017" s="5">
        <f>DATE(2012,12,31)-1401</f>
        <v>39873</v>
      </c>
      <c r="D2017" s="4" t="s">
        <v>30</v>
      </c>
      <c r="E2017" s="4">
        <v>37.0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ht="12.75" customHeight="1">
      <c r="A2018" s="4">
        <v>1162.0</v>
      </c>
      <c r="B2018" s="4">
        <v>8454.0</v>
      </c>
      <c r="C2018" s="5">
        <f>DATE(2012,12,31)-138</f>
        <v>41136</v>
      </c>
      <c r="D2018" s="4" t="s">
        <v>63</v>
      </c>
      <c r="E2018" s="4">
        <v>38.0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ht="12.75" customHeight="1">
      <c r="A2019" s="4">
        <v>1193.0</v>
      </c>
      <c r="B2019" s="4">
        <v>8710.0</v>
      </c>
      <c r="C2019" s="5">
        <f t="shared" ref="C2019:C2020" si="884">DATE(2012,12,31)-1457</f>
        <v>39817</v>
      </c>
      <c r="D2019" s="4" t="s">
        <v>78</v>
      </c>
      <c r="E2019" s="4">
        <v>17.0</v>
      </c>
      <c r="F2019" s="4">
        <v>63.34</v>
      </c>
      <c r="G2019" s="4">
        <v>0.03</v>
      </c>
      <c r="H2019" s="4" t="s">
        <v>22</v>
      </c>
      <c r="I2019" s="6">
        <v>-76.015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ht="12.75" customHeight="1">
      <c r="A2020" s="4">
        <v>1194.0</v>
      </c>
      <c r="B2020" s="4">
        <v>8710.0</v>
      </c>
      <c r="C2020" s="5">
        <f t="shared" si="884"/>
        <v>39817</v>
      </c>
      <c r="D2020" s="4" t="s">
        <v>78</v>
      </c>
      <c r="E2020" s="4">
        <v>42.0</v>
      </c>
      <c r="F2020" s="4">
        <v>151.35</v>
      </c>
      <c r="G2020" s="4">
        <v>0.07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ht="12.75" customHeight="1">
      <c r="A2021" s="4">
        <v>1208.0</v>
      </c>
      <c r="B2021" s="4">
        <v>8835.0</v>
      </c>
      <c r="C2021" s="5">
        <f>DATE(2012,12,31)-1175</f>
        <v>40099</v>
      </c>
      <c r="D2021" s="4" t="s">
        <v>78</v>
      </c>
      <c r="E2021" s="4">
        <v>12.0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ht="12.75" customHeight="1">
      <c r="A2022" s="4">
        <v>1217.0</v>
      </c>
      <c r="B2022" s="4">
        <v>8960.0</v>
      </c>
      <c r="C2022" s="5">
        <f t="shared" ref="C2022:C2023" si="885">DATE(2012,12,31)-940</f>
        <v>40334</v>
      </c>
      <c r="D2022" s="4" t="s">
        <v>63</v>
      </c>
      <c r="E2022" s="4">
        <v>46.0</v>
      </c>
      <c r="F2022" s="4">
        <v>4335.34</v>
      </c>
      <c r="G2022" s="4">
        <v>0.07</v>
      </c>
      <c r="H2022" s="4" t="s">
        <v>56</v>
      </c>
      <c r="I2022" s="6">
        <v>524.09</v>
      </c>
      <c r="J2022" s="4">
        <v>99.99</v>
      </c>
      <c r="K2022" s="4">
        <v>19.99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6">C2022+2</f>
        <v>40336</v>
      </c>
    </row>
    <row r="2023" ht="12.75" customHeight="1">
      <c r="A2023" s="4">
        <v>1218.0</v>
      </c>
      <c r="B2023" s="4">
        <v>8960.0</v>
      </c>
      <c r="C2023" s="5">
        <f t="shared" si="885"/>
        <v>40334</v>
      </c>
      <c r="D2023" s="4" t="s">
        <v>63</v>
      </c>
      <c r="E2023" s="4">
        <v>15.0</v>
      </c>
      <c r="F2023" s="4">
        <v>1150.5345</v>
      </c>
      <c r="G2023" s="4">
        <v>0.01</v>
      </c>
      <c r="H2023" s="4" t="s">
        <v>22</v>
      </c>
      <c r="I2023" s="6">
        <v>361.647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6"/>
        <v>40336</v>
      </c>
    </row>
    <row r="2024" ht="12.75" customHeight="1">
      <c r="A2024" s="4">
        <v>1277.0</v>
      </c>
      <c r="B2024" s="4">
        <v>9281.0</v>
      </c>
      <c r="C2024" s="5">
        <f t="shared" ref="C2024:C2025" si="887">DATE(2012,12,31)-312</f>
        <v>40962</v>
      </c>
      <c r="D2024" s="4" t="s">
        <v>78</v>
      </c>
      <c r="E2024" s="4">
        <v>31.0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6"/>
        <v>40964</v>
      </c>
    </row>
    <row r="2025" ht="12.75" customHeight="1">
      <c r="A2025" s="4">
        <v>1278.0</v>
      </c>
      <c r="B2025" s="4">
        <v>9281.0</v>
      </c>
      <c r="C2025" s="5">
        <f t="shared" si="887"/>
        <v>40962</v>
      </c>
      <c r="D2025" s="4" t="s">
        <v>78</v>
      </c>
      <c r="E2025" s="4">
        <v>24.0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6"/>
        <v>40964</v>
      </c>
    </row>
    <row r="2026" ht="12.75" customHeight="1">
      <c r="A2026" s="4">
        <v>1285.0</v>
      </c>
      <c r="B2026" s="4">
        <v>9350.0</v>
      </c>
      <c r="C2026" s="5">
        <f t="shared" ref="C2026:C2027" si="888">DATE(2012,12,31)-61</f>
        <v>41213</v>
      </c>
      <c r="D2026" s="4" t="s">
        <v>78</v>
      </c>
      <c r="E2026" s="4">
        <v>13.0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140.98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ht="12.75" customHeight="1">
      <c r="A2027" s="4">
        <v>1286.0</v>
      </c>
      <c r="B2027" s="4">
        <v>9350.0</v>
      </c>
      <c r="C2027" s="5">
        <f t="shared" si="888"/>
        <v>41213</v>
      </c>
      <c r="D2027" s="4" t="s">
        <v>78</v>
      </c>
      <c r="E2027" s="4">
        <v>2.0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19.99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ht="12.75" customHeight="1">
      <c r="A2028" s="4">
        <v>1322.0</v>
      </c>
      <c r="B2028" s="4">
        <v>9665.0</v>
      </c>
      <c r="C2028" s="5">
        <f t="shared" ref="C2028:C2030" si="889">DATE(2012,12,31)-1348</f>
        <v>39926</v>
      </c>
      <c r="D2028" s="4" t="s">
        <v>21</v>
      </c>
      <c r="E2028" s="4">
        <v>50.0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5.1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ht="12.75" customHeight="1">
      <c r="A2029" s="4">
        <v>1323.0</v>
      </c>
      <c r="B2029" s="4">
        <v>9665.0</v>
      </c>
      <c r="C2029" s="5">
        <f t="shared" si="889"/>
        <v>39926</v>
      </c>
      <c r="D2029" s="4" t="s">
        <v>21</v>
      </c>
      <c r="E2029" s="4">
        <v>19.0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140.98</v>
      </c>
      <c r="K2029" s="4">
        <v>36.09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90">C2029+2</f>
        <v>39928</v>
      </c>
    </row>
    <row r="2030" ht="12.75" customHeight="1">
      <c r="A2030" s="4">
        <v>1324.0</v>
      </c>
      <c r="B2030" s="4">
        <v>9665.0</v>
      </c>
      <c r="C2030" s="5">
        <f t="shared" si="889"/>
        <v>39926</v>
      </c>
      <c r="D2030" s="4" t="s">
        <v>21</v>
      </c>
      <c r="E2030" s="4">
        <v>49.0</v>
      </c>
      <c r="F2030" s="4">
        <v>9579.62</v>
      </c>
      <c r="G2030" s="4">
        <v>0.1</v>
      </c>
      <c r="H2030" s="4" t="s">
        <v>31</v>
      </c>
      <c r="I2030" s="6">
        <v>-3465.072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90"/>
        <v>39928</v>
      </c>
    </row>
    <row r="2031" ht="12.75" customHeight="1">
      <c r="A2031" s="4">
        <v>1357.0</v>
      </c>
      <c r="B2031" s="4">
        <v>9893.0</v>
      </c>
      <c r="C2031" s="5">
        <f>DATE(2012,12,31)-1233</f>
        <v>40041</v>
      </c>
      <c r="D2031" s="4" t="s">
        <v>63</v>
      </c>
      <c r="E2031" s="4">
        <v>1.0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160.98</v>
      </c>
      <c r="K2031" s="4">
        <v>30.0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ht="12.75" customHeight="1">
      <c r="A2032" s="4">
        <v>1401.0</v>
      </c>
      <c r="B2032" s="4">
        <v>10183.0</v>
      </c>
      <c r="C2032" s="5">
        <f>DATE(2012,12,31)-1133</f>
        <v>40141</v>
      </c>
      <c r="D2032" s="4" t="s">
        <v>78</v>
      </c>
      <c r="E2032" s="4">
        <v>48.0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1">C2032+1</f>
        <v>40142</v>
      </c>
    </row>
    <row r="2033" ht="12.75" customHeight="1">
      <c r="A2033" s="4">
        <v>1413.0</v>
      </c>
      <c r="B2033" s="4">
        <v>10247.0</v>
      </c>
      <c r="C2033" s="5">
        <f t="shared" ref="C2033:C2034" si="892">DATE(2012,12,31)-1086</f>
        <v>40188</v>
      </c>
      <c r="D2033" s="4" t="s">
        <v>63</v>
      </c>
      <c r="E2033" s="4">
        <v>21.0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1"/>
        <v>40189</v>
      </c>
    </row>
    <row r="2034" ht="12.75" customHeight="1">
      <c r="A2034" s="4">
        <v>1414.0</v>
      </c>
      <c r="B2034" s="4">
        <v>10247.0</v>
      </c>
      <c r="C2034" s="5">
        <f t="shared" si="892"/>
        <v>40188</v>
      </c>
      <c r="D2034" s="4" t="s">
        <v>63</v>
      </c>
      <c r="E2034" s="4">
        <v>24.0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9.78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3">C2034+2</f>
        <v>40190</v>
      </c>
    </row>
    <row r="2035" ht="12.75" customHeight="1">
      <c r="A2035" s="4">
        <v>1438.0</v>
      </c>
      <c r="B2035" s="4">
        <v>10371.0</v>
      </c>
      <c r="C2035" s="5">
        <f>DATE(2012,12,31)-1202</f>
        <v>40072</v>
      </c>
      <c r="D2035" s="4" t="s">
        <v>30</v>
      </c>
      <c r="E2035" s="4">
        <v>10.0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</v>
      </c>
      <c r="U2035" s="5">
        <f t="shared" si="893"/>
        <v>40074</v>
      </c>
    </row>
    <row r="2036" ht="12.75" customHeight="1">
      <c r="A2036" s="4">
        <v>1456.0</v>
      </c>
      <c r="B2036" s="4">
        <v>10498.0</v>
      </c>
      <c r="C2036" s="5">
        <f>DATE(2012,12,31)-800</f>
        <v>40474</v>
      </c>
      <c r="D2036" s="4" t="s">
        <v>21</v>
      </c>
      <c r="E2036" s="4">
        <v>47.0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ht="12.75" customHeight="1">
      <c r="A2037" s="4">
        <v>1470.0</v>
      </c>
      <c r="B2037" s="4">
        <v>10624.0</v>
      </c>
      <c r="C2037" s="5">
        <f>DATE(2012,12,31)-1107</f>
        <v>40167</v>
      </c>
      <c r="D2037" s="4" t="s">
        <v>78</v>
      </c>
      <c r="E2037" s="4">
        <v>23.0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ht="12.75" customHeight="1">
      <c r="A2038" s="4">
        <v>1579.0</v>
      </c>
      <c r="B2038" s="4">
        <v>11425.0</v>
      </c>
      <c r="C2038" s="5">
        <f t="shared" ref="C2038:C2039" si="894">DATE(2012,12,31)-558</f>
        <v>40716</v>
      </c>
      <c r="D2038" s="4" t="s">
        <v>78</v>
      </c>
      <c r="E2038" s="4">
        <v>29.0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0.58</v>
      </c>
      <c r="U2038" s="5">
        <f>C2038+1</f>
        <v>40717</v>
      </c>
    </row>
    <row r="2039" ht="12.75" customHeight="1">
      <c r="A2039" s="4">
        <v>1580.0</v>
      </c>
      <c r="B2039" s="4">
        <v>11425.0</v>
      </c>
      <c r="C2039" s="5">
        <f t="shared" si="894"/>
        <v>40716</v>
      </c>
      <c r="D2039" s="4" t="s">
        <v>78</v>
      </c>
      <c r="E2039" s="4">
        <v>23.0</v>
      </c>
      <c r="F2039" s="4">
        <v>2969.6365</v>
      </c>
      <c r="G2039" s="4">
        <v>0.04</v>
      </c>
      <c r="H2039" s="4" t="s">
        <v>56</v>
      </c>
      <c r="I2039" s="6">
        <v>383.454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0.58</v>
      </c>
      <c r="U2039" s="5">
        <f>C2039+2</f>
        <v>40718</v>
      </c>
    </row>
    <row r="2040" ht="12.75" customHeight="1">
      <c r="A2040" s="4">
        <v>1591.0</v>
      </c>
      <c r="B2040" s="4">
        <v>11491.0</v>
      </c>
      <c r="C2040" s="5">
        <f t="shared" ref="C2040:C2041" si="895">DATE(2012,12,31)-867</f>
        <v>40407</v>
      </c>
      <c r="D2040" s="4" t="s">
        <v>21</v>
      </c>
      <c r="E2040" s="4">
        <v>26.0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ht="12.75" customHeight="1">
      <c r="A2041" s="4">
        <v>1592.0</v>
      </c>
      <c r="B2041" s="4">
        <v>11491.0</v>
      </c>
      <c r="C2041" s="5">
        <f t="shared" si="895"/>
        <v>40407</v>
      </c>
      <c r="D2041" s="4" t="s">
        <v>21</v>
      </c>
      <c r="E2041" s="4">
        <v>38.0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6">C2041+2</f>
        <v>40409</v>
      </c>
    </row>
    <row r="2042" ht="12.75" customHeight="1">
      <c r="A2042" s="4">
        <v>1636.0</v>
      </c>
      <c r="B2042" s="4">
        <v>11841.0</v>
      </c>
      <c r="C2042" s="5">
        <f t="shared" ref="C2042:C2043" si="897">DATE(2012,12,31)-986</f>
        <v>40288</v>
      </c>
      <c r="D2042" s="4" t="s">
        <v>63</v>
      </c>
      <c r="E2042" s="4">
        <v>44.0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6"/>
        <v>40290</v>
      </c>
    </row>
    <row r="2043" ht="12.75" customHeight="1">
      <c r="A2043" s="4">
        <v>1637.0</v>
      </c>
      <c r="B2043" s="4">
        <v>11841.0</v>
      </c>
      <c r="C2043" s="5">
        <f t="shared" si="897"/>
        <v>40288</v>
      </c>
      <c r="D2043" s="4" t="s">
        <v>63</v>
      </c>
      <c r="E2043" s="4">
        <v>46.0</v>
      </c>
      <c r="F2043" s="4">
        <v>533.25</v>
      </c>
      <c r="G2043" s="4">
        <v>0.07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ht="12.75" customHeight="1">
      <c r="A2044" s="4">
        <v>1648.0</v>
      </c>
      <c r="B2044" s="4">
        <v>11878.0</v>
      </c>
      <c r="C2044" s="5">
        <f t="shared" ref="C2044:C2045" si="898">DATE(2012,12,31)-1041</f>
        <v>40233</v>
      </c>
      <c r="D2044" s="4" t="s">
        <v>45</v>
      </c>
      <c r="E2044" s="4">
        <v>18.0</v>
      </c>
      <c r="F2044" s="4">
        <v>102.06</v>
      </c>
      <c r="G2044" s="4">
        <v>0.1</v>
      </c>
      <c r="H2044" s="4" t="s">
        <v>22</v>
      </c>
      <c r="I2044" s="6">
        <v>36.23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9">C2044+1</f>
        <v>40234</v>
      </c>
    </row>
    <row r="2045" ht="12.75" customHeight="1">
      <c r="A2045" s="4">
        <v>1649.0</v>
      </c>
      <c r="B2045" s="4">
        <v>11878.0</v>
      </c>
      <c r="C2045" s="5">
        <f t="shared" si="898"/>
        <v>40233</v>
      </c>
      <c r="D2045" s="4" t="s">
        <v>45</v>
      </c>
      <c r="E2045" s="4">
        <v>15.0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9"/>
        <v>40234</v>
      </c>
    </row>
    <row r="2046" ht="12.75" customHeight="1">
      <c r="A2046" s="4">
        <v>1682.0</v>
      </c>
      <c r="B2046" s="4">
        <v>12130.0</v>
      </c>
      <c r="C2046" s="5">
        <f t="shared" ref="C2046:C2047" si="900">DATE(2012,12,31)-388</f>
        <v>40886</v>
      </c>
      <c r="D2046" s="4" t="s">
        <v>45</v>
      </c>
      <c r="E2046" s="4">
        <v>37.0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1">C2046+3</f>
        <v>40889</v>
      </c>
    </row>
    <row r="2047" ht="12.75" customHeight="1">
      <c r="A2047" s="4">
        <v>1683.0</v>
      </c>
      <c r="B2047" s="4">
        <v>12130.0</v>
      </c>
      <c r="C2047" s="5">
        <f t="shared" si="900"/>
        <v>40886</v>
      </c>
      <c r="D2047" s="4" t="s">
        <v>45</v>
      </c>
      <c r="E2047" s="4">
        <v>42.0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1"/>
        <v>40889</v>
      </c>
    </row>
    <row r="2048" ht="12.75" customHeight="1">
      <c r="A2048" s="4">
        <v>1684.0</v>
      </c>
      <c r="B2048" s="4">
        <v>12160.0</v>
      </c>
      <c r="C2048" s="5">
        <f t="shared" ref="C2048:C2050" si="902">DATE(2012,12,31)-750</f>
        <v>40524</v>
      </c>
      <c r="D2048" s="4" t="s">
        <v>21</v>
      </c>
      <c r="E2048" s="4">
        <v>48.0</v>
      </c>
      <c r="F2048" s="4">
        <v>10341.47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0.57</v>
      </c>
      <c r="U2048" s="5">
        <f>C2048+5</f>
        <v>40529</v>
      </c>
    </row>
    <row r="2049" ht="12.75" customHeight="1">
      <c r="A2049" s="4">
        <v>1685.0</v>
      </c>
      <c r="B2049" s="4">
        <v>12160.0</v>
      </c>
      <c r="C2049" s="5">
        <f t="shared" si="902"/>
        <v>40524</v>
      </c>
      <c r="D2049" s="4" t="s">
        <v>21</v>
      </c>
      <c r="E2049" s="4">
        <v>2.0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8.79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</v>
      </c>
      <c r="U2049" s="5">
        <f>C2049+4</f>
        <v>40528</v>
      </c>
    </row>
    <row r="2050" ht="12.75" customHeight="1">
      <c r="A2050" s="4">
        <v>1686.0</v>
      </c>
      <c r="B2050" s="4">
        <v>12160.0</v>
      </c>
      <c r="C2050" s="5">
        <f t="shared" si="902"/>
        <v>40524</v>
      </c>
      <c r="D2050" s="4" t="s">
        <v>21</v>
      </c>
      <c r="E2050" s="4">
        <v>9.0</v>
      </c>
      <c r="F2050" s="4">
        <v>38.3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</v>
      </c>
      <c r="U2050" s="5">
        <f>C2050+5</f>
        <v>40529</v>
      </c>
    </row>
    <row r="2051" ht="12.75" customHeight="1">
      <c r="A2051" s="4">
        <v>1697.0</v>
      </c>
      <c r="B2051" s="4">
        <v>12258.0</v>
      </c>
      <c r="C2051" s="5">
        <f t="shared" ref="C2051:C2054" si="903">DATE(2012,12,31)-1127</f>
        <v>40147</v>
      </c>
      <c r="D2051" s="4" t="s">
        <v>21</v>
      </c>
      <c r="E2051" s="4">
        <v>3.0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30.0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ht="12.75" customHeight="1">
      <c r="A2052" s="4">
        <v>1698.0</v>
      </c>
      <c r="B2052" s="4">
        <v>12258.0</v>
      </c>
      <c r="C2052" s="5">
        <f t="shared" si="903"/>
        <v>40147</v>
      </c>
      <c r="D2052" s="4" t="s">
        <v>21</v>
      </c>
      <c r="E2052" s="4">
        <v>2.0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49.0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</v>
      </c>
      <c r="U2052" s="5">
        <f>C2052+5</f>
        <v>40152</v>
      </c>
    </row>
    <row r="2053" ht="12.75" customHeight="1">
      <c r="A2053" s="4">
        <v>1699.0</v>
      </c>
      <c r="B2053" s="4">
        <v>12258.0</v>
      </c>
      <c r="C2053" s="5">
        <f t="shared" si="903"/>
        <v>40147</v>
      </c>
      <c r="D2053" s="4" t="s">
        <v>21</v>
      </c>
      <c r="E2053" s="4">
        <v>22.0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ht="12.75" customHeight="1">
      <c r="A2054" s="4">
        <v>1700.0</v>
      </c>
      <c r="B2054" s="4">
        <v>12258.0</v>
      </c>
      <c r="C2054" s="5">
        <f t="shared" si="903"/>
        <v>40147</v>
      </c>
      <c r="D2054" s="4" t="s">
        <v>21</v>
      </c>
      <c r="E2054" s="4">
        <v>27.0</v>
      </c>
      <c r="F2054" s="4">
        <v>113.4</v>
      </c>
      <c r="G2054" s="4">
        <v>0.05</v>
      </c>
      <c r="H2054" s="4" t="s">
        <v>56</v>
      </c>
      <c r="I2054" s="6">
        <v>-5.02</v>
      </c>
      <c r="J2054" s="4">
        <v>3.95</v>
      </c>
      <c r="K2054" s="4">
        <v>2.0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ht="12.75" customHeight="1">
      <c r="A2055" s="4">
        <v>1709.0</v>
      </c>
      <c r="B2055" s="4">
        <v>12263.0</v>
      </c>
      <c r="C2055" s="5">
        <f>DATE(2012,12,31)-544</f>
        <v>40730</v>
      </c>
      <c r="D2055" s="4" t="s">
        <v>30</v>
      </c>
      <c r="E2055" s="4">
        <v>12.0</v>
      </c>
      <c r="F2055" s="4">
        <v>515.65</v>
      </c>
      <c r="G2055" s="4">
        <v>0.0</v>
      </c>
      <c r="H2055" s="4" t="s">
        <v>22</v>
      </c>
      <c r="I2055" s="6">
        <v>123.5</v>
      </c>
      <c r="J2055" s="4">
        <v>39.48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</v>
      </c>
      <c r="U2055" s="5">
        <f>C2055+0</f>
        <v>40730</v>
      </c>
    </row>
    <row r="2056" ht="12.75" customHeight="1">
      <c r="A2056" s="4">
        <v>1752.0</v>
      </c>
      <c r="B2056" s="4">
        <v>12551.0</v>
      </c>
      <c r="C2056" s="5">
        <f>DATE(2012,12,31)-203</f>
        <v>41071</v>
      </c>
      <c r="D2056" s="4" t="s">
        <v>21</v>
      </c>
      <c r="E2056" s="4">
        <v>46.0</v>
      </c>
      <c r="F2056" s="4">
        <v>5023.2535</v>
      </c>
      <c r="G2056" s="4">
        <v>0.01</v>
      </c>
      <c r="H2056" s="4" t="s">
        <v>22</v>
      </c>
      <c r="I2056" s="6">
        <v>1665.225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</v>
      </c>
      <c r="U2056" s="5">
        <f t="shared" ref="U2056:U2057" si="904">C2056+7</f>
        <v>41078</v>
      </c>
    </row>
    <row r="2057" ht="12.75" customHeight="1">
      <c r="A2057" s="4">
        <v>1778.0</v>
      </c>
      <c r="B2057" s="4">
        <v>12736.0</v>
      </c>
      <c r="C2057" s="5">
        <f>DATE(2012,12,31)-1029</f>
        <v>40245</v>
      </c>
      <c r="D2057" s="4" t="s">
        <v>21</v>
      </c>
      <c r="E2057" s="4">
        <v>2.0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</v>
      </c>
      <c r="U2057" s="5">
        <f t="shared" si="904"/>
        <v>40252</v>
      </c>
    </row>
    <row r="2058" ht="12.75" customHeight="1">
      <c r="A2058" s="4">
        <v>1780.0</v>
      </c>
      <c r="B2058" s="4">
        <v>12768.0</v>
      </c>
      <c r="C2058" s="5">
        <f>DATE(2012,12,31)-1363</f>
        <v>39911</v>
      </c>
      <c r="D2058" s="4" t="s">
        <v>78</v>
      </c>
      <c r="E2058" s="4">
        <v>34.0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</v>
      </c>
      <c r="U2058" s="5">
        <f>C2058+2</f>
        <v>39913</v>
      </c>
    </row>
    <row r="2059" ht="12.75" customHeight="1">
      <c r="A2059" s="4">
        <v>1792.0</v>
      </c>
      <c r="B2059" s="4">
        <v>12837.0</v>
      </c>
      <c r="C2059" s="5">
        <f>DATE(2012,12,31)-29</f>
        <v>41245</v>
      </c>
      <c r="D2059" s="4" t="s">
        <v>63</v>
      </c>
      <c r="E2059" s="4">
        <v>22.0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5">C2059+1</f>
        <v>41246</v>
      </c>
    </row>
    <row r="2060" ht="12.75" customHeight="1">
      <c r="A2060" s="4">
        <v>1799.0</v>
      </c>
      <c r="B2060" s="4">
        <v>12897.0</v>
      </c>
      <c r="C2060" s="5">
        <f t="shared" ref="C2060:C2061" si="906">DATE(2012,12,31)-532</f>
        <v>40742</v>
      </c>
      <c r="D2060" s="4" t="s">
        <v>45</v>
      </c>
      <c r="E2060" s="4">
        <v>39.0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5"/>
        <v>40743</v>
      </c>
    </row>
    <row r="2061" ht="12.75" customHeight="1">
      <c r="A2061" s="4">
        <v>1800.0</v>
      </c>
      <c r="B2061" s="4">
        <v>12897.0</v>
      </c>
      <c r="C2061" s="5">
        <f t="shared" si="906"/>
        <v>40742</v>
      </c>
      <c r="D2061" s="4" t="s">
        <v>45</v>
      </c>
      <c r="E2061" s="4">
        <v>31.0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5"/>
        <v>40743</v>
      </c>
    </row>
    <row r="2062" ht="12.75" customHeight="1">
      <c r="A2062" s="4">
        <v>1817.0</v>
      </c>
      <c r="B2062" s="4">
        <v>13030.0</v>
      </c>
      <c r="C2062" s="5">
        <f>DATE(2012,12,31)-1258</f>
        <v>40016</v>
      </c>
      <c r="D2062" s="4" t="s">
        <v>63</v>
      </c>
      <c r="E2062" s="4">
        <v>32.0</v>
      </c>
      <c r="F2062" s="4">
        <v>136.2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ht="12.75" customHeight="1">
      <c r="A2063" s="4">
        <v>1823.0</v>
      </c>
      <c r="B2063" s="4">
        <v>13091.0</v>
      </c>
      <c r="C2063" s="5">
        <f t="shared" ref="C2063:C2064" si="907">DATE(2012,12,31)-1142</f>
        <v>40132</v>
      </c>
      <c r="D2063" s="4" t="s">
        <v>63</v>
      </c>
      <c r="E2063" s="4">
        <v>12.0</v>
      </c>
      <c r="F2063" s="4">
        <v>81.43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8">C2063+1</f>
        <v>40133</v>
      </c>
    </row>
    <row r="2064" ht="12.75" customHeight="1">
      <c r="A2064" s="4">
        <v>1824.0</v>
      </c>
      <c r="B2064" s="4">
        <v>13091.0</v>
      </c>
      <c r="C2064" s="5">
        <f t="shared" si="907"/>
        <v>40132</v>
      </c>
      <c r="D2064" s="4" t="s">
        <v>63</v>
      </c>
      <c r="E2064" s="4">
        <v>39.0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35.0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8"/>
        <v>40133</v>
      </c>
    </row>
    <row r="2065" ht="12.75" customHeight="1">
      <c r="A2065" s="4">
        <v>1862.0</v>
      </c>
      <c r="B2065" s="4">
        <v>13383.0</v>
      </c>
      <c r="C2065" s="5">
        <f>DATE(2012,12,31)-199</f>
        <v>41075</v>
      </c>
      <c r="D2065" s="4" t="s">
        <v>45</v>
      </c>
      <c r="E2065" s="4">
        <v>35.0</v>
      </c>
      <c r="F2065" s="4">
        <v>750.03</v>
      </c>
      <c r="G2065" s="4">
        <v>0.07</v>
      </c>
      <c r="H2065" s="4" t="s">
        <v>22</v>
      </c>
      <c r="I2065" s="6">
        <v>-1072.97</v>
      </c>
      <c r="J2065" s="4">
        <v>20.34</v>
      </c>
      <c r="K2065" s="4">
        <v>35.0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9">C2065+2</f>
        <v>41077</v>
      </c>
    </row>
    <row r="2066" ht="12.75" customHeight="1">
      <c r="A2066" s="4">
        <v>1867.0</v>
      </c>
      <c r="B2066" s="4">
        <v>13440.0</v>
      </c>
      <c r="C2066" s="5">
        <f>DATE(2012,12,31)-810</f>
        <v>40464</v>
      </c>
      <c r="D2066" s="4" t="s">
        <v>45</v>
      </c>
      <c r="E2066" s="4">
        <v>22.0</v>
      </c>
      <c r="F2066" s="4">
        <v>971.82</v>
      </c>
      <c r="G2066" s="4">
        <v>0.07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9"/>
        <v>40466</v>
      </c>
    </row>
    <row r="2067" ht="12.75" customHeight="1">
      <c r="A2067" s="4">
        <v>1874.0</v>
      </c>
      <c r="B2067" s="4">
        <v>13479.0</v>
      </c>
      <c r="C2067" s="5">
        <f t="shared" ref="C2067:C2068" si="910">DATE(2012,12,31)-1123</f>
        <v>40151</v>
      </c>
      <c r="D2067" s="4" t="s">
        <v>30</v>
      </c>
      <c r="E2067" s="4">
        <v>3.0</v>
      </c>
      <c r="F2067" s="4">
        <v>292.96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19.99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9"/>
        <v>40153</v>
      </c>
    </row>
    <row r="2068" ht="12.75" customHeight="1">
      <c r="A2068" s="4">
        <v>1875.0</v>
      </c>
      <c r="B2068" s="4">
        <v>13479.0</v>
      </c>
      <c r="C2068" s="5">
        <f t="shared" si="910"/>
        <v>40151</v>
      </c>
      <c r="D2068" s="4" t="s">
        <v>30</v>
      </c>
      <c r="E2068" s="4">
        <v>13.0</v>
      </c>
      <c r="F2068" s="4">
        <v>2206.991</v>
      </c>
      <c r="G2068" s="4">
        <v>0.04</v>
      </c>
      <c r="H2068" s="4" t="s">
        <v>22</v>
      </c>
      <c r="I2068" s="6">
        <v>-1.62800000000002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</v>
      </c>
      <c r="U2068" s="5">
        <f t="shared" ref="U2068:U2070" si="911">C2068+1</f>
        <v>40152</v>
      </c>
    </row>
    <row r="2069" ht="12.75" customHeight="1">
      <c r="A2069" s="4">
        <v>1903.0</v>
      </c>
      <c r="B2069" s="4">
        <v>13633.0</v>
      </c>
      <c r="C2069" s="5">
        <f t="shared" ref="C2069:C2070" si="912">DATE(2012,12,31)-272</f>
        <v>41002</v>
      </c>
      <c r="D2069" s="4" t="s">
        <v>45</v>
      </c>
      <c r="E2069" s="4">
        <v>18.0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150.98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1"/>
        <v>41003</v>
      </c>
    </row>
    <row r="2070" ht="12.75" customHeight="1">
      <c r="A2070" s="4">
        <v>1904.0</v>
      </c>
      <c r="B2070" s="4">
        <v>13633.0</v>
      </c>
      <c r="C2070" s="5">
        <f t="shared" si="912"/>
        <v>41002</v>
      </c>
      <c r="D2070" s="4" t="s">
        <v>45</v>
      </c>
      <c r="E2070" s="4">
        <v>39.0</v>
      </c>
      <c r="F2070" s="4">
        <v>1538.17</v>
      </c>
      <c r="G2070" s="4">
        <v>0.02</v>
      </c>
      <c r="H2070" s="4" t="s">
        <v>22</v>
      </c>
      <c r="I2070" s="6">
        <v>-1119.64</v>
      </c>
      <c r="J2070" s="4">
        <v>38.94</v>
      </c>
      <c r="K2070" s="4">
        <v>35.0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1"/>
        <v>41003</v>
      </c>
    </row>
    <row r="2071" ht="12.75" customHeight="1">
      <c r="A2071" s="4">
        <v>1917.0</v>
      </c>
      <c r="B2071" s="4">
        <v>13735.0</v>
      </c>
      <c r="C2071" s="5">
        <f>DATE(2012,12,31)-1320</f>
        <v>39954</v>
      </c>
      <c r="D2071" s="4" t="s">
        <v>63</v>
      </c>
      <c r="E2071" s="4">
        <v>36.0</v>
      </c>
      <c r="F2071" s="4">
        <v>281.71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ht="12.75" customHeight="1">
      <c r="A2072" s="4">
        <v>1935.0</v>
      </c>
      <c r="B2072" s="4">
        <v>13861.0</v>
      </c>
      <c r="C2072" s="5">
        <f>DATE(2012,12,31)-873</f>
        <v>40401</v>
      </c>
      <c r="D2072" s="4" t="s">
        <v>30</v>
      </c>
      <c r="E2072" s="4">
        <v>7.0</v>
      </c>
      <c r="F2072" s="4">
        <v>37.3</v>
      </c>
      <c r="G2072" s="4">
        <v>0.0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ht="12.75" customHeight="1">
      <c r="A2073" s="4">
        <v>1937.0</v>
      </c>
      <c r="B2073" s="4">
        <v>13892.0</v>
      </c>
      <c r="C2073" s="5">
        <f>DATE(2012,12,31)-248</f>
        <v>41026</v>
      </c>
      <c r="D2073" s="4" t="s">
        <v>30</v>
      </c>
      <c r="E2073" s="4">
        <v>47.0</v>
      </c>
      <c r="F2073" s="4">
        <v>1446.97</v>
      </c>
      <c r="G2073" s="4">
        <v>0.0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ht="12.75" customHeight="1">
      <c r="A2074" s="4">
        <v>1962.0</v>
      </c>
      <c r="B2074" s="4">
        <v>14023.0</v>
      </c>
      <c r="C2074" s="5">
        <f t="shared" ref="C2074:C2075" si="913">DATE(2012,12,31)-1045</f>
        <v>40229</v>
      </c>
      <c r="D2074" s="4" t="s">
        <v>45</v>
      </c>
      <c r="E2074" s="4">
        <v>36.0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ht="12.75" customHeight="1">
      <c r="A2075" s="4">
        <v>1963.0</v>
      </c>
      <c r="B2075" s="4">
        <v>14023.0</v>
      </c>
      <c r="C2075" s="5">
        <f t="shared" si="913"/>
        <v>40229</v>
      </c>
      <c r="D2075" s="4" t="s">
        <v>45</v>
      </c>
      <c r="E2075" s="4">
        <v>48.0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ht="12.75" customHeight="1">
      <c r="A2076" s="4">
        <v>1976.0</v>
      </c>
      <c r="B2076" s="4">
        <v>14115.0</v>
      </c>
      <c r="C2076" s="5">
        <f t="shared" ref="C2076:C2077" si="914">DATE(2012,12,31)-1235</f>
        <v>40039</v>
      </c>
      <c r="D2076" s="4" t="s">
        <v>45</v>
      </c>
      <c r="E2076" s="4">
        <v>24.0</v>
      </c>
      <c r="F2076" s="4">
        <v>158.78</v>
      </c>
      <c r="G2076" s="4">
        <v>0.04</v>
      </c>
      <c r="H2076" s="4" t="s">
        <v>22</v>
      </c>
      <c r="I2076" s="6">
        <v>-38.38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5">C2076+2</f>
        <v>40041</v>
      </c>
    </row>
    <row r="2077" ht="12.75" customHeight="1">
      <c r="A2077" s="4">
        <v>1977.0</v>
      </c>
      <c r="B2077" s="4">
        <v>14115.0</v>
      </c>
      <c r="C2077" s="5">
        <f t="shared" si="914"/>
        <v>40039</v>
      </c>
      <c r="D2077" s="4" t="s">
        <v>45</v>
      </c>
      <c r="E2077" s="4">
        <v>46.0</v>
      </c>
      <c r="F2077" s="4">
        <v>3296.062</v>
      </c>
      <c r="G2077" s="4">
        <v>0.06</v>
      </c>
      <c r="H2077" s="4" t="s">
        <v>22</v>
      </c>
      <c r="I2077" s="6">
        <v>591.9119999999999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0.58</v>
      </c>
      <c r="U2077" s="5">
        <f t="shared" si="915"/>
        <v>40041</v>
      </c>
    </row>
    <row r="2078" ht="12.75" customHeight="1">
      <c r="A2078" s="4">
        <v>1984.0</v>
      </c>
      <c r="B2078" s="4">
        <v>14147.0</v>
      </c>
      <c r="C2078" s="5">
        <f t="shared" ref="C2078:C2080" si="916">DATE(2012,12,31)-1030</f>
        <v>40244</v>
      </c>
      <c r="D2078" s="4" t="s">
        <v>45</v>
      </c>
      <c r="E2078" s="4">
        <v>8.0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ht="12.75" customHeight="1">
      <c r="A2079" s="4">
        <v>1985.0</v>
      </c>
      <c r="B2079" s="4">
        <v>14147.0</v>
      </c>
      <c r="C2079" s="5">
        <f t="shared" si="916"/>
        <v>40244</v>
      </c>
      <c r="D2079" s="4" t="s">
        <v>45</v>
      </c>
      <c r="E2079" s="4">
        <v>16.0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ht="12.75" customHeight="1">
      <c r="A2080" s="4">
        <v>1986.0</v>
      </c>
      <c r="B2080" s="4">
        <v>14147.0</v>
      </c>
      <c r="C2080" s="5">
        <f t="shared" si="916"/>
        <v>40244</v>
      </c>
      <c r="D2080" s="4" t="s">
        <v>45</v>
      </c>
      <c r="E2080" s="4">
        <v>45.0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ht="12.75" customHeight="1">
      <c r="A2081" s="4">
        <v>1990.0</v>
      </c>
      <c r="B2081" s="4">
        <v>14211.0</v>
      </c>
      <c r="C2081" s="5">
        <f t="shared" ref="C2081:C2082" si="917">DATE(2012,12,31)-1418</f>
        <v>39856</v>
      </c>
      <c r="D2081" s="4" t="s">
        <v>45</v>
      </c>
      <c r="E2081" s="4">
        <v>22.0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150.98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ht="12.75" customHeight="1">
      <c r="A2082" s="4">
        <v>1991.0</v>
      </c>
      <c r="B2082" s="4">
        <v>14211.0</v>
      </c>
      <c r="C2082" s="5">
        <f t="shared" si="917"/>
        <v>39856</v>
      </c>
      <c r="D2082" s="4" t="s">
        <v>45</v>
      </c>
      <c r="E2082" s="4">
        <v>14.0</v>
      </c>
      <c r="F2082" s="4">
        <v>2367.99</v>
      </c>
      <c r="G2082" s="4">
        <v>0.04</v>
      </c>
      <c r="H2082" s="4" t="s">
        <v>22</v>
      </c>
      <c r="I2082" s="6">
        <v>320.1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ht="12.75" customHeight="1">
      <c r="A2083" s="4">
        <v>2011.0</v>
      </c>
      <c r="B2083" s="4">
        <v>14368.0</v>
      </c>
      <c r="C2083" s="5">
        <f t="shared" ref="C2083:C2084" si="918">DATE(2012,12,31)-478</f>
        <v>40796</v>
      </c>
      <c r="D2083" s="4" t="s">
        <v>30</v>
      </c>
      <c r="E2083" s="4">
        <v>5.0</v>
      </c>
      <c r="F2083" s="4">
        <v>522.06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ht="12.75" customHeight="1">
      <c r="A2084" s="4">
        <v>2012.0</v>
      </c>
      <c r="B2084" s="4">
        <v>14368.0</v>
      </c>
      <c r="C2084" s="5">
        <f t="shared" si="918"/>
        <v>40796</v>
      </c>
      <c r="D2084" s="4" t="s">
        <v>30</v>
      </c>
      <c r="E2084" s="4">
        <v>37.0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</v>
      </c>
      <c r="U2084" s="5">
        <f t="shared" ref="U2084:U2085" si="919">C2084+2</f>
        <v>40798</v>
      </c>
    </row>
    <row r="2085" ht="12.75" customHeight="1">
      <c r="A2085" s="4">
        <v>2045.0</v>
      </c>
      <c r="B2085" s="4">
        <v>14596.0</v>
      </c>
      <c r="C2085" s="5">
        <f t="shared" ref="C2085:C2086" si="920">DATE(2012,12,31)-1451</f>
        <v>39823</v>
      </c>
      <c r="D2085" s="4" t="s">
        <v>78</v>
      </c>
      <c r="E2085" s="4">
        <v>24.0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9"/>
        <v>39825</v>
      </c>
    </row>
    <row r="2086" ht="12.75" customHeight="1">
      <c r="A2086" s="4">
        <v>2046.0</v>
      </c>
      <c r="B2086" s="4">
        <v>14596.0</v>
      </c>
      <c r="C2086" s="5">
        <f t="shared" si="920"/>
        <v>39823</v>
      </c>
      <c r="D2086" s="4" t="s">
        <v>78</v>
      </c>
      <c r="E2086" s="4">
        <v>19.0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</v>
      </c>
      <c r="U2086" s="5">
        <f>C2086+1</f>
        <v>39824</v>
      </c>
    </row>
    <row r="2087" ht="12.75" customHeight="1">
      <c r="A2087" s="4">
        <v>2055.0</v>
      </c>
      <c r="B2087" s="4">
        <v>14693.0</v>
      </c>
      <c r="C2087" s="5">
        <f t="shared" ref="C2087:C2088" si="921">DATE(2012,12,31)-722</f>
        <v>40552</v>
      </c>
      <c r="D2087" s="4" t="s">
        <v>78</v>
      </c>
      <c r="E2087" s="4">
        <v>39.0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2">C2087+2</f>
        <v>40554</v>
      </c>
    </row>
    <row r="2088" ht="12.75" customHeight="1">
      <c r="A2088" s="4">
        <v>2056.0</v>
      </c>
      <c r="B2088" s="4">
        <v>14693.0</v>
      </c>
      <c r="C2088" s="5">
        <f t="shared" si="921"/>
        <v>40552</v>
      </c>
      <c r="D2088" s="4" t="s">
        <v>78</v>
      </c>
      <c r="E2088" s="4">
        <v>38.0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45.0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2"/>
        <v>40554</v>
      </c>
    </row>
    <row r="2089" ht="12.75" customHeight="1">
      <c r="A2089" s="4">
        <v>2057.0</v>
      </c>
      <c r="B2089" s="4">
        <v>14695.0</v>
      </c>
      <c r="C2089" s="5">
        <f>DATE(2012,12,31)-117</f>
        <v>41157</v>
      </c>
      <c r="D2089" s="4" t="s">
        <v>30</v>
      </c>
      <c r="E2089" s="4">
        <v>40.0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ht="12.75" customHeight="1">
      <c r="A2090" s="4">
        <v>2073.0</v>
      </c>
      <c r="B2090" s="4">
        <v>14823.0</v>
      </c>
      <c r="C2090" s="5">
        <f t="shared" ref="C2090:C2091" si="923">DATE(2012,12,31)-1418</f>
        <v>39856</v>
      </c>
      <c r="D2090" s="4" t="s">
        <v>21</v>
      </c>
      <c r="E2090" s="4">
        <v>15.0</v>
      </c>
      <c r="F2090" s="4">
        <v>103.62</v>
      </c>
      <c r="G2090" s="4">
        <v>0.1</v>
      </c>
      <c r="H2090" s="4" t="s">
        <v>22</v>
      </c>
      <c r="I2090" s="6">
        <v>39.98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ht="12.75" customHeight="1">
      <c r="A2091" s="4">
        <v>2074.0</v>
      </c>
      <c r="B2091" s="4">
        <v>14823.0</v>
      </c>
      <c r="C2091" s="5">
        <f t="shared" si="923"/>
        <v>39856</v>
      </c>
      <c r="D2091" s="4" t="s">
        <v>21</v>
      </c>
      <c r="E2091" s="4">
        <v>20.0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ht="12.75" customHeight="1">
      <c r="A2092" s="4">
        <v>2101.0</v>
      </c>
      <c r="B2092" s="4">
        <v>15014.0</v>
      </c>
      <c r="C2092" s="5">
        <f>DATE(2012,12,31)-1055</f>
        <v>40219</v>
      </c>
      <c r="D2092" s="4" t="s">
        <v>63</v>
      </c>
      <c r="E2092" s="4">
        <v>10.0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ht="12.75" customHeight="1">
      <c r="A2093" s="4">
        <v>2213.0</v>
      </c>
      <c r="B2093" s="4">
        <v>15972.0</v>
      </c>
      <c r="C2093" s="5">
        <f t="shared" ref="C2093:C2094" si="924">DATE(2012,12,31)-510</f>
        <v>40764</v>
      </c>
      <c r="D2093" s="4" t="s">
        <v>45</v>
      </c>
      <c r="E2093" s="4">
        <v>3.0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ht="12.75" customHeight="1">
      <c r="A2094" s="4">
        <v>2214.0</v>
      </c>
      <c r="B2094" s="4">
        <v>15972.0</v>
      </c>
      <c r="C2094" s="5">
        <f t="shared" si="924"/>
        <v>40764</v>
      </c>
      <c r="D2094" s="4" t="s">
        <v>45</v>
      </c>
      <c r="E2094" s="4">
        <v>2.0</v>
      </c>
      <c r="F2094" s="4">
        <v>14.39</v>
      </c>
      <c r="G2094" s="4">
        <v>0.07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ht="12.75" customHeight="1">
      <c r="A2095" s="4">
        <v>2222.0</v>
      </c>
      <c r="B2095" s="4">
        <v>16065.0</v>
      </c>
      <c r="C2095" s="5">
        <f t="shared" ref="C2095:C2096" si="925">DATE(2012,12,31)-895</f>
        <v>40379</v>
      </c>
      <c r="D2095" s="4" t="s">
        <v>30</v>
      </c>
      <c r="E2095" s="4">
        <v>15.0</v>
      </c>
      <c r="F2095" s="4">
        <v>6933.45</v>
      </c>
      <c r="G2095" s="4">
        <v>0.04</v>
      </c>
      <c r="H2095" s="4" t="s">
        <v>31</v>
      </c>
      <c r="I2095" s="6">
        <v>1200.205</v>
      </c>
      <c r="J2095" s="4">
        <v>449.99</v>
      </c>
      <c r="K2095" s="4">
        <v>49.0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ht="12.75" customHeight="1">
      <c r="A2096" s="4">
        <v>2223.0</v>
      </c>
      <c r="B2096" s="4">
        <v>16065.0</v>
      </c>
      <c r="C2096" s="5">
        <f t="shared" si="925"/>
        <v>40379</v>
      </c>
      <c r="D2096" s="4" t="s">
        <v>30</v>
      </c>
      <c r="E2096" s="4">
        <v>14.0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4.0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6">C2096+1</f>
        <v>40380</v>
      </c>
    </row>
    <row r="2097" ht="12.75" customHeight="1">
      <c r="A2097" s="4">
        <v>2224.0</v>
      </c>
      <c r="B2097" s="4">
        <v>16096.0</v>
      </c>
      <c r="C2097" s="5">
        <f>DATE(2012,12,31)-712</f>
        <v>40562</v>
      </c>
      <c r="D2097" s="4" t="s">
        <v>30</v>
      </c>
      <c r="E2097" s="4">
        <v>9.0</v>
      </c>
      <c r="F2097" s="4">
        <v>42.21</v>
      </c>
      <c r="G2097" s="4">
        <v>0.0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6"/>
        <v>40563</v>
      </c>
    </row>
    <row r="2098" ht="12.75" customHeight="1">
      <c r="A2098" s="4">
        <v>2236.0</v>
      </c>
      <c r="B2098" s="4">
        <v>16160.0</v>
      </c>
      <c r="C2098" s="5">
        <f>DATE(2012,12,31)-527</f>
        <v>40747</v>
      </c>
      <c r="D2098" s="4" t="s">
        <v>78</v>
      </c>
      <c r="E2098" s="4">
        <v>50.0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6"/>
        <v>40748</v>
      </c>
    </row>
    <row r="2099" ht="12.75" customHeight="1">
      <c r="A2099" s="4">
        <v>2249.0</v>
      </c>
      <c r="B2099" s="4">
        <v>16196.0</v>
      </c>
      <c r="C2099" s="5">
        <f t="shared" ref="C2099:C2100" si="927">DATE(2012,12,31)-1168</f>
        <v>40106</v>
      </c>
      <c r="D2099" s="4" t="s">
        <v>30</v>
      </c>
      <c r="E2099" s="4">
        <v>44.0</v>
      </c>
      <c r="F2099" s="4">
        <v>14521.39</v>
      </c>
      <c r="G2099" s="4">
        <v>0.03</v>
      </c>
      <c r="H2099" s="4" t="s">
        <v>22</v>
      </c>
      <c r="I2099" s="6">
        <v>5034.15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</v>
      </c>
      <c r="U2099" s="5">
        <f>C2099+2</f>
        <v>40108</v>
      </c>
    </row>
    <row r="2100" ht="12.75" customHeight="1">
      <c r="A2100" s="4">
        <v>2250.0</v>
      </c>
      <c r="B2100" s="4">
        <v>16196.0</v>
      </c>
      <c r="C2100" s="5">
        <f t="shared" si="927"/>
        <v>40106</v>
      </c>
      <c r="D2100" s="4" t="s">
        <v>30</v>
      </c>
      <c r="E2100" s="4">
        <v>39.0</v>
      </c>
      <c r="F2100" s="4">
        <v>3925.9714999999997</v>
      </c>
      <c r="G2100" s="4">
        <v>0.06</v>
      </c>
      <c r="H2100" s="4" t="s">
        <v>22</v>
      </c>
      <c r="I2100" s="6">
        <v>671.9490000000001</v>
      </c>
      <c r="J2100" s="4">
        <v>125.99</v>
      </c>
      <c r="K2100" s="4">
        <v>8.8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8">C2100+1</f>
        <v>40107</v>
      </c>
    </row>
    <row r="2101" ht="12.75" customHeight="1">
      <c r="A2101" s="4">
        <v>2268.0</v>
      </c>
      <c r="B2101" s="4">
        <v>16291.0</v>
      </c>
      <c r="C2101" s="5">
        <f>DATE(2012,12,31)-633</f>
        <v>40641</v>
      </c>
      <c r="D2101" s="4" t="s">
        <v>45</v>
      </c>
      <c r="E2101" s="4">
        <v>31.0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8"/>
        <v>40642</v>
      </c>
    </row>
    <row r="2102" ht="12.75" customHeight="1">
      <c r="A2102" s="4">
        <v>2292.0</v>
      </c>
      <c r="B2102" s="4">
        <v>16519.0</v>
      </c>
      <c r="C2102" s="5">
        <f t="shared" ref="C2102:C2103" si="929">DATE(2012,12,31)-570</f>
        <v>40704</v>
      </c>
      <c r="D2102" s="4" t="s">
        <v>63</v>
      </c>
      <c r="E2102" s="4">
        <v>39.0</v>
      </c>
      <c r="F2102" s="4">
        <v>158.97</v>
      </c>
      <c r="G2102" s="4">
        <v>0.08</v>
      </c>
      <c r="H2102" s="4" t="s">
        <v>22</v>
      </c>
      <c r="I2102" s="6">
        <v>-30.268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30">C2102+2</f>
        <v>40706</v>
      </c>
    </row>
    <row r="2103" ht="12.75" customHeight="1">
      <c r="A2103" s="4">
        <v>2293.0</v>
      </c>
      <c r="B2103" s="4">
        <v>16519.0</v>
      </c>
      <c r="C2103" s="5">
        <f t="shared" si="929"/>
        <v>40704</v>
      </c>
      <c r="D2103" s="4" t="s">
        <v>63</v>
      </c>
      <c r="E2103" s="4">
        <v>49.0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</v>
      </c>
      <c r="U2103" s="5">
        <f t="shared" si="930"/>
        <v>40706</v>
      </c>
    </row>
    <row r="2104" ht="12.75" customHeight="1">
      <c r="A2104" s="4">
        <v>2298.0</v>
      </c>
      <c r="B2104" s="4">
        <v>16548.0</v>
      </c>
      <c r="C2104" s="5">
        <f>DATE(2012,12,31)-330</f>
        <v>40944</v>
      </c>
      <c r="D2104" s="4" t="s">
        <v>45</v>
      </c>
      <c r="E2104" s="4">
        <v>22.0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0.58</v>
      </c>
      <c r="U2104" s="5">
        <f t="shared" si="930"/>
        <v>40946</v>
      </c>
    </row>
    <row r="2105" ht="12.75" customHeight="1">
      <c r="A2105" s="4">
        <v>2306.0</v>
      </c>
      <c r="B2105" s="4">
        <v>16613.0</v>
      </c>
      <c r="C2105" s="5">
        <f>DATE(2012,12,31)-738</f>
        <v>40536</v>
      </c>
      <c r="D2105" s="4" t="s">
        <v>30</v>
      </c>
      <c r="E2105" s="4">
        <v>28.0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30"/>
        <v>40538</v>
      </c>
    </row>
    <row r="2106" ht="12.75" customHeight="1">
      <c r="A2106" s="4">
        <v>2326.0</v>
      </c>
      <c r="B2106" s="4">
        <v>16771.0</v>
      </c>
      <c r="C2106" s="5">
        <f>DATE(2012,12,31)-1190</f>
        <v>40084</v>
      </c>
      <c r="D2106" s="4" t="s">
        <v>30</v>
      </c>
      <c r="E2106" s="4">
        <v>42.0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39.98</v>
      </c>
      <c r="K2106" s="4">
        <v>9.2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30"/>
        <v>40086</v>
      </c>
    </row>
    <row r="2107" ht="12.75" customHeight="1">
      <c r="A2107" s="4">
        <v>2331.0</v>
      </c>
      <c r="B2107" s="4">
        <v>16804.0</v>
      </c>
      <c r="C2107" s="5">
        <f t="shared" ref="C2107:C2108" si="931">DATE(2012,12,31)-296</f>
        <v>40978</v>
      </c>
      <c r="D2107" s="4" t="s">
        <v>30</v>
      </c>
      <c r="E2107" s="4">
        <v>46.0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30"/>
        <v>40980</v>
      </c>
    </row>
    <row r="2108" ht="12.75" customHeight="1">
      <c r="A2108" s="4">
        <v>2332.0</v>
      </c>
      <c r="B2108" s="4">
        <v>16804.0</v>
      </c>
      <c r="C2108" s="5">
        <f t="shared" si="931"/>
        <v>40978</v>
      </c>
      <c r="D2108" s="4" t="s">
        <v>30</v>
      </c>
      <c r="E2108" s="4">
        <v>36.0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ht="12.75" customHeight="1">
      <c r="A2109" s="4">
        <v>2358.0</v>
      </c>
      <c r="B2109" s="4">
        <v>17024.0</v>
      </c>
      <c r="C2109" s="5">
        <f>DATE(2012,12,31)-1175</f>
        <v>40099</v>
      </c>
      <c r="D2109" s="4" t="s">
        <v>63</v>
      </c>
      <c r="E2109" s="4">
        <v>31.0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</v>
      </c>
      <c r="U2109" s="5">
        <f t="shared" ref="U2109:U2110" si="932">C2109+2</f>
        <v>40101</v>
      </c>
    </row>
    <row r="2110" ht="12.75" customHeight="1">
      <c r="A2110" s="4">
        <v>2361.0</v>
      </c>
      <c r="B2110" s="4">
        <v>17061.0</v>
      </c>
      <c r="C2110" s="5">
        <f>DATE(2012,12,31)-62</f>
        <v>41212</v>
      </c>
      <c r="D2110" s="4" t="s">
        <v>78</v>
      </c>
      <c r="E2110" s="4">
        <v>28.0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</v>
      </c>
      <c r="U2110" s="5">
        <f t="shared" si="932"/>
        <v>41214</v>
      </c>
    </row>
    <row r="2111" ht="12.75" customHeight="1">
      <c r="A2111" s="4">
        <v>2367.0</v>
      </c>
      <c r="B2111" s="4">
        <v>17152.0</v>
      </c>
      <c r="C2111" s="5">
        <f>DATE(2012,12,31)-294</f>
        <v>40980</v>
      </c>
      <c r="D2111" s="4" t="s">
        <v>30</v>
      </c>
      <c r="E2111" s="4">
        <v>32.0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ht="12.75" customHeight="1">
      <c r="A2112" s="4">
        <v>2373.0</v>
      </c>
      <c r="B2112" s="4">
        <v>17187.0</v>
      </c>
      <c r="C2112" s="5">
        <f>DATE(2012,12,31)-99</f>
        <v>41175</v>
      </c>
      <c r="D2112" s="4" t="s">
        <v>30</v>
      </c>
      <c r="E2112" s="4">
        <v>4.0</v>
      </c>
      <c r="F2112" s="4">
        <v>2951.97</v>
      </c>
      <c r="G2112" s="4">
        <v>0.09</v>
      </c>
      <c r="H2112" s="4" t="s">
        <v>31</v>
      </c>
      <c r="I2112" s="6">
        <v>-1890.3273</v>
      </c>
      <c r="J2112" s="4">
        <v>810.98</v>
      </c>
      <c r="K2112" s="4">
        <v>16.06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</v>
      </c>
      <c r="U2112" s="5">
        <f>C2112+2</f>
        <v>41177</v>
      </c>
    </row>
    <row r="2113" ht="12.75" customHeight="1">
      <c r="A2113" s="4">
        <v>2378.0</v>
      </c>
      <c r="B2113" s="4">
        <v>17252.0</v>
      </c>
      <c r="C2113" s="5">
        <f t="shared" ref="C2113:C2114" si="933">DATE(2012,12,31)-612</f>
        <v>40662</v>
      </c>
      <c r="D2113" s="4" t="s">
        <v>45</v>
      </c>
      <c r="E2113" s="4">
        <v>48.0</v>
      </c>
      <c r="F2113" s="4">
        <v>2283.22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ht="12.75" customHeight="1">
      <c r="A2114" s="4">
        <v>2379.0</v>
      </c>
      <c r="B2114" s="4">
        <v>17252.0</v>
      </c>
      <c r="C2114" s="5">
        <f t="shared" si="933"/>
        <v>40662</v>
      </c>
      <c r="D2114" s="4" t="s">
        <v>45</v>
      </c>
      <c r="E2114" s="4">
        <v>49.0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ht="12.75" customHeight="1">
      <c r="A2115" s="4">
        <v>2388.0</v>
      </c>
      <c r="B2115" s="4">
        <v>17312.0</v>
      </c>
      <c r="C2115" s="5">
        <f t="shared" ref="C2115:C2116" si="934">DATE(2012,12,31)-591</f>
        <v>40683</v>
      </c>
      <c r="D2115" s="4" t="s">
        <v>45</v>
      </c>
      <c r="E2115" s="4">
        <v>37.0</v>
      </c>
      <c r="F2115" s="4">
        <v>258.54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5">C2115+1</f>
        <v>40684</v>
      </c>
    </row>
    <row r="2116" ht="12.75" customHeight="1">
      <c r="A2116" s="4">
        <v>2389.0</v>
      </c>
      <c r="B2116" s="4">
        <v>17312.0</v>
      </c>
      <c r="C2116" s="5">
        <f t="shared" si="934"/>
        <v>40683</v>
      </c>
      <c r="D2116" s="4" t="s">
        <v>45</v>
      </c>
      <c r="E2116" s="4">
        <v>41.0</v>
      </c>
      <c r="F2116" s="4">
        <v>4610.2895</v>
      </c>
      <c r="G2116" s="4">
        <v>0.0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5"/>
        <v>40684</v>
      </c>
    </row>
    <row r="2117" ht="12.75" customHeight="1">
      <c r="A2117" s="4">
        <v>2396.0</v>
      </c>
      <c r="B2117" s="4">
        <v>17377.0</v>
      </c>
      <c r="C2117" s="5">
        <f>DATE(2012,12,31)-430</f>
        <v>40844</v>
      </c>
      <c r="D2117" s="4" t="s">
        <v>21</v>
      </c>
      <c r="E2117" s="4">
        <v>39.0</v>
      </c>
      <c r="F2117" s="4">
        <v>110.38</v>
      </c>
      <c r="G2117" s="4">
        <v>0.05</v>
      </c>
      <c r="H2117" s="4" t="s">
        <v>22</v>
      </c>
      <c r="I2117" s="6">
        <v>-4.86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0.58</v>
      </c>
      <c r="U2117" s="5">
        <f>C2117+2</f>
        <v>40846</v>
      </c>
    </row>
    <row r="2118" ht="12.75" customHeight="1">
      <c r="A2118" s="4">
        <v>2427.0</v>
      </c>
      <c r="B2118" s="4">
        <v>17634.0</v>
      </c>
      <c r="C2118" s="5">
        <f>DATE(2012,12,31)-163</f>
        <v>41111</v>
      </c>
      <c r="D2118" s="4" t="s">
        <v>30</v>
      </c>
      <c r="E2118" s="4">
        <v>5.0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42.0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ht="12.75" customHeight="1">
      <c r="A2119" s="4">
        <v>2431.0</v>
      </c>
      <c r="B2119" s="4">
        <v>17668.0</v>
      </c>
      <c r="C2119" s="5">
        <f t="shared" ref="C2119:C2121" si="936">DATE(2012,12,31)-1132</f>
        <v>40142</v>
      </c>
      <c r="D2119" s="4" t="s">
        <v>63</v>
      </c>
      <c r="E2119" s="4">
        <v>49.0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ht="12.75" customHeight="1">
      <c r="A2120" s="4">
        <v>2432.0</v>
      </c>
      <c r="B2120" s="4">
        <v>17668.0</v>
      </c>
      <c r="C2120" s="5">
        <f t="shared" si="936"/>
        <v>40142</v>
      </c>
      <c r="D2120" s="4" t="s">
        <v>63</v>
      </c>
      <c r="E2120" s="4">
        <v>24.0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7">C2120+1</f>
        <v>40143</v>
      </c>
    </row>
    <row r="2121" ht="12.75" customHeight="1">
      <c r="A2121" s="4">
        <v>2433.0</v>
      </c>
      <c r="B2121" s="4">
        <v>17668.0</v>
      </c>
      <c r="C2121" s="5">
        <f t="shared" si="936"/>
        <v>40142</v>
      </c>
      <c r="D2121" s="4" t="s">
        <v>63</v>
      </c>
      <c r="E2121" s="4">
        <v>13.0</v>
      </c>
      <c r="F2121" s="4">
        <v>2219.7324999999996</v>
      </c>
      <c r="G2121" s="4">
        <v>0.04</v>
      </c>
      <c r="H2121" s="4" t="s">
        <v>56</v>
      </c>
      <c r="I2121" s="6">
        <v>-69.78399999999999</v>
      </c>
      <c r="J2121" s="4">
        <v>205.99</v>
      </c>
      <c r="K2121" s="4">
        <v>5.0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7"/>
        <v>40143</v>
      </c>
    </row>
    <row r="2122" ht="12.75" customHeight="1">
      <c r="A2122" s="4">
        <v>2443.0</v>
      </c>
      <c r="B2122" s="4">
        <v>17735.0</v>
      </c>
      <c r="C2122" s="5">
        <f t="shared" ref="C2122:C2123" si="938">DATE(2012,12,31)-172</f>
        <v>41102</v>
      </c>
      <c r="D2122" s="4" t="s">
        <v>21</v>
      </c>
      <c r="E2122" s="4">
        <v>45.0</v>
      </c>
      <c r="F2122" s="4">
        <v>311.65</v>
      </c>
      <c r="G2122" s="4">
        <v>0.03</v>
      </c>
      <c r="H2122" s="4" t="s">
        <v>22</v>
      </c>
      <c r="I2122" s="6">
        <v>-71.254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9">C2122+5</f>
        <v>41107</v>
      </c>
    </row>
    <row r="2123" ht="12.75" customHeight="1">
      <c r="A2123" s="4">
        <v>2444.0</v>
      </c>
      <c r="B2123" s="4">
        <v>17735.0</v>
      </c>
      <c r="C2123" s="5">
        <f t="shared" si="938"/>
        <v>41102</v>
      </c>
      <c r="D2123" s="4" t="s">
        <v>21</v>
      </c>
      <c r="E2123" s="4">
        <v>28.0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9"/>
        <v>41107</v>
      </c>
    </row>
    <row r="2124" ht="12.75" customHeight="1">
      <c r="A2124" s="4">
        <v>2451.0</v>
      </c>
      <c r="B2124" s="4">
        <v>17825.0</v>
      </c>
      <c r="C2124" s="5">
        <f>DATE(2012,12,31)-1083</f>
        <v>40191</v>
      </c>
      <c r="D2124" s="4" t="s">
        <v>45</v>
      </c>
      <c r="E2124" s="4">
        <v>26.0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0.57</v>
      </c>
      <c r="U2124" s="5">
        <f t="shared" ref="U2124:U2125" si="940">C2124+3</f>
        <v>40194</v>
      </c>
    </row>
    <row r="2125" ht="12.75" customHeight="1">
      <c r="A2125" s="4">
        <v>2469.0</v>
      </c>
      <c r="B2125" s="4">
        <v>17956.0</v>
      </c>
      <c r="C2125" s="5">
        <f t="shared" ref="C2125:C2126" si="941">DATE(2012,12,31)-879</f>
        <v>40395</v>
      </c>
      <c r="D2125" s="4" t="s">
        <v>78</v>
      </c>
      <c r="E2125" s="4">
        <v>40.0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40"/>
        <v>40398</v>
      </c>
    </row>
    <row r="2126" ht="12.75" customHeight="1">
      <c r="A2126" s="4">
        <v>2470.0</v>
      </c>
      <c r="B2126" s="4">
        <v>17956.0</v>
      </c>
      <c r="C2126" s="5">
        <f t="shared" si="941"/>
        <v>40395</v>
      </c>
      <c r="D2126" s="4" t="s">
        <v>78</v>
      </c>
      <c r="E2126" s="4">
        <v>17.0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ht="12.75" customHeight="1">
      <c r="A2127" s="4">
        <v>2476.0</v>
      </c>
      <c r="B2127" s="4">
        <v>17986.0</v>
      </c>
      <c r="C2127" s="5">
        <f>DATE(2012,12,31)-270</f>
        <v>41004</v>
      </c>
      <c r="D2127" s="4" t="s">
        <v>45</v>
      </c>
      <c r="E2127" s="4">
        <v>43.0</v>
      </c>
      <c r="F2127" s="4">
        <v>87.31</v>
      </c>
      <c r="G2127" s="4">
        <v>0.05</v>
      </c>
      <c r="H2127" s="4" t="s">
        <v>22</v>
      </c>
      <c r="I2127" s="6">
        <v>-15.088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ht="12.75" customHeight="1">
      <c r="A2128" s="4">
        <v>2486.0</v>
      </c>
      <c r="B2128" s="4">
        <v>18112.0</v>
      </c>
      <c r="C2128" s="5">
        <f>DATE(2012,12,31)-290</f>
        <v>40984</v>
      </c>
      <c r="D2128" s="4" t="s">
        <v>45</v>
      </c>
      <c r="E2128" s="4">
        <v>13.0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ht="12.75" customHeight="1">
      <c r="A2129" s="4">
        <v>2496.0</v>
      </c>
      <c r="B2129" s="4">
        <v>18178.0</v>
      </c>
      <c r="C2129" s="5">
        <f t="shared" ref="C2129:C2130" si="942">DATE(2012,12,31)-1155</f>
        <v>40119</v>
      </c>
      <c r="D2129" s="4" t="s">
        <v>21</v>
      </c>
      <c r="E2129" s="4">
        <v>43.0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</v>
      </c>
      <c r="K2129" s="4">
        <v>49.0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ht="12.75" customHeight="1">
      <c r="A2130" s="4">
        <v>2497.0</v>
      </c>
      <c r="B2130" s="4">
        <v>18178.0</v>
      </c>
      <c r="C2130" s="5">
        <f t="shared" si="942"/>
        <v>40119</v>
      </c>
      <c r="D2130" s="4" t="s">
        <v>21</v>
      </c>
      <c r="E2130" s="4">
        <v>10.0</v>
      </c>
      <c r="F2130" s="4">
        <v>187.46</v>
      </c>
      <c r="G2130" s="4">
        <v>0.0</v>
      </c>
      <c r="H2130" s="4" t="s">
        <v>22</v>
      </c>
      <c r="I2130" s="6">
        <v>49.85</v>
      </c>
      <c r="J2130" s="4">
        <v>17.67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ht="12.75" customHeight="1">
      <c r="A2131" s="4">
        <v>2501.0</v>
      </c>
      <c r="B2131" s="4">
        <v>18182.0</v>
      </c>
      <c r="C2131" s="5">
        <f t="shared" ref="C2131:C2133" si="943">DATE(2012,12,31)-631</f>
        <v>40643</v>
      </c>
      <c r="D2131" s="4" t="s">
        <v>63</v>
      </c>
      <c r="E2131" s="4">
        <v>45.0</v>
      </c>
      <c r="F2131" s="4">
        <v>4598.73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19.99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ht="12.75" customHeight="1">
      <c r="A2132" s="4">
        <v>2502.0</v>
      </c>
      <c r="B2132" s="4">
        <v>18182.0</v>
      </c>
      <c r="C2132" s="5">
        <f t="shared" si="943"/>
        <v>40643</v>
      </c>
      <c r="D2132" s="4" t="s">
        <v>63</v>
      </c>
      <c r="E2132" s="4">
        <v>45.0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ht="12.75" customHeight="1">
      <c r="A2133" s="4">
        <v>2503.0</v>
      </c>
      <c r="B2133" s="4">
        <v>18182.0</v>
      </c>
      <c r="C2133" s="5">
        <f t="shared" si="943"/>
        <v>40643</v>
      </c>
      <c r="D2133" s="4" t="s">
        <v>63</v>
      </c>
      <c r="E2133" s="4">
        <v>12.0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4">C2133+2</f>
        <v>40645</v>
      </c>
    </row>
    <row r="2134" ht="12.75" customHeight="1">
      <c r="A2134" s="4">
        <v>2538.0</v>
      </c>
      <c r="B2134" s="4">
        <v>18405.0</v>
      </c>
      <c r="C2134" s="5">
        <f t="shared" ref="C2134:C2135" si="945">DATE(2012,12,31)-1454</f>
        <v>39820</v>
      </c>
      <c r="D2134" s="4" t="s">
        <v>63</v>
      </c>
      <c r="E2134" s="4">
        <v>30.0</v>
      </c>
      <c r="F2134" s="4">
        <v>610.65</v>
      </c>
      <c r="G2134" s="4">
        <v>0.09</v>
      </c>
      <c r="H2134" s="4" t="s">
        <v>56</v>
      </c>
      <c r="I2134" s="6">
        <v>60.2735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4"/>
        <v>39822</v>
      </c>
    </row>
    <row r="2135" ht="12.75" customHeight="1">
      <c r="A2135" s="4">
        <v>2539.0</v>
      </c>
      <c r="B2135" s="4">
        <v>18405.0</v>
      </c>
      <c r="C2135" s="5">
        <f t="shared" si="945"/>
        <v>39820</v>
      </c>
      <c r="D2135" s="4" t="s">
        <v>63</v>
      </c>
      <c r="E2135" s="4">
        <v>2.0</v>
      </c>
      <c r="F2135" s="4">
        <v>158.04</v>
      </c>
      <c r="G2135" s="4">
        <v>0.03</v>
      </c>
      <c r="H2135" s="4" t="s">
        <v>22</v>
      </c>
      <c r="I2135" s="6">
        <v>-263.09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ht="12.75" customHeight="1">
      <c r="A2136" s="4">
        <v>2565.0</v>
      </c>
      <c r="B2136" s="4">
        <v>18531.0</v>
      </c>
      <c r="C2136" s="5">
        <f>DATE(2012,12,31)-63</f>
        <v>41211</v>
      </c>
      <c r="D2136" s="4" t="s">
        <v>78</v>
      </c>
      <c r="E2136" s="4">
        <v>50.0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ht="12.75" customHeight="1">
      <c r="A2137" s="4">
        <v>2568.0</v>
      </c>
      <c r="B2137" s="4">
        <v>18533.0</v>
      </c>
      <c r="C2137" s="5">
        <f t="shared" ref="C2137:C2138" si="946">DATE(2012,12,31)-1151</f>
        <v>40123</v>
      </c>
      <c r="D2137" s="4" t="s">
        <v>45</v>
      </c>
      <c r="E2137" s="4">
        <v>27.0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8.78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0.57</v>
      </c>
      <c r="U2137" s="5">
        <f>C2137+1</f>
        <v>40124</v>
      </c>
    </row>
    <row r="2138" ht="12.75" customHeight="1">
      <c r="A2138" s="4">
        <v>2569.0</v>
      </c>
      <c r="B2138" s="4">
        <v>18533.0</v>
      </c>
      <c r="C2138" s="5">
        <f t="shared" si="946"/>
        <v>40123</v>
      </c>
      <c r="D2138" s="4" t="s">
        <v>45</v>
      </c>
      <c r="E2138" s="4">
        <v>5.0</v>
      </c>
      <c r="F2138" s="4">
        <v>53.736999999999995</v>
      </c>
      <c r="G2138" s="4">
        <v>0.05</v>
      </c>
      <c r="H2138" s="4" t="s">
        <v>56</v>
      </c>
      <c r="I2138" s="6">
        <v>-28.435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ht="12.75" customHeight="1">
      <c r="A2139" s="4">
        <v>2584.0</v>
      </c>
      <c r="B2139" s="4">
        <v>18661.0</v>
      </c>
      <c r="C2139" s="5">
        <f t="shared" ref="C2139:C2140" si="947">DATE(2012,12,31)-114</f>
        <v>41160</v>
      </c>
      <c r="D2139" s="4" t="s">
        <v>21</v>
      </c>
      <c r="E2139" s="4">
        <v>12.0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0.58</v>
      </c>
      <c r="U2139" s="5">
        <f>C2139+4</f>
        <v>41164</v>
      </c>
    </row>
    <row r="2140" ht="12.75" customHeight="1">
      <c r="A2140" s="4">
        <v>2585.0</v>
      </c>
      <c r="B2140" s="4">
        <v>18661.0</v>
      </c>
      <c r="C2140" s="5">
        <f t="shared" si="947"/>
        <v>41160</v>
      </c>
      <c r="D2140" s="4" t="s">
        <v>21</v>
      </c>
      <c r="E2140" s="4">
        <v>11.0</v>
      </c>
      <c r="F2140" s="4">
        <v>2618.112</v>
      </c>
      <c r="G2140" s="4">
        <v>0.04</v>
      </c>
      <c r="H2140" s="4" t="s">
        <v>31</v>
      </c>
      <c r="I2140" s="6">
        <v>-139.26600000000002</v>
      </c>
      <c r="J2140" s="4">
        <v>286.85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8">C2140+2</f>
        <v>41162</v>
      </c>
    </row>
    <row r="2141" ht="12.75" customHeight="1">
      <c r="A2141" s="4">
        <v>2591.0</v>
      </c>
      <c r="B2141" s="4">
        <v>18723.0</v>
      </c>
      <c r="C2141" s="5">
        <f>DATE(2012,12,31)-1237</f>
        <v>40037</v>
      </c>
      <c r="D2141" s="4" t="s">
        <v>63</v>
      </c>
      <c r="E2141" s="4">
        <v>1.0</v>
      </c>
      <c r="F2141" s="4">
        <v>52.0965</v>
      </c>
      <c r="G2141" s="4">
        <v>0.0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8"/>
        <v>40039</v>
      </c>
    </row>
    <row r="2142" ht="12.75" customHeight="1">
      <c r="A2142" s="4">
        <v>2592.0</v>
      </c>
      <c r="B2142" s="4">
        <v>18753.0</v>
      </c>
      <c r="C2142" s="5">
        <f t="shared" ref="C2142:C2143" si="949">DATE(2012,12,31)-1249</f>
        <v>40025</v>
      </c>
      <c r="D2142" s="4" t="s">
        <v>63</v>
      </c>
      <c r="E2142" s="4">
        <v>31.0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8"/>
        <v>40027</v>
      </c>
    </row>
    <row r="2143" ht="12.75" customHeight="1">
      <c r="A2143" s="4">
        <v>2593.0</v>
      </c>
      <c r="B2143" s="4">
        <v>18753.0</v>
      </c>
      <c r="C2143" s="5">
        <f t="shared" si="949"/>
        <v>40025</v>
      </c>
      <c r="D2143" s="4" t="s">
        <v>63</v>
      </c>
      <c r="E2143" s="4">
        <v>33.0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160.98</v>
      </c>
      <c r="K2143" s="4">
        <v>30.0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8"/>
        <v>40027</v>
      </c>
    </row>
    <row r="2144" ht="12.75" customHeight="1">
      <c r="A2144" s="4">
        <v>2653.0</v>
      </c>
      <c r="B2144" s="4">
        <v>19204.0</v>
      </c>
      <c r="C2144" s="5">
        <f t="shared" ref="C2144:C2145" si="950">DATE(2012,12,31)-1200</f>
        <v>40074</v>
      </c>
      <c r="D2144" s="4" t="s">
        <v>63</v>
      </c>
      <c r="E2144" s="4">
        <v>27.0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8.54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ht="12.75" customHeight="1">
      <c r="A2145" s="4">
        <v>2654.0</v>
      </c>
      <c r="B2145" s="4">
        <v>19204.0</v>
      </c>
      <c r="C2145" s="5">
        <f t="shared" si="950"/>
        <v>40074</v>
      </c>
      <c r="D2145" s="4" t="s">
        <v>63</v>
      </c>
      <c r="E2145" s="4">
        <v>28.0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ht="12.75" customHeight="1">
      <c r="A2146" s="4">
        <v>2680.0</v>
      </c>
      <c r="B2146" s="4">
        <v>19394.0</v>
      </c>
      <c r="C2146" s="5">
        <f t="shared" ref="C2146:C2147" si="951">DATE(2012,12,31)-6</f>
        <v>41268</v>
      </c>
      <c r="D2146" s="4" t="s">
        <v>63</v>
      </c>
      <c r="E2146" s="4">
        <v>16.0</v>
      </c>
      <c r="F2146" s="4">
        <v>279.327</v>
      </c>
      <c r="G2146" s="4">
        <v>0.05</v>
      </c>
      <c r="H2146" s="4" t="s">
        <v>22</v>
      </c>
      <c r="I2146" s="6">
        <v>75.213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ht="12.75" customHeight="1">
      <c r="A2147" s="4">
        <v>2681.0</v>
      </c>
      <c r="B2147" s="4">
        <v>19394.0</v>
      </c>
      <c r="C2147" s="5">
        <f t="shared" si="951"/>
        <v>41268</v>
      </c>
      <c r="D2147" s="4" t="s">
        <v>63</v>
      </c>
      <c r="E2147" s="4">
        <v>5.0</v>
      </c>
      <c r="F2147" s="4">
        <v>539.206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ht="12.75" customHeight="1">
      <c r="A2148" s="4">
        <v>2724.0</v>
      </c>
      <c r="B2148" s="4">
        <v>19653.0</v>
      </c>
      <c r="C2148" s="5">
        <f>DATE(2012,12,31)-111</f>
        <v>41163</v>
      </c>
      <c r="D2148" s="4" t="s">
        <v>45</v>
      </c>
      <c r="E2148" s="4">
        <v>34.0</v>
      </c>
      <c r="F2148" s="4">
        <v>125.46</v>
      </c>
      <c r="G2148" s="4">
        <v>0.07</v>
      </c>
      <c r="H2148" s="4" t="s">
        <v>22</v>
      </c>
      <c r="I2148" s="6">
        <v>-129.628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ht="12.75" customHeight="1">
      <c r="A2149" s="4">
        <v>2729.0</v>
      </c>
      <c r="B2149" s="4">
        <v>19687.0</v>
      </c>
      <c r="C2149" s="5">
        <f t="shared" ref="C2149:C2150" si="952">DATE(2012,12,31)-871</f>
        <v>40403</v>
      </c>
      <c r="D2149" s="4" t="s">
        <v>63</v>
      </c>
      <c r="E2149" s="4">
        <v>33.0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ht="12.75" customHeight="1">
      <c r="A2150" s="4">
        <v>2730.0</v>
      </c>
      <c r="B2150" s="4">
        <v>19687.0</v>
      </c>
      <c r="C2150" s="5">
        <f t="shared" si="952"/>
        <v>40403</v>
      </c>
      <c r="D2150" s="4" t="s">
        <v>63</v>
      </c>
      <c r="E2150" s="4">
        <v>23.0</v>
      </c>
      <c r="F2150" s="4">
        <v>829.617</v>
      </c>
      <c r="G2150" s="4">
        <v>0.1</v>
      </c>
      <c r="H2150" s="4" t="s">
        <v>22</v>
      </c>
      <c r="I2150" s="6">
        <v>25.533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0.57</v>
      </c>
      <c r="U2150" s="5">
        <f>C2150+2</f>
        <v>40405</v>
      </c>
    </row>
    <row r="2151" ht="12.75" customHeight="1">
      <c r="A2151" s="4">
        <v>2731.0</v>
      </c>
      <c r="B2151" s="4">
        <v>19716.0</v>
      </c>
      <c r="C2151" s="5">
        <f>DATE(2012,12,31)-1189</f>
        <v>40085</v>
      </c>
      <c r="D2151" s="4" t="s">
        <v>21</v>
      </c>
      <c r="E2151" s="4">
        <v>5.0</v>
      </c>
      <c r="F2151" s="4">
        <v>616.1055</v>
      </c>
      <c r="G2151" s="4">
        <v>0.03</v>
      </c>
      <c r="H2151" s="4" t="s">
        <v>22</v>
      </c>
      <c r="I2151" s="6">
        <v>-458.744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ht="12.75" customHeight="1">
      <c r="A2152" s="4">
        <v>2742.0</v>
      </c>
      <c r="B2152" s="4">
        <v>19782.0</v>
      </c>
      <c r="C2152" s="5">
        <f>DATE(2012,12,31)-74</f>
        <v>41200</v>
      </c>
      <c r="D2152" s="4" t="s">
        <v>21</v>
      </c>
      <c r="E2152" s="4">
        <v>18.0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3">C2152+4</f>
        <v>41204</v>
      </c>
    </row>
    <row r="2153" ht="12.75" customHeight="1">
      <c r="A2153" s="4">
        <v>2792.0</v>
      </c>
      <c r="B2153" s="4">
        <v>20134.0</v>
      </c>
      <c r="C2153" s="5">
        <f t="shared" ref="C2153:C2154" si="954">DATE(2012,12,31)-660</f>
        <v>40614</v>
      </c>
      <c r="D2153" s="4" t="s">
        <v>21</v>
      </c>
      <c r="E2153" s="4">
        <v>26.0</v>
      </c>
      <c r="F2153" s="4">
        <v>583.56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3"/>
        <v>40618</v>
      </c>
    </row>
    <row r="2154" ht="12.75" customHeight="1">
      <c r="A2154" s="4">
        <v>2793.0</v>
      </c>
      <c r="B2154" s="4">
        <v>20134.0</v>
      </c>
      <c r="C2154" s="5">
        <f t="shared" si="954"/>
        <v>40614</v>
      </c>
      <c r="D2154" s="4" t="s">
        <v>21</v>
      </c>
      <c r="E2154" s="4">
        <v>47.0</v>
      </c>
      <c r="F2154" s="4">
        <v>281.47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ht="12.75" customHeight="1">
      <c r="A2155" s="4">
        <v>2806.0</v>
      </c>
      <c r="B2155" s="4">
        <v>20259.0</v>
      </c>
      <c r="C2155" s="5">
        <f>DATE(2012,12,31)-587</f>
        <v>40687</v>
      </c>
      <c r="D2155" s="4" t="s">
        <v>78</v>
      </c>
      <c r="E2155" s="4">
        <v>42.0</v>
      </c>
      <c r="F2155" s="4">
        <v>539.06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ht="12.75" customHeight="1">
      <c r="A2156" s="4">
        <v>2807.0</v>
      </c>
      <c r="B2156" s="4">
        <v>20261.0</v>
      </c>
      <c r="C2156" s="5">
        <f t="shared" ref="C2156:C2158" si="955">DATE(2012,12,31)-1321</f>
        <v>39953</v>
      </c>
      <c r="D2156" s="4" t="s">
        <v>63</v>
      </c>
      <c r="E2156" s="4">
        <v>25.0</v>
      </c>
      <c r="F2156" s="4">
        <v>751.52</v>
      </c>
      <c r="G2156" s="4">
        <v>0.09</v>
      </c>
      <c r="H2156" s="4" t="s">
        <v>56</v>
      </c>
      <c r="I2156" s="6">
        <v>67.1075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ht="12.75" customHeight="1">
      <c r="A2157" s="4">
        <v>2808.0</v>
      </c>
      <c r="B2157" s="4">
        <v>20261.0</v>
      </c>
      <c r="C2157" s="5">
        <f t="shared" si="955"/>
        <v>39953</v>
      </c>
      <c r="D2157" s="4" t="s">
        <v>63</v>
      </c>
      <c r="E2157" s="4">
        <v>36.0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ht="12.75" customHeight="1">
      <c r="A2158" s="4">
        <v>2809.0</v>
      </c>
      <c r="B2158" s="4">
        <v>20261.0</v>
      </c>
      <c r="C2158" s="5">
        <f t="shared" si="955"/>
        <v>39953</v>
      </c>
      <c r="D2158" s="4" t="s">
        <v>63</v>
      </c>
      <c r="E2158" s="4">
        <v>21.0</v>
      </c>
      <c r="F2158" s="4">
        <v>1259.4535</v>
      </c>
      <c r="G2158" s="4">
        <v>0.02</v>
      </c>
      <c r="H2158" s="4" t="s">
        <v>56</v>
      </c>
      <c r="I2158" s="6">
        <v>168.237</v>
      </c>
      <c r="J2158" s="4">
        <v>65.99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</v>
      </c>
      <c r="U2158" s="5">
        <f>C2158+1</f>
        <v>39954</v>
      </c>
    </row>
    <row r="2159" ht="12.75" customHeight="1">
      <c r="A2159" s="4">
        <v>2837.0</v>
      </c>
      <c r="B2159" s="4">
        <v>20453.0</v>
      </c>
      <c r="C2159" s="5">
        <f t="shared" ref="C2159:C2160" si="956">DATE(2012,12,31)-662</f>
        <v>40612</v>
      </c>
      <c r="D2159" s="4" t="s">
        <v>63</v>
      </c>
      <c r="E2159" s="4">
        <v>23.0</v>
      </c>
      <c r="F2159" s="4">
        <v>450.39</v>
      </c>
      <c r="G2159" s="4">
        <v>0.07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7">C2159+2</f>
        <v>40614</v>
      </c>
    </row>
    <row r="2160" ht="12.75" customHeight="1">
      <c r="A2160" s="4">
        <v>2838.0</v>
      </c>
      <c r="B2160" s="4">
        <v>20453.0</v>
      </c>
      <c r="C2160" s="5">
        <f t="shared" si="956"/>
        <v>40612</v>
      </c>
      <c r="D2160" s="4" t="s">
        <v>63</v>
      </c>
      <c r="E2160" s="4">
        <v>17.0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</v>
      </c>
      <c r="U2160" s="5">
        <f t="shared" si="957"/>
        <v>40614</v>
      </c>
    </row>
    <row r="2161" ht="12.75" customHeight="1">
      <c r="A2161" s="4">
        <v>2858.0</v>
      </c>
      <c r="B2161" s="4">
        <v>20614.0</v>
      </c>
      <c r="C2161" s="5">
        <f>DATE(2012,12,31)-1323</f>
        <v>39951</v>
      </c>
      <c r="D2161" s="4" t="s">
        <v>45</v>
      </c>
      <c r="E2161" s="4">
        <v>47.0</v>
      </c>
      <c r="F2161" s="4">
        <v>3596.36</v>
      </c>
      <c r="G2161" s="4">
        <v>0.0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7"/>
        <v>39953</v>
      </c>
    </row>
    <row r="2162" ht="12.75" customHeight="1">
      <c r="A2162" s="4">
        <v>2870.0</v>
      </c>
      <c r="B2162" s="4">
        <v>20709.0</v>
      </c>
      <c r="C2162" s="5">
        <f t="shared" ref="C2162:C2163" si="958">DATE(2012,12,31)-1238</f>
        <v>40036</v>
      </c>
      <c r="D2162" s="4" t="s">
        <v>30</v>
      </c>
      <c r="E2162" s="4">
        <v>4.0</v>
      </c>
      <c r="F2162" s="4">
        <v>16.6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ht="12.75" customHeight="1">
      <c r="A2163" s="4">
        <v>2871.0</v>
      </c>
      <c r="B2163" s="4">
        <v>20709.0</v>
      </c>
      <c r="C2163" s="5">
        <f t="shared" si="958"/>
        <v>40036</v>
      </c>
      <c r="D2163" s="4" t="s">
        <v>30</v>
      </c>
      <c r="E2163" s="4">
        <v>5.0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9">C2163+2</f>
        <v>40038</v>
      </c>
    </row>
    <row r="2164" ht="12.75" customHeight="1">
      <c r="A2164" s="4">
        <v>2913.0</v>
      </c>
      <c r="B2164" s="4">
        <v>21025.0</v>
      </c>
      <c r="C2164" s="5">
        <f>DATE(2012,12,31)-842</f>
        <v>40432</v>
      </c>
      <c r="D2164" s="4" t="s">
        <v>45</v>
      </c>
      <c r="E2164" s="4">
        <v>38.0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9"/>
        <v>40434</v>
      </c>
    </row>
    <row r="2165" ht="12.75" customHeight="1">
      <c r="A2165" s="4">
        <v>2914.0</v>
      </c>
      <c r="B2165" s="4">
        <v>21028.0</v>
      </c>
      <c r="C2165" s="5">
        <f>DATE(2012,12,31)-207</f>
        <v>41067</v>
      </c>
      <c r="D2165" s="4" t="s">
        <v>78</v>
      </c>
      <c r="E2165" s="4">
        <v>38.0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9"/>
        <v>41069</v>
      </c>
    </row>
    <row r="2166" ht="12.75" customHeight="1">
      <c r="A2166" s="4">
        <v>2921.0</v>
      </c>
      <c r="B2166" s="4">
        <v>21125.0</v>
      </c>
      <c r="C2166" s="5">
        <f>DATE(2012,12,31)-674</f>
        <v>40600</v>
      </c>
      <c r="D2166" s="4" t="s">
        <v>45</v>
      </c>
      <c r="E2166" s="4">
        <v>17.0</v>
      </c>
      <c r="F2166" s="4">
        <v>155.17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4.39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ht="12.75" customHeight="1">
      <c r="A2167" s="4">
        <v>2955.0</v>
      </c>
      <c r="B2167" s="4">
        <v>21382.0</v>
      </c>
      <c r="C2167" s="5">
        <f>DATE(2012,12,31)-354</f>
        <v>40920</v>
      </c>
      <c r="D2167" s="4" t="s">
        <v>78</v>
      </c>
      <c r="E2167" s="4">
        <v>27.0</v>
      </c>
      <c r="F2167" s="4">
        <v>145.93</v>
      </c>
      <c r="G2167" s="4">
        <v>0.0</v>
      </c>
      <c r="H2167" s="4" t="s">
        <v>22</v>
      </c>
      <c r="I2167" s="6">
        <v>-113.32</v>
      </c>
      <c r="J2167" s="4">
        <v>4.98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ht="12.75" customHeight="1">
      <c r="A2168" s="4">
        <v>2994.0</v>
      </c>
      <c r="B2168" s="4">
        <v>21604.0</v>
      </c>
      <c r="C2168" s="5">
        <f>DATE(2012,12,31)-274</f>
        <v>41000</v>
      </c>
      <c r="D2168" s="4" t="s">
        <v>63</v>
      </c>
      <c r="E2168" s="4">
        <v>6.0</v>
      </c>
      <c r="F2168" s="4">
        <v>2478.88</v>
      </c>
      <c r="G2168" s="4">
        <v>0.02</v>
      </c>
      <c r="H2168" s="4" t="s">
        <v>56</v>
      </c>
      <c r="I2168" s="6">
        <v>593.589</v>
      </c>
      <c r="J2168" s="4">
        <v>387.99</v>
      </c>
      <c r="K2168" s="4">
        <v>19.99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ht="12.75" customHeight="1">
      <c r="A2169" s="4">
        <v>3037.0</v>
      </c>
      <c r="B2169" s="4">
        <v>21824.0</v>
      </c>
      <c r="C2169" s="5">
        <f>DATE(2012,12,31)-693</f>
        <v>40581</v>
      </c>
      <c r="D2169" s="4" t="s">
        <v>21</v>
      </c>
      <c r="E2169" s="4">
        <v>37.0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ht="12.75" customHeight="1">
      <c r="A2170" s="4">
        <v>3057.0</v>
      </c>
      <c r="B2170" s="4">
        <v>21893.0</v>
      </c>
      <c r="C2170" s="5">
        <f>DATE(2012,12,31)-434</f>
        <v>40840</v>
      </c>
      <c r="D2170" s="4" t="s">
        <v>78</v>
      </c>
      <c r="E2170" s="4">
        <v>30.0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ht="12.75" customHeight="1">
      <c r="A2171" s="4">
        <v>3075.0</v>
      </c>
      <c r="B2171" s="4">
        <v>22054.0</v>
      </c>
      <c r="C2171" s="5">
        <f>DATE(2012,12,31)-886</f>
        <v>40388</v>
      </c>
      <c r="D2171" s="4" t="s">
        <v>63</v>
      </c>
      <c r="E2171" s="4">
        <v>32.0</v>
      </c>
      <c r="F2171" s="4">
        <v>216.79</v>
      </c>
      <c r="G2171" s="4">
        <v>0.07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ht="12.75" customHeight="1">
      <c r="A2172" s="4">
        <v>3091.0</v>
      </c>
      <c r="B2172" s="4">
        <v>22181.0</v>
      </c>
      <c r="C2172" s="5">
        <f>DATE(2012,12,31)-451</f>
        <v>40823</v>
      </c>
      <c r="D2172" s="4" t="s">
        <v>21</v>
      </c>
      <c r="E2172" s="4">
        <v>41.0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ht="12.75" customHeight="1">
      <c r="A2173" s="4">
        <v>3104.0</v>
      </c>
      <c r="B2173" s="4">
        <v>22272.0</v>
      </c>
      <c r="C2173" s="5">
        <f t="shared" ref="C2173:C2174" si="960">DATE(2012,12,31)-239</f>
        <v>41035</v>
      </c>
      <c r="D2173" s="4" t="s">
        <v>30</v>
      </c>
      <c r="E2173" s="4">
        <v>37.0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152.48</v>
      </c>
      <c r="K2173" s="4">
        <v>4.0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1">C2173+2</f>
        <v>41037</v>
      </c>
    </row>
    <row r="2174" ht="12.75" customHeight="1">
      <c r="A2174" s="4">
        <v>3105.0</v>
      </c>
      <c r="B2174" s="4">
        <v>22272.0</v>
      </c>
      <c r="C2174" s="5">
        <f t="shared" si="960"/>
        <v>41035</v>
      </c>
      <c r="D2174" s="4" t="s">
        <v>30</v>
      </c>
      <c r="E2174" s="4">
        <v>30.0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35.41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1"/>
        <v>41037</v>
      </c>
    </row>
    <row r="2175" ht="12.75" customHeight="1">
      <c r="A2175" s="4">
        <v>3115.0</v>
      </c>
      <c r="B2175" s="4">
        <v>22373.0</v>
      </c>
      <c r="C2175" s="5">
        <f>DATE(2012,12,31)-278</f>
        <v>40996</v>
      </c>
      <c r="D2175" s="4" t="s">
        <v>30</v>
      </c>
      <c r="E2175" s="4">
        <v>26.0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8.29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ht="12.75" customHeight="1">
      <c r="A2176" s="4">
        <v>3125.0</v>
      </c>
      <c r="B2176" s="4">
        <v>22434.0</v>
      </c>
      <c r="C2176" s="5">
        <f t="shared" ref="C2176:C2177" si="962">DATE(2012,12,31)-124</f>
        <v>41150</v>
      </c>
      <c r="D2176" s="4" t="s">
        <v>78</v>
      </c>
      <c r="E2176" s="4">
        <v>3.0</v>
      </c>
      <c r="F2176" s="4">
        <v>18.7</v>
      </c>
      <c r="G2176" s="4">
        <v>0.1</v>
      </c>
      <c r="H2176" s="4" t="s">
        <v>22</v>
      </c>
      <c r="I2176" s="6">
        <v>-14.6855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3">C2176+2</f>
        <v>41152</v>
      </c>
    </row>
    <row r="2177" ht="12.75" customHeight="1">
      <c r="A2177" s="4">
        <v>3126.0</v>
      </c>
      <c r="B2177" s="4">
        <v>22434.0</v>
      </c>
      <c r="C2177" s="5">
        <f t="shared" si="962"/>
        <v>41150</v>
      </c>
      <c r="D2177" s="4" t="s">
        <v>78</v>
      </c>
      <c r="E2177" s="4">
        <v>39.0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</v>
      </c>
      <c r="U2177" s="5">
        <f t="shared" si="963"/>
        <v>41152</v>
      </c>
    </row>
    <row r="2178" ht="12.75" customHeight="1">
      <c r="A2178" s="4">
        <v>3179.0</v>
      </c>
      <c r="B2178" s="4">
        <v>22849.0</v>
      </c>
      <c r="C2178" s="5">
        <f t="shared" ref="C2178:C2181" si="964">DATE(2012,12,31)-686</f>
        <v>40588</v>
      </c>
      <c r="D2178" s="4" t="s">
        <v>45</v>
      </c>
      <c r="E2178" s="4">
        <v>27.0</v>
      </c>
      <c r="F2178" s="4">
        <v>304.98</v>
      </c>
      <c r="G2178" s="4">
        <v>0.08</v>
      </c>
      <c r="H2178" s="4" t="s">
        <v>22</v>
      </c>
      <c r="I2178" s="6">
        <v>2.7285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ht="12.75" customHeight="1">
      <c r="A2179" s="4">
        <v>3180.0</v>
      </c>
      <c r="B2179" s="4">
        <v>22849.0</v>
      </c>
      <c r="C2179" s="5">
        <f t="shared" si="964"/>
        <v>40588</v>
      </c>
      <c r="D2179" s="4" t="s">
        <v>45</v>
      </c>
      <c r="E2179" s="4">
        <v>34.0</v>
      </c>
      <c r="F2179" s="4">
        <v>104.24</v>
      </c>
      <c r="G2179" s="4">
        <v>0.0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5">C2179+2</f>
        <v>40590</v>
      </c>
    </row>
    <row r="2180" ht="12.75" customHeight="1">
      <c r="A2180" s="4">
        <v>3181.0</v>
      </c>
      <c r="B2180" s="4">
        <v>22849.0</v>
      </c>
      <c r="C2180" s="5">
        <f t="shared" si="964"/>
        <v>40588</v>
      </c>
      <c r="D2180" s="4" t="s">
        <v>45</v>
      </c>
      <c r="E2180" s="4">
        <v>27.0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5"/>
        <v>40590</v>
      </c>
    </row>
    <row r="2181" ht="12.75" customHeight="1">
      <c r="A2181" s="4">
        <v>3182.0</v>
      </c>
      <c r="B2181" s="4">
        <v>22849.0</v>
      </c>
      <c r="C2181" s="5">
        <f t="shared" si="964"/>
        <v>40588</v>
      </c>
      <c r="D2181" s="4" t="s">
        <v>45</v>
      </c>
      <c r="E2181" s="4">
        <v>25.0</v>
      </c>
      <c r="F2181" s="4">
        <v>4366.348</v>
      </c>
      <c r="G2181" s="4">
        <v>0.05</v>
      </c>
      <c r="H2181" s="4" t="s">
        <v>22</v>
      </c>
      <c r="I2181" s="6">
        <v>940.5719999999999</v>
      </c>
      <c r="J2181" s="4">
        <v>205.99</v>
      </c>
      <c r="K2181" s="4">
        <v>3.0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0.58</v>
      </c>
      <c r="U2181" s="5">
        <f t="shared" si="965"/>
        <v>40590</v>
      </c>
    </row>
    <row r="2182" ht="12.75" customHeight="1">
      <c r="A2182" s="4">
        <v>3188.0</v>
      </c>
      <c r="B2182" s="4">
        <v>22881.0</v>
      </c>
      <c r="C2182" s="5">
        <f>DATE(2012,12,31)-1000</f>
        <v>40274</v>
      </c>
      <c r="D2182" s="4" t="s">
        <v>63</v>
      </c>
      <c r="E2182" s="4">
        <v>33.0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9.37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</v>
      </c>
      <c r="U2182" s="5">
        <f>C2182+1</f>
        <v>40275</v>
      </c>
    </row>
    <row r="2183" ht="12.75" customHeight="1">
      <c r="A2183" s="4">
        <v>3201.0</v>
      </c>
      <c r="B2183" s="4">
        <v>22950.0</v>
      </c>
      <c r="C2183" s="5">
        <f>DATE(2012,12,31)-376</f>
        <v>40898</v>
      </c>
      <c r="D2183" s="4" t="s">
        <v>21</v>
      </c>
      <c r="E2183" s="4">
        <v>29.0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</v>
      </c>
      <c r="K2183" s="4">
        <v>35.0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ht="12.75" customHeight="1">
      <c r="A2184" s="4">
        <v>3206.0</v>
      </c>
      <c r="B2184" s="4">
        <v>23008.0</v>
      </c>
      <c r="C2184" s="5">
        <f t="shared" ref="C2184:C2185" si="966">DATE(2012,12,31)-1179</f>
        <v>40095</v>
      </c>
      <c r="D2184" s="4" t="s">
        <v>78</v>
      </c>
      <c r="E2184" s="4">
        <v>10.0</v>
      </c>
      <c r="F2184" s="4">
        <v>1136.47</v>
      </c>
      <c r="G2184" s="4">
        <v>0.1</v>
      </c>
      <c r="H2184" s="4" t="s">
        <v>56</v>
      </c>
      <c r="I2184" s="6">
        <v>323.323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7">C2184+2</f>
        <v>40097</v>
      </c>
    </row>
    <row r="2185" ht="12.75" customHeight="1">
      <c r="A2185" s="4">
        <v>3207.0</v>
      </c>
      <c r="B2185" s="4">
        <v>23008.0</v>
      </c>
      <c r="C2185" s="5">
        <f t="shared" si="966"/>
        <v>40095</v>
      </c>
      <c r="D2185" s="4" t="s">
        <v>78</v>
      </c>
      <c r="E2185" s="4">
        <v>2.0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152.48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7"/>
        <v>40097</v>
      </c>
    </row>
    <row r="2186" ht="12.75" customHeight="1">
      <c r="A2186" s="4">
        <v>3233.0</v>
      </c>
      <c r="B2186" s="4">
        <v>23202.0</v>
      </c>
      <c r="C2186" s="5">
        <f t="shared" ref="C2186:C2187" si="968">DATE(2012,12,31)-520</f>
        <v>40754</v>
      </c>
      <c r="D2186" s="4" t="s">
        <v>30</v>
      </c>
      <c r="E2186" s="4">
        <v>39.0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7"/>
        <v>40756</v>
      </c>
    </row>
    <row r="2187" ht="12.75" customHeight="1">
      <c r="A2187" s="4">
        <v>3234.0</v>
      </c>
      <c r="B2187" s="4">
        <v>23202.0</v>
      </c>
      <c r="C2187" s="5">
        <f t="shared" si="968"/>
        <v>40754</v>
      </c>
      <c r="D2187" s="4" t="s">
        <v>30</v>
      </c>
      <c r="E2187" s="4">
        <v>48.0</v>
      </c>
      <c r="F2187" s="4">
        <v>608.29</v>
      </c>
      <c r="G2187" s="4">
        <v>0.02</v>
      </c>
      <c r="H2187" s="4" t="s">
        <v>22</v>
      </c>
      <c r="I2187" s="6">
        <v>-39.27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7"/>
        <v>40756</v>
      </c>
    </row>
    <row r="2188" ht="12.75" customHeight="1">
      <c r="A2188" s="4">
        <v>3276.0</v>
      </c>
      <c r="B2188" s="4">
        <v>23426.0</v>
      </c>
      <c r="C2188" s="5">
        <f t="shared" ref="C2188:C2189" si="969">DATE(2012,12,31)-684</f>
        <v>40590</v>
      </c>
      <c r="D2188" s="4" t="s">
        <v>78</v>
      </c>
      <c r="E2188" s="4">
        <v>45.0</v>
      </c>
      <c r="F2188" s="4">
        <v>1009.8</v>
      </c>
      <c r="G2188" s="4">
        <v>0.07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7"/>
        <v>40592</v>
      </c>
    </row>
    <row r="2189" ht="12.75" customHeight="1">
      <c r="A2189" s="4">
        <v>3277.0</v>
      </c>
      <c r="B2189" s="4">
        <v>23426.0</v>
      </c>
      <c r="C2189" s="5">
        <f t="shared" si="969"/>
        <v>40590</v>
      </c>
      <c r="D2189" s="4" t="s">
        <v>78</v>
      </c>
      <c r="E2189" s="4">
        <v>12.0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ht="12.75" customHeight="1">
      <c r="A2190" s="4">
        <v>3311.0</v>
      </c>
      <c r="B2190" s="4">
        <v>23649.0</v>
      </c>
      <c r="C2190" s="5">
        <f t="shared" ref="C2190:C2191" si="970">DATE(2012,12,31)-117</f>
        <v>41157</v>
      </c>
      <c r="D2190" s="4" t="s">
        <v>45</v>
      </c>
      <c r="E2190" s="4">
        <v>30.0</v>
      </c>
      <c r="F2190" s="4">
        <v>4587.926</v>
      </c>
      <c r="G2190" s="4">
        <v>0.1</v>
      </c>
      <c r="H2190" s="4" t="s">
        <v>22</v>
      </c>
      <c r="I2190" s="6">
        <v>687.411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ht="12.75" customHeight="1">
      <c r="A2191" s="4">
        <v>3312.0</v>
      </c>
      <c r="B2191" s="4">
        <v>23649.0</v>
      </c>
      <c r="C2191" s="5">
        <f t="shared" si="970"/>
        <v>41157</v>
      </c>
      <c r="D2191" s="4" t="s">
        <v>45</v>
      </c>
      <c r="E2191" s="4">
        <v>42.0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0.57</v>
      </c>
      <c r="U2191" s="5">
        <f>C2191+1</f>
        <v>41158</v>
      </c>
    </row>
    <row r="2192" ht="12.75" customHeight="1">
      <c r="A2192" s="4">
        <v>3322.0</v>
      </c>
      <c r="B2192" s="4">
        <v>23748.0</v>
      </c>
      <c r="C2192" s="5">
        <f>DATE(2012,12,31)-143</f>
        <v>41131</v>
      </c>
      <c r="D2192" s="4" t="s">
        <v>30</v>
      </c>
      <c r="E2192" s="4">
        <v>26.0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1">C2192+2</f>
        <v>41133</v>
      </c>
    </row>
    <row r="2193" ht="12.75" customHeight="1">
      <c r="A2193" s="4">
        <v>3337.0</v>
      </c>
      <c r="B2193" s="4">
        <v>23847.0</v>
      </c>
      <c r="C2193" s="5">
        <f>DATE(2012,12,31)-52</f>
        <v>41222</v>
      </c>
      <c r="D2193" s="4" t="s">
        <v>45</v>
      </c>
      <c r="E2193" s="4">
        <v>7.0</v>
      </c>
      <c r="F2193" s="4">
        <v>1278.6464999999998</v>
      </c>
      <c r="G2193" s="4">
        <v>0.01</v>
      </c>
      <c r="H2193" s="4" t="s">
        <v>22</v>
      </c>
      <c r="I2193" s="6">
        <v>-396.165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1"/>
        <v>41224</v>
      </c>
    </row>
    <row r="2194" ht="12.75" customHeight="1">
      <c r="A2194" s="4">
        <v>3350.0</v>
      </c>
      <c r="B2194" s="4">
        <v>23971.0</v>
      </c>
      <c r="C2194" s="5">
        <f>DATE(2012,12,31)-1136</f>
        <v>40138</v>
      </c>
      <c r="D2194" s="4" t="s">
        <v>78</v>
      </c>
      <c r="E2194" s="4">
        <v>5.0</v>
      </c>
      <c r="F2194" s="4">
        <v>66.63</v>
      </c>
      <c r="G2194" s="4">
        <v>0.0</v>
      </c>
      <c r="H2194" s="4" t="s">
        <v>22</v>
      </c>
      <c r="I2194" s="6">
        <v>-16.92</v>
      </c>
      <c r="J2194" s="4">
        <v>11.97</v>
      </c>
      <c r="K2194" s="4">
        <v>4.98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0.58</v>
      </c>
      <c r="U2194" s="5">
        <f>C2194+3</f>
        <v>40141</v>
      </c>
    </row>
    <row r="2195" ht="12.75" customHeight="1">
      <c r="A2195" s="4">
        <v>3388.0</v>
      </c>
      <c r="B2195" s="4">
        <v>24135.0</v>
      </c>
      <c r="C2195" s="5">
        <f>DATE(2012,12,31)-1074</f>
        <v>40200</v>
      </c>
      <c r="D2195" s="4" t="s">
        <v>21</v>
      </c>
      <c r="E2195" s="4">
        <v>12.0</v>
      </c>
      <c r="F2195" s="4">
        <v>345.19</v>
      </c>
      <c r="G2195" s="4">
        <v>0.1</v>
      </c>
      <c r="H2195" s="4" t="s">
        <v>22</v>
      </c>
      <c r="I2195" s="6">
        <v>111.588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ht="12.75" customHeight="1">
      <c r="A2196" s="4">
        <v>3395.0</v>
      </c>
      <c r="B2196" s="4">
        <v>24196.0</v>
      </c>
      <c r="C2196" s="5">
        <f t="shared" ref="C2196:C2197" si="972">DATE(2012,12,31)-885</f>
        <v>40389</v>
      </c>
      <c r="D2196" s="4" t="s">
        <v>30</v>
      </c>
      <c r="E2196" s="4">
        <v>2.0</v>
      </c>
      <c r="F2196" s="4">
        <v>13.44</v>
      </c>
      <c r="G2196" s="4">
        <v>0.08</v>
      </c>
      <c r="H2196" s="4" t="s">
        <v>22</v>
      </c>
      <c r="I2196" s="6">
        <v>-8.88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ht="12.75" customHeight="1">
      <c r="A2197" s="4">
        <v>3396.0</v>
      </c>
      <c r="B2197" s="4">
        <v>24196.0</v>
      </c>
      <c r="C2197" s="5">
        <f t="shared" si="972"/>
        <v>40389</v>
      </c>
      <c r="D2197" s="4" t="s">
        <v>30</v>
      </c>
      <c r="E2197" s="4">
        <v>24.0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</v>
      </c>
      <c r="U2197" s="5">
        <f>C2197+2</f>
        <v>40391</v>
      </c>
    </row>
    <row r="2198" ht="12.75" customHeight="1">
      <c r="A2198" s="4">
        <v>3397.0</v>
      </c>
      <c r="B2198" s="4">
        <v>24197.0</v>
      </c>
      <c r="C2198" s="5">
        <f t="shared" ref="C2198:C2199" si="973">DATE(2012,12,31)-1062</f>
        <v>40212</v>
      </c>
      <c r="D2198" s="4" t="s">
        <v>21</v>
      </c>
      <c r="E2198" s="4">
        <v>41.0</v>
      </c>
      <c r="F2198" s="4">
        <v>2354.4</v>
      </c>
      <c r="G2198" s="4">
        <v>0.0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4">C2198+7</f>
        <v>40219</v>
      </c>
    </row>
    <row r="2199" ht="12.75" customHeight="1">
      <c r="A2199" s="4">
        <v>3398.0</v>
      </c>
      <c r="B2199" s="4">
        <v>24197.0</v>
      </c>
      <c r="C2199" s="5">
        <f t="shared" si="973"/>
        <v>40212</v>
      </c>
      <c r="D2199" s="4" t="s">
        <v>21</v>
      </c>
      <c r="E2199" s="4">
        <v>2.0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4"/>
        <v>40219</v>
      </c>
    </row>
    <row r="2200" ht="12.75" customHeight="1">
      <c r="A2200" s="4">
        <v>3435.0</v>
      </c>
      <c r="B2200" s="4">
        <v>24519.0</v>
      </c>
      <c r="C2200" s="5">
        <f>DATE(2012,12,31)-569</f>
        <v>40705</v>
      </c>
      <c r="D2200" s="4" t="s">
        <v>78</v>
      </c>
      <c r="E2200" s="4">
        <v>22.0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5">C2200+1</f>
        <v>40706</v>
      </c>
    </row>
    <row r="2201" ht="12.75" customHeight="1">
      <c r="A2201" s="4">
        <v>3439.0</v>
      </c>
      <c r="B2201" s="4">
        <v>24546.0</v>
      </c>
      <c r="C2201" s="5">
        <f>DATE(2012,12,31)-280</f>
        <v>40994</v>
      </c>
      <c r="D2201" s="4" t="s">
        <v>78</v>
      </c>
      <c r="E2201" s="4">
        <v>7.0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0.57</v>
      </c>
      <c r="U2201" s="5">
        <f t="shared" si="975"/>
        <v>40995</v>
      </c>
    </row>
    <row r="2202" ht="12.75" customHeight="1">
      <c r="A2202" s="4">
        <v>3444.0</v>
      </c>
      <c r="B2202" s="4">
        <v>24579.0</v>
      </c>
      <c r="C2202" s="5">
        <f t="shared" ref="C2202:C2203" si="976">DATE(2012,12,31)-43</f>
        <v>41231</v>
      </c>
      <c r="D2202" s="4" t="s">
        <v>30</v>
      </c>
      <c r="E2202" s="4">
        <v>45.0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300.65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5"/>
        <v>41232</v>
      </c>
    </row>
    <row r="2203" ht="12.75" customHeight="1">
      <c r="A2203" s="4">
        <v>3445.0</v>
      </c>
      <c r="B2203" s="4">
        <v>24579.0</v>
      </c>
      <c r="C2203" s="5">
        <f t="shared" si="976"/>
        <v>41231</v>
      </c>
      <c r="D2203" s="4" t="s">
        <v>30</v>
      </c>
      <c r="E2203" s="4">
        <v>40.0</v>
      </c>
      <c r="F2203" s="4">
        <v>467.5</v>
      </c>
      <c r="G2203" s="4">
        <v>0.08</v>
      </c>
      <c r="H2203" s="4" t="s">
        <v>22</v>
      </c>
      <c r="I2203" s="6">
        <v>-33.34</v>
      </c>
      <c r="J2203" s="4">
        <v>11.97</v>
      </c>
      <c r="K2203" s="4">
        <v>4.98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0.58</v>
      </c>
      <c r="U2203" s="5">
        <f>C2203+2</f>
        <v>41233</v>
      </c>
    </row>
    <row r="2204" ht="12.75" customHeight="1">
      <c r="A2204" s="4">
        <v>3448.0</v>
      </c>
      <c r="B2204" s="4">
        <v>24581.0</v>
      </c>
      <c r="C2204" s="5">
        <f>DATE(2012,12,31)-997</f>
        <v>40277</v>
      </c>
      <c r="D2204" s="4" t="s">
        <v>30</v>
      </c>
      <c r="E2204" s="4">
        <v>8.0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ht="12.75" customHeight="1">
      <c r="A2205" s="4">
        <v>3473.0</v>
      </c>
      <c r="B2205" s="4">
        <v>24710.0</v>
      </c>
      <c r="C2205" s="5">
        <f>DATE(2012,12,31)-823</f>
        <v>40451</v>
      </c>
      <c r="D2205" s="4" t="s">
        <v>21</v>
      </c>
      <c r="E2205" s="4">
        <v>3.0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ht="12.75" customHeight="1">
      <c r="A2206" s="4">
        <v>3500.0</v>
      </c>
      <c r="B2206" s="4">
        <v>24960.0</v>
      </c>
      <c r="C2206" s="5">
        <f t="shared" ref="C2206:C2209" si="977">DATE(2012,12,31)-704</f>
        <v>40570</v>
      </c>
      <c r="D2206" s="4" t="s">
        <v>30</v>
      </c>
      <c r="E2206" s="4">
        <v>48.0</v>
      </c>
      <c r="F2206" s="4">
        <v>1760.35</v>
      </c>
      <c r="G2206" s="4">
        <v>0.01</v>
      </c>
      <c r="H2206" s="4" t="s">
        <v>56</v>
      </c>
      <c r="I2206" s="6">
        <v>-17.08</v>
      </c>
      <c r="J2206" s="4">
        <v>34.98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8">C2206+1</f>
        <v>40571</v>
      </c>
    </row>
    <row r="2207" ht="12.75" customHeight="1">
      <c r="A2207" s="4">
        <v>3501.0</v>
      </c>
      <c r="B2207" s="4">
        <v>24960.0</v>
      </c>
      <c r="C2207" s="5">
        <f t="shared" si="977"/>
        <v>40570</v>
      </c>
      <c r="D2207" s="4" t="s">
        <v>30</v>
      </c>
      <c r="E2207" s="4">
        <v>37.0</v>
      </c>
      <c r="F2207" s="4">
        <v>1436.94</v>
      </c>
      <c r="G2207" s="4">
        <v>0.0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8"/>
        <v>40571</v>
      </c>
    </row>
    <row r="2208" ht="12.75" customHeight="1">
      <c r="A2208" s="4">
        <v>3502.0</v>
      </c>
      <c r="B2208" s="4">
        <v>24960.0</v>
      </c>
      <c r="C2208" s="5">
        <f t="shared" si="977"/>
        <v>40570</v>
      </c>
      <c r="D2208" s="4" t="s">
        <v>30</v>
      </c>
      <c r="E2208" s="4">
        <v>18.0</v>
      </c>
      <c r="F2208" s="4">
        <v>125.8</v>
      </c>
      <c r="G2208" s="4">
        <v>0.03</v>
      </c>
      <c r="H2208" s="4" t="s">
        <v>22</v>
      </c>
      <c r="I2208" s="6">
        <v>-35.98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ht="12.75" customHeight="1">
      <c r="A2209" s="4">
        <v>3503.0</v>
      </c>
      <c r="B2209" s="4">
        <v>24960.0</v>
      </c>
      <c r="C2209" s="5">
        <f t="shared" si="977"/>
        <v>40570</v>
      </c>
      <c r="D2209" s="4" t="s">
        <v>30</v>
      </c>
      <c r="E2209" s="4">
        <v>35.0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ht="12.75" customHeight="1">
      <c r="A2210" s="4">
        <v>3519.0</v>
      </c>
      <c r="B2210" s="4">
        <v>25061.0</v>
      </c>
      <c r="C2210" s="5">
        <f>DATE(2012,12,31)-379</f>
        <v>40895</v>
      </c>
      <c r="D2210" s="4" t="s">
        <v>63</v>
      </c>
      <c r="E2210" s="4">
        <v>20.0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ht="12.75" customHeight="1">
      <c r="A2211" s="4">
        <v>3527.0</v>
      </c>
      <c r="B2211" s="4">
        <v>25095.0</v>
      </c>
      <c r="C2211" s="5">
        <f t="shared" ref="C2211:C2212" si="979">DATE(2012,12,31)-706</f>
        <v>40568</v>
      </c>
      <c r="D2211" s="4" t="s">
        <v>21</v>
      </c>
      <c r="E2211" s="4">
        <v>18.0</v>
      </c>
      <c r="F2211" s="4">
        <v>693.06</v>
      </c>
      <c r="G2211" s="4">
        <v>0.06</v>
      </c>
      <c r="H2211" s="4" t="s">
        <v>22</v>
      </c>
      <c r="I2211" s="6">
        <v>148.3</v>
      </c>
      <c r="J2211" s="4">
        <v>39.98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ht="12.75" customHeight="1">
      <c r="A2212" s="4">
        <v>3528.0</v>
      </c>
      <c r="B2212" s="4">
        <v>25095.0</v>
      </c>
      <c r="C2212" s="5">
        <f t="shared" si="979"/>
        <v>40568</v>
      </c>
      <c r="D2212" s="4" t="s">
        <v>21</v>
      </c>
      <c r="E2212" s="4">
        <v>41.0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ht="12.75" customHeight="1">
      <c r="A2213" s="4">
        <v>3544.0</v>
      </c>
      <c r="B2213" s="4">
        <v>25254.0</v>
      </c>
      <c r="C2213" s="5">
        <f>DATE(2012,12,31)-836</f>
        <v>40438</v>
      </c>
      <c r="D2213" s="4" t="s">
        <v>78</v>
      </c>
      <c r="E2213" s="4">
        <v>35.0</v>
      </c>
      <c r="F2213" s="4">
        <v>299.68</v>
      </c>
      <c r="G2213" s="4">
        <v>0.06</v>
      </c>
      <c r="H2213" s="4" t="s">
        <v>22</v>
      </c>
      <c r="I2213" s="6">
        <v>-29.3595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ht="12.75" customHeight="1">
      <c r="A2214" s="4">
        <v>3583.0</v>
      </c>
      <c r="B2214" s="4">
        <v>25542.0</v>
      </c>
      <c r="C2214" s="5">
        <f>DATE(2012,12,31)-1</f>
        <v>41273</v>
      </c>
      <c r="D2214" s="4" t="s">
        <v>21</v>
      </c>
      <c r="E2214" s="4">
        <v>37.0</v>
      </c>
      <c r="F2214" s="4">
        <v>257.46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ht="12.75" customHeight="1">
      <c r="A2215" s="4">
        <v>3584.0</v>
      </c>
      <c r="B2215" s="4">
        <v>25569.0</v>
      </c>
      <c r="C2215" s="5">
        <f>DATE(2012,12,31)-175</f>
        <v>41099</v>
      </c>
      <c r="D2215" s="4" t="s">
        <v>30</v>
      </c>
      <c r="E2215" s="4">
        <v>27.0</v>
      </c>
      <c r="F2215" s="4">
        <v>311.21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80">C2215+2</f>
        <v>41101</v>
      </c>
    </row>
    <row r="2216" ht="12.75" customHeight="1">
      <c r="A2216" s="4">
        <v>3624.0</v>
      </c>
      <c r="B2216" s="4">
        <v>25863.0</v>
      </c>
      <c r="C2216" s="5">
        <f>DATE(2012,12,31)-619</f>
        <v>40655</v>
      </c>
      <c r="D2216" s="4" t="s">
        <v>45</v>
      </c>
      <c r="E2216" s="4">
        <v>18.0</v>
      </c>
      <c r="F2216" s="4">
        <v>340.6885</v>
      </c>
      <c r="G2216" s="4">
        <v>0.0</v>
      </c>
      <c r="H2216" s="4" t="s">
        <v>56</v>
      </c>
      <c r="I2216" s="6">
        <v>-10.846</v>
      </c>
      <c r="J2216" s="4">
        <v>20.99</v>
      </c>
      <c r="K2216" s="4">
        <v>4.81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0.58</v>
      </c>
      <c r="U2216" s="5">
        <f t="shared" si="980"/>
        <v>40657</v>
      </c>
    </row>
    <row r="2217" ht="12.75" customHeight="1">
      <c r="A2217" s="4">
        <v>3626.0</v>
      </c>
      <c r="B2217" s="4">
        <v>25895.0</v>
      </c>
      <c r="C2217" s="5">
        <f>DATE(2012,12,31)-258</f>
        <v>41016</v>
      </c>
      <c r="D2217" s="4" t="s">
        <v>63</v>
      </c>
      <c r="E2217" s="4">
        <v>37.0</v>
      </c>
      <c r="F2217" s="4">
        <v>709.91</v>
      </c>
      <c r="G2217" s="4">
        <v>0.09</v>
      </c>
      <c r="H2217" s="4" t="s">
        <v>22</v>
      </c>
      <c r="I2217" s="6">
        <v>-93.42599999999999</v>
      </c>
      <c r="J2217" s="4">
        <v>19.35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ht="12.75" customHeight="1">
      <c r="A2218" s="4">
        <v>3642.0</v>
      </c>
      <c r="B2218" s="4">
        <v>26050.0</v>
      </c>
      <c r="C2218" s="5">
        <f>DATE(2012,12,31)-564</f>
        <v>40710</v>
      </c>
      <c r="D2218" s="4" t="s">
        <v>30</v>
      </c>
      <c r="E2218" s="4">
        <v>44.0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8.29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ht="12.75" customHeight="1">
      <c r="A2219" s="4">
        <v>3651.0</v>
      </c>
      <c r="B2219" s="4">
        <v>26145.0</v>
      </c>
      <c r="C2219" s="5">
        <f t="shared" ref="C2219:C2221" si="981">DATE(2012,12,31)-546</f>
        <v>40728</v>
      </c>
      <c r="D2219" s="4" t="s">
        <v>21</v>
      </c>
      <c r="E2219" s="4">
        <v>18.0</v>
      </c>
      <c r="F2219" s="4">
        <v>99.36</v>
      </c>
      <c r="G2219" s="4">
        <v>0.0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ht="12.75" customHeight="1">
      <c r="A2220" s="4">
        <v>3652.0</v>
      </c>
      <c r="B2220" s="4">
        <v>26145.0</v>
      </c>
      <c r="C2220" s="5">
        <f t="shared" si="981"/>
        <v>40728</v>
      </c>
      <c r="D2220" s="4" t="s">
        <v>21</v>
      </c>
      <c r="E2220" s="4">
        <v>49.0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0.57</v>
      </c>
      <c r="U2220" s="5">
        <f>C2220+0</f>
        <v>40728</v>
      </c>
    </row>
    <row r="2221" ht="12.75" customHeight="1">
      <c r="A2221" s="4">
        <v>3653.0</v>
      </c>
      <c r="B2221" s="4">
        <v>26145.0</v>
      </c>
      <c r="C2221" s="5">
        <f t="shared" si="981"/>
        <v>40728</v>
      </c>
      <c r="D2221" s="4" t="s">
        <v>21</v>
      </c>
      <c r="E2221" s="4">
        <v>27.0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2">C2221+2</f>
        <v>40730</v>
      </c>
    </row>
    <row r="2222" ht="12.75" customHeight="1">
      <c r="A2222" s="4">
        <v>3671.0</v>
      </c>
      <c r="B2222" s="4">
        <v>26279.0</v>
      </c>
      <c r="C2222" s="5">
        <f>DATE(2012,12,31)-1250</f>
        <v>40024</v>
      </c>
      <c r="D2222" s="4" t="s">
        <v>45</v>
      </c>
      <c r="E2222" s="4">
        <v>7.0</v>
      </c>
      <c r="F2222" s="4">
        <v>211.7435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2"/>
        <v>40026</v>
      </c>
    </row>
    <row r="2223" ht="12.75" customHeight="1">
      <c r="A2223" s="4">
        <v>3694.0</v>
      </c>
      <c r="B2223" s="4">
        <v>26406.0</v>
      </c>
      <c r="C2223" s="5">
        <f>DATE(2012,12,31)-629</f>
        <v>40645</v>
      </c>
      <c r="D2223" s="4" t="s">
        <v>45</v>
      </c>
      <c r="E2223" s="4">
        <v>40.0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ht="12.75" customHeight="1">
      <c r="A2224" s="4">
        <v>3717.0</v>
      </c>
      <c r="B2224" s="4">
        <v>26535.0</v>
      </c>
      <c r="C2224" s="5">
        <f>DATE(2012,12,31)-286</f>
        <v>40988</v>
      </c>
      <c r="D2224" s="4" t="s">
        <v>45</v>
      </c>
      <c r="E2224" s="4">
        <v>33.0</v>
      </c>
      <c r="F2224" s="4">
        <v>141.7</v>
      </c>
      <c r="G2224" s="4">
        <v>0.02</v>
      </c>
      <c r="H2224" s="4" t="s">
        <v>22</v>
      </c>
      <c r="I2224" s="6">
        <v>-103.2125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ht="12.75" customHeight="1">
      <c r="A2225" s="4">
        <v>3731.0</v>
      </c>
      <c r="B2225" s="4">
        <v>26661.0</v>
      </c>
      <c r="C2225" s="5">
        <f>DATE(2012,12,31)-12</f>
        <v>41262</v>
      </c>
      <c r="D2225" s="4" t="s">
        <v>63</v>
      </c>
      <c r="E2225" s="4">
        <v>31.0</v>
      </c>
      <c r="F2225" s="4">
        <v>1772.2244999999998</v>
      </c>
      <c r="G2225" s="4">
        <v>0.02</v>
      </c>
      <c r="H2225" s="4" t="s">
        <v>22</v>
      </c>
      <c r="I2225" s="6">
        <v>390.861</v>
      </c>
      <c r="J2225" s="4">
        <v>65.99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0.57</v>
      </c>
      <c r="U2225" s="5">
        <f t="shared" ref="U2225:U2228" si="983">C2225+1</f>
        <v>41263</v>
      </c>
    </row>
    <row r="2226" ht="12.75" customHeight="1">
      <c r="A2226" s="4">
        <v>3761.0</v>
      </c>
      <c r="B2226" s="4">
        <v>26855.0</v>
      </c>
      <c r="C2226" s="5">
        <f>DATE(2012,12,31)-1387</f>
        <v>39887</v>
      </c>
      <c r="D2226" s="4" t="s">
        <v>30</v>
      </c>
      <c r="E2226" s="4">
        <v>13.0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3"/>
        <v>39888</v>
      </c>
    </row>
    <row r="2227" ht="12.75" customHeight="1">
      <c r="A2227" s="4">
        <v>3794.0</v>
      </c>
      <c r="B2227" s="4">
        <v>27047.0</v>
      </c>
      <c r="C2227" s="5">
        <f t="shared" ref="C2227:C2228" si="984">DATE(2012,12,31)-770</f>
        <v>40504</v>
      </c>
      <c r="D2227" s="4" t="s">
        <v>30</v>
      </c>
      <c r="E2227" s="4">
        <v>25.0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3"/>
        <v>40505</v>
      </c>
    </row>
    <row r="2228" ht="12.75" customHeight="1">
      <c r="A2228" s="4">
        <v>3795.0</v>
      </c>
      <c r="B2228" s="4">
        <v>27047.0</v>
      </c>
      <c r="C2228" s="5">
        <f t="shared" si="984"/>
        <v>40504</v>
      </c>
      <c r="D2228" s="4" t="s">
        <v>30</v>
      </c>
      <c r="E2228" s="4">
        <v>38.0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3"/>
        <v>40505</v>
      </c>
    </row>
    <row r="2229" ht="12.75" customHeight="1">
      <c r="A2229" s="4">
        <v>3796.0</v>
      </c>
      <c r="B2229" s="4">
        <v>27077.0</v>
      </c>
      <c r="C2229" s="5">
        <f>DATE(2012,12,31)-1022</f>
        <v>40252</v>
      </c>
      <c r="D2229" s="4" t="s">
        <v>78</v>
      </c>
      <c r="E2229" s="4">
        <v>11.0</v>
      </c>
      <c r="F2229" s="4">
        <v>1612.93</v>
      </c>
      <c r="G2229" s="4">
        <v>0.0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ht="12.75" customHeight="1">
      <c r="A2230" s="4">
        <v>3820.0</v>
      </c>
      <c r="B2230" s="4">
        <v>27236.0</v>
      </c>
      <c r="C2230" s="5">
        <f>DATE(2012,12,31)-1035</f>
        <v>40239</v>
      </c>
      <c r="D2230" s="4" t="s">
        <v>30</v>
      </c>
      <c r="E2230" s="4">
        <v>20.0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ht="12.75" customHeight="1">
      <c r="A2231" s="4">
        <v>3867.0</v>
      </c>
      <c r="B2231" s="4">
        <v>27589.0</v>
      </c>
      <c r="C2231" s="5">
        <f t="shared" ref="C2231:C2233" si="985">DATE(2012,12,31)-473</f>
        <v>40801</v>
      </c>
      <c r="D2231" s="4" t="s">
        <v>63</v>
      </c>
      <c r="E2231" s="4">
        <v>20.0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39.48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ht="12.75" customHeight="1">
      <c r="A2232" s="4">
        <v>3868.0</v>
      </c>
      <c r="B2232" s="4">
        <v>27589.0</v>
      </c>
      <c r="C2232" s="5">
        <f t="shared" si="985"/>
        <v>40801</v>
      </c>
      <c r="D2232" s="4" t="s">
        <v>63</v>
      </c>
      <c r="E2232" s="4">
        <v>25.0</v>
      </c>
      <c r="F2232" s="4">
        <v>467.0</v>
      </c>
      <c r="G2232" s="4">
        <v>0.04</v>
      </c>
      <c r="H2232" s="4" t="s">
        <v>22</v>
      </c>
      <c r="I2232" s="6">
        <v>69.97</v>
      </c>
      <c r="J2232" s="4">
        <v>17.67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6">C2232+1</f>
        <v>40802</v>
      </c>
    </row>
    <row r="2233" ht="12.75" customHeight="1">
      <c r="A2233" s="4">
        <v>3869.0</v>
      </c>
      <c r="B2233" s="4">
        <v>27589.0</v>
      </c>
      <c r="C2233" s="5">
        <f t="shared" si="985"/>
        <v>40801</v>
      </c>
      <c r="D2233" s="4" t="s">
        <v>63</v>
      </c>
      <c r="E2233" s="4">
        <v>36.0</v>
      </c>
      <c r="F2233" s="4">
        <v>64.43</v>
      </c>
      <c r="G2233" s="4">
        <v>0.07</v>
      </c>
      <c r="H2233" s="4" t="s">
        <v>22</v>
      </c>
      <c r="I2233" s="6">
        <v>-18.64035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6"/>
        <v>40802</v>
      </c>
    </row>
    <row r="2234" ht="12.75" customHeight="1">
      <c r="A2234" s="4">
        <v>3875.0</v>
      </c>
      <c r="B2234" s="4">
        <v>27681.0</v>
      </c>
      <c r="C2234" s="5">
        <f t="shared" ref="C2234:C2235" si="987">DATE(2012,12,31)-768</f>
        <v>40506</v>
      </c>
      <c r="D2234" s="4" t="s">
        <v>63</v>
      </c>
      <c r="E2234" s="4">
        <v>7.0</v>
      </c>
      <c r="F2234" s="4">
        <v>37.8</v>
      </c>
      <c r="G2234" s="4">
        <v>0.06</v>
      </c>
      <c r="H2234" s="4" t="s">
        <v>22</v>
      </c>
      <c r="I2234" s="6">
        <v>-18.31</v>
      </c>
      <c r="J2234" s="4">
        <v>4.98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6"/>
        <v>40507</v>
      </c>
    </row>
    <row r="2235" ht="12.75" customHeight="1">
      <c r="A2235" s="4">
        <v>3876.0</v>
      </c>
      <c r="B2235" s="4">
        <v>27681.0</v>
      </c>
      <c r="C2235" s="5">
        <f t="shared" si="987"/>
        <v>40506</v>
      </c>
      <c r="D2235" s="4" t="s">
        <v>63</v>
      </c>
      <c r="E2235" s="4">
        <v>30.0</v>
      </c>
      <c r="F2235" s="4">
        <v>183.28</v>
      </c>
      <c r="G2235" s="4">
        <v>0.04</v>
      </c>
      <c r="H2235" s="4" t="s">
        <v>22</v>
      </c>
      <c r="I2235" s="6">
        <v>33.88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</v>
      </c>
      <c r="U2235" s="5">
        <f t="shared" ref="U2235:U2237" si="988">C2235+2</f>
        <v>40508</v>
      </c>
    </row>
    <row r="2236" ht="12.75" customHeight="1">
      <c r="A2236" s="4">
        <v>3933.0</v>
      </c>
      <c r="B2236" s="4">
        <v>28033.0</v>
      </c>
      <c r="C2236" s="5">
        <f t="shared" ref="C2236:C2238" si="989">DATE(2012,12,31)-839</f>
        <v>40435</v>
      </c>
      <c r="D2236" s="4" t="s">
        <v>30</v>
      </c>
      <c r="E2236" s="4">
        <v>16.0</v>
      </c>
      <c r="F2236" s="4">
        <v>2826.9</v>
      </c>
      <c r="G2236" s="4">
        <v>0.07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8"/>
        <v>40437</v>
      </c>
    </row>
    <row r="2237" ht="12.75" customHeight="1">
      <c r="A2237" s="4">
        <v>3934.0</v>
      </c>
      <c r="B2237" s="4">
        <v>28033.0</v>
      </c>
      <c r="C2237" s="5">
        <f t="shared" si="989"/>
        <v>40435</v>
      </c>
      <c r="D2237" s="4" t="s">
        <v>30</v>
      </c>
      <c r="E2237" s="4">
        <v>37.0</v>
      </c>
      <c r="F2237" s="4">
        <v>7834.77</v>
      </c>
      <c r="G2237" s="4">
        <v>0.04</v>
      </c>
      <c r="H2237" s="4" t="s">
        <v>31</v>
      </c>
      <c r="I2237" s="6">
        <v>297.79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8"/>
        <v>40437</v>
      </c>
    </row>
    <row r="2238" ht="12.75" customHeight="1">
      <c r="A2238" s="4">
        <v>3935.0</v>
      </c>
      <c r="B2238" s="4">
        <v>28033.0</v>
      </c>
      <c r="C2238" s="5">
        <f t="shared" si="989"/>
        <v>40435</v>
      </c>
      <c r="D2238" s="4" t="s">
        <v>30</v>
      </c>
      <c r="E2238" s="4">
        <v>18.0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ht="12.75" customHeight="1">
      <c r="A2239" s="4">
        <v>3969.0</v>
      </c>
      <c r="B2239" s="4">
        <v>28324.0</v>
      </c>
      <c r="C2239" s="5">
        <f>DATE(2012,12,31)-512</f>
        <v>40762</v>
      </c>
      <c r="D2239" s="4" t="s">
        <v>30</v>
      </c>
      <c r="E2239" s="4">
        <v>48.0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0.58</v>
      </c>
      <c r="U2239" s="5">
        <f t="shared" ref="U2239:U2244" si="990">C2239+2</f>
        <v>40764</v>
      </c>
    </row>
    <row r="2240" ht="12.75" customHeight="1">
      <c r="A2240" s="4">
        <v>4035.0</v>
      </c>
      <c r="B2240" s="4">
        <v>28805.0</v>
      </c>
      <c r="C2240" s="5">
        <f t="shared" ref="C2240:C2242" si="991">DATE(2012,12,31)-639</f>
        <v>40635</v>
      </c>
      <c r="D2240" s="4" t="s">
        <v>63</v>
      </c>
      <c r="E2240" s="4">
        <v>14.0</v>
      </c>
      <c r="F2240" s="4">
        <v>97.93</v>
      </c>
      <c r="G2240" s="4">
        <v>0.07</v>
      </c>
      <c r="H2240" s="4" t="s">
        <v>22</v>
      </c>
      <c r="I2240" s="6">
        <v>-616.81</v>
      </c>
      <c r="J2240" s="4">
        <v>3.48</v>
      </c>
      <c r="K2240" s="4">
        <v>49.0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90"/>
        <v>40637</v>
      </c>
    </row>
    <row r="2241" ht="12.75" customHeight="1">
      <c r="A2241" s="4">
        <v>4036.0</v>
      </c>
      <c r="B2241" s="4">
        <v>28805.0</v>
      </c>
      <c r="C2241" s="5">
        <f t="shared" si="991"/>
        <v>40635</v>
      </c>
      <c r="D2241" s="4" t="s">
        <v>63</v>
      </c>
      <c r="E2241" s="4">
        <v>4.0</v>
      </c>
      <c r="F2241" s="4">
        <v>25.52</v>
      </c>
      <c r="G2241" s="4">
        <v>0.07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90"/>
        <v>40637</v>
      </c>
    </row>
    <row r="2242" ht="12.75" customHeight="1">
      <c r="A2242" s="4">
        <v>4037.0</v>
      </c>
      <c r="B2242" s="4">
        <v>28805.0</v>
      </c>
      <c r="C2242" s="5">
        <f t="shared" si="991"/>
        <v>40635</v>
      </c>
      <c r="D2242" s="4" t="s">
        <v>63</v>
      </c>
      <c r="E2242" s="4">
        <v>46.0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90"/>
        <v>40637</v>
      </c>
    </row>
    <row r="2243" ht="12.75" customHeight="1">
      <c r="A2243" s="4">
        <v>4052.0</v>
      </c>
      <c r="B2243" s="4">
        <v>28897.0</v>
      </c>
      <c r="C2243" s="5">
        <f t="shared" ref="C2243:C2244" si="992">DATE(2012,12,31)-1225</f>
        <v>40049</v>
      </c>
      <c r="D2243" s="4" t="s">
        <v>63</v>
      </c>
      <c r="E2243" s="4">
        <v>35.0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90"/>
        <v>40051</v>
      </c>
    </row>
    <row r="2244" ht="12.75" customHeight="1">
      <c r="A2244" s="4">
        <v>4053.0</v>
      </c>
      <c r="B2244" s="4">
        <v>28897.0</v>
      </c>
      <c r="C2244" s="5">
        <f t="shared" si="992"/>
        <v>40049</v>
      </c>
      <c r="D2244" s="4" t="s">
        <v>63</v>
      </c>
      <c r="E2244" s="4">
        <v>14.0</v>
      </c>
      <c r="F2244" s="4">
        <v>877.47</v>
      </c>
      <c r="G2244" s="4">
        <v>0.07</v>
      </c>
      <c r="H2244" s="4" t="s">
        <v>22</v>
      </c>
      <c r="I2244" s="6">
        <v>151.24</v>
      </c>
      <c r="J2244" s="4">
        <v>60.98</v>
      </c>
      <c r="K2244" s="4">
        <v>19.99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90"/>
        <v>40051</v>
      </c>
    </row>
    <row r="2245" ht="12.75" customHeight="1">
      <c r="A2245" s="4">
        <v>4062.0</v>
      </c>
      <c r="B2245" s="4">
        <v>28932.0</v>
      </c>
      <c r="C2245" s="5">
        <f t="shared" ref="C2245:C2246" si="993">DATE(2012,12,31)-894</f>
        <v>40380</v>
      </c>
      <c r="D2245" s="4" t="s">
        <v>21</v>
      </c>
      <c r="E2245" s="4">
        <v>24.0</v>
      </c>
      <c r="F2245" s="4">
        <v>269.57</v>
      </c>
      <c r="G2245" s="4">
        <v>0.0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ht="12.75" customHeight="1">
      <c r="A2246" s="4">
        <v>4063.0</v>
      </c>
      <c r="B2246" s="4">
        <v>28932.0</v>
      </c>
      <c r="C2246" s="5">
        <f t="shared" si="993"/>
        <v>40380</v>
      </c>
      <c r="D2246" s="4" t="s">
        <v>21</v>
      </c>
      <c r="E2246" s="4">
        <v>18.0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</v>
      </c>
      <c r="U2246" s="5">
        <f>C2246+7</f>
        <v>40387</v>
      </c>
    </row>
    <row r="2247" ht="12.75" customHeight="1">
      <c r="A2247" s="4">
        <v>4105.0</v>
      </c>
      <c r="B2247" s="4">
        <v>29219.0</v>
      </c>
      <c r="C2247" s="5">
        <f>DATE(2012,12,31)-1361</f>
        <v>39913</v>
      </c>
      <c r="D2247" s="4" t="s">
        <v>45</v>
      </c>
      <c r="E2247" s="4">
        <v>29.0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ht="12.75" customHeight="1">
      <c r="A2248" s="4">
        <v>4145.0</v>
      </c>
      <c r="B2248" s="4">
        <v>29410.0</v>
      </c>
      <c r="C2248" s="5">
        <f t="shared" ref="C2248:C2249" si="994">DATE(2012,12,31)-1201</f>
        <v>40073</v>
      </c>
      <c r="D2248" s="4" t="s">
        <v>78</v>
      </c>
      <c r="E2248" s="4">
        <v>35.0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ht="12.75" customHeight="1">
      <c r="A2249" s="4">
        <v>4146.0</v>
      </c>
      <c r="B2249" s="4">
        <v>29410.0</v>
      </c>
      <c r="C2249" s="5">
        <f t="shared" si="994"/>
        <v>40073</v>
      </c>
      <c r="D2249" s="4" t="s">
        <v>78</v>
      </c>
      <c r="E2249" s="4">
        <v>36.0</v>
      </c>
      <c r="F2249" s="4">
        <v>6057.27</v>
      </c>
      <c r="G2249" s="4">
        <v>0.0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ht="12.75" customHeight="1">
      <c r="A2250" s="4">
        <v>4147.0</v>
      </c>
      <c r="B2250" s="4">
        <v>29411.0</v>
      </c>
      <c r="C2250" s="5">
        <f t="shared" ref="C2250:C2253" si="995">DATE(2012,12,31)-269</f>
        <v>41005</v>
      </c>
      <c r="D2250" s="4" t="s">
        <v>30</v>
      </c>
      <c r="E2250" s="4">
        <v>29.0</v>
      </c>
      <c r="F2250" s="4">
        <v>67.87</v>
      </c>
      <c r="G2250" s="4">
        <v>0.07</v>
      </c>
      <c r="H2250" s="4" t="s">
        <v>22</v>
      </c>
      <c r="I2250" s="6">
        <v>-112.54</v>
      </c>
      <c r="J2250" s="4">
        <v>2.22</v>
      </c>
      <c r="K2250" s="4">
        <v>5.0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</v>
      </c>
      <c r="U2250" s="5">
        <f t="shared" ref="U2250:U2251" si="996">C2250+1</f>
        <v>41006</v>
      </c>
    </row>
    <row r="2251" ht="12.75" customHeight="1">
      <c r="A2251" s="4">
        <v>4148.0</v>
      </c>
      <c r="B2251" s="4">
        <v>29411.0</v>
      </c>
      <c r="C2251" s="5">
        <f t="shared" si="995"/>
        <v>41005</v>
      </c>
      <c r="D2251" s="4" t="s">
        <v>30</v>
      </c>
      <c r="E2251" s="4">
        <v>33.0</v>
      </c>
      <c r="F2251" s="4">
        <v>542.24</v>
      </c>
      <c r="G2251" s="4">
        <v>0.02</v>
      </c>
      <c r="H2251" s="4" t="s">
        <v>22</v>
      </c>
      <c r="I2251" s="6">
        <v>268.53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6"/>
        <v>41006</v>
      </c>
    </row>
    <row r="2252" ht="12.75" customHeight="1">
      <c r="A2252" s="4">
        <v>4149.0</v>
      </c>
      <c r="B2252" s="4">
        <v>29411.0</v>
      </c>
      <c r="C2252" s="5">
        <f t="shared" si="995"/>
        <v>41005</v>
      </c>
      <c r="D2252" s="4" t="s">
        <v>30</v>
      </c>
      <c r="E2252" s="4">
        <v>38.0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7">C2252+0</f>
        <v>41005</v>
      </c>
    </row>
    <row r="2253" ht="12.75" customHeight="1">
      <c r="A2253" s="4">
        <v>4150.0</v>
      </c>
      <c r="B2253" s="4">
        <v>29411.0</v>
      </c>
      <c r="C2253" s="5">
        <f t="shared" si="995"/>
        <v>41005</v>
      </c>
      <c r="D2253" s="4" t="s">
        <v>30</v>
      </c>
      <c r="E2253" s="4">
        <v>45.0</v>
      </c>
      <c r="F2253" s="4">
        <v>1084.12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7"/>
        <v>41005</v>
      </c>
    </row>
    <row r="2254" ht="12.75" customHeight="1">
      <c r="A2254" s="4">
        <v>4154.0</v>
      </c>
      <c r="B2254" s="4">
        <v>29475.0</v>
      </c>
      <c r="C2254" s="5">
        <f t="shared" ref="C2254:C2255" si="998">DATE(2012,12,31)-1043</f>
        <v>40231</v>
      </c>
      <c r="D2254" s="4" t="s">
        <v>30</v>
      </c>
      <c r="E2254" s="4">
        <v>49.0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ht="12.75" customHeight="1">
      <c r="A2255" s="4">
        <v>4155.0</v>
      </c>
      <c r="B2255" s="4">
        <v>29475.0</v>
      </c>
      <c r="C2255" s="5">
        <f t="shared" si="998"/>
        <v>40231</v>
      </c>
      <c r="D2255" s="4" t="s">
        <v>30</v>
      </c>
      <c r="E2255" s="4">
        <v>2.0</v>
      </c>
      <c r="F2255" s="4">
        <v>1814.82</v>
      </c>
      <c r="G2255" s="4">
        <v>0.0</v>
      </c>
      <c r="H2255" s="4" t="s">
        <v>31</v>
      </c>
      <c r="I2255" s="6">
        <v>-1128.66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ht="12.75" customHeight="1">
      <c r="A2256" s="4">
        <v>4168.0</v>
      </c>
      <c r="B2256" s="4">
        <v>29537.0</v>
      </c>
      <c r="C2256" s="5">
        <f>DATE(2012,12,31)-103</f>
        <v>41171</v>
      </c>
      <c r="D2256" s="4" t="s">
        <v>21</v>
      </c>
      <c r="E2256" s="4">
        <v>30.0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ht="12.75" customHeight="1">
      <c r="A2257" s="4">
        <v>4181.0</v>
      </c>
      <c r="B2257" s="4">
        <v>29671.0</v>
      </c>
      <c r="C2257" s="5">
        <f>DATE(2012,12,31)-1015</f>
        <v>40259</v>
      </c>
      <c r="D2257" s="4" t="s">
        <v>78</v>
      </c>
      <c r="E2257" s="4">
        <v>43.0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9">C2257+1</f>
        <v>40260</v>
      </c>
    </row>
    <row r="2258" ht="12.75" customHeight="1">
      <c r="A2258" s="4">
        <v>4208.0</v>
      </c>
      <c r="B2258" s="4">
        <v>29895.0</v>
      </c>
      <c r="C2258" s="5">
        <f>DATE(2012,12,31)-803</f>
        <v>40471</v>
      </c>
      <c r="D2258" s="4" t="s">
        <v>63</v>
      </c>
      <c r="E2258" s="4">
        <v>43.0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160.98</v>
      </c>
      <c r="K2258" s="4">
        <v>35.02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9"/>
        <v>40472</v>
      </c>
    </row>
    <row r="2259" ht="12.75" customHeight="1">
      <c r="A2259" s="4">
        <v>4256.0</v>
      </c>
      <c r="B2259" s="4">
        <v>30308.0</v>
      </c>
      <c r="C2259" s="5">
        <f>DATE(2012,12,31)-1016</f>
        <v>40258</v>
      </c>
      <c r="D2259" s="4" t="s">
        <v>63</v>
      </c>
      <c r="E2259" s="4">
        <v>15.0</v>
      </c>
      <c r="F2259" s="4">
        <v>30.38</v>
      </c>
      <c r="G2259" s="4">
        <v>0.08</v>
      </c>
      <c r="H2259" s="4" t="s">
        <v>22</v>
      </c>
      <c r="I2259" s="6">
        <v>-59.179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9"/>
        <v>40259</v>
      </c>
    </row>
    <row r="2260" ht="12.75" customHeight="1">
      <c r="A2260" s="4">
        <v>4277.0</v>
      </c>
      <c r="B2260" s="4">
        <v>30436.0</v>
      </c>
      <c r="C2260" s="5">
        <f>DATE(2012,12,31)-177</f>
        <v>41097</v>
      </c>
      <c r="D2260" s="4" t="s">
        <v>21</v>
      </c>
      <c r="E2260" s="4">
        <v>30.0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ht="12.75" customHeight="1">
      <c r="A2261" s="4">
        <v>4326.0</v>
      </c>
      <c r="B2261" s="4">
        <v>30820.0</v>
      </c>
      <c r="C2261" s="5">
        <f>DATE(2012,12,31)-632</f>
        <v>40642</v>
      </c>
      <c r="D2261" s="4" t="s">
        <v>78</v>
      </c>
      <c r="E2261" s="4">
        <v>21.0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0.58</v>
      </c>
      <c r="U2261" s="5">
        <f t="shared" ref="U2261:U2262" si="1000">C2261+1</f>
        <v>40643</v>
      </c>
    </row>
    <row r="2262" ht="12.75" customHeight="1">
      <c r="A2262" s="4">
        <v>4357.0</v>
      </c>
      <c r="B2262" s="4">
        <v>31046.0</v>
      </c>
      <c r="C2262" s="5">
        <f t="shared" ref="C2262:C2263" si="1001">DATE(2012,12,31)-693</f>
        <v>40581</v>
      </c>
      <c r="D2262" s="4" t="s">
        <v>78</v>
      </c>
      <c r="E2262" s="4">
        <v>42.0</v>
      </c>
      <c r="F2262" s="4">
        <v>3900.5309999999995</v>
      </c>
      <c r="G2262" s="4">
        <v>0.08</v>
      </c>
      <c r="H2262" s="4" t="s">
        <v>22</v>
      </c>
      <c r="I2262" s="6">
        <v>1144.629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0.57</v>
      </c>
      <c r="U2262" s="5">
        <f t="shared" si="1000"/>
        <v>40582</v>
      </c>
    </row>
    <row r="2263" ht="12.75" customHeight="1">
      <c r="A2263" s="4">
        <v>4358.0</v>
      </c>
      <c r="B2263" s="4">
        <v>31046.0</v>
      </c>
      <c r="C2263" s="5">
        <f t="shared" si="1001"/>
        <v>40581</v>
      </c>
      <c r="D2263" s="4" t="s">
        <v>78</v>
      </c>
      <c r="E2263" s="4">
        <v>35.0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0.58</v>
      </c>
      <c r="U2263" s="5">
        <f>C2263+3</f>
        <v>40584</v>
      </c>
    </row>
    <row r="2264" ht="12.75" customHeight="1">
      <c r="A2264" s="4">
        <v>4396.0</v>
      </c>
      <c r="B2264" s="4">
        <v>31301.0</v>
      </c>
      <c r="C2264" s="5">
        <f>DATE(2012,12,31)-805</f>
        <v>40469</v>
      </c>
      <c r="D2264" s="4" t="s">
        <v>21</v>
      </c>
      <c r="E2264" s="4">
        <v>31.0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ht="12.75" customHeight="1">
      <c r="A2265" s="4">
        <v>4415.0</v>
      </c>
      <c r="B2265" s="4">
        <v>31495.0</v>
      </c>
      <c r="C2265" s="5">
        <f t="shared" ref="C2265:C2266" si="1002">DATE(2012,12,31)-880</f>
        <v>40394</v>
      </c>
      <c r="D2265" s="4" t="s">
        <v>21</v>
      </c>
      <c r="E2265" s="4">
        <v>20.0</v>
      </c>
      <c r="F2265" s="4">
        <v>191.43</v>
      </c>
      <c r="G2265" s="4">
        <v>0.06</v>
      </c>
      <c r="H2265" s="4" t="s">
        <v>56</v>
      </c>
      <c r="I2265" s="6">
        <v>39.4995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ht="12.75" customHeight="1">
      <c r="A2266" s="4">
        <v>4416.0</v>
      </c>
      <c r="B2266" s="4">
        <v>31495.0</v>
      </c>
      <c r="C2266" s="5">
        <f t="shared" si="1002"/>
        <v>40394</v>
      </c>
      <c r="D2266" s="4" t="s">
        <v>21</v>
      </c>
      <c r="E2266" s="4">
        <v>34.0</v>
      </c>
      <c r="F2266" s="4">
        <v>1234.85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0.57</v>
      </c>
      <c r="U2266" s="5">
        <f>C2266+7</f>
        <v>40401</v>
      </c>
    </row>
    <row r="2267" ht="12.75" customHeight="1">
      <c r="A2267" s="4">
        <v>4420.0</v>
      </c>
      <c r="B2267" s="4">
        <v>31523.0</v>
      </c>
      <c r="C2267" s="5">
        <f t="shared" ref="C2267:C2268" si="1003">DATE(2012,12,31)-298</f>
        <v>40976</v>
      </c>
      <c r="D2267" s="4" t="s">
        <v>21</v>
      </c>
      <c r="E2267" s="4">
        <v>17.0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ht="12.75" customHeight="1">
      <c r="A2268" s="4">
        <v>4421.0</v>
      </c>
      <c r="B2268" s="4">
        <v>31523.0</v>
      </c>
      <c r="C2268" s="5">
        <f t="shared" si="1003"/>
        <v>40976</v>
      </c>
      <c r="D2268" s="4" t="s">
        <v>21</v>
      </c>
      <c r="E2268" s="4">
        <v>19.0</v>
      </c>
      <c r="F2268" s="4">
        <v>179.33</v>
      </c>
      <c r="G2268" s="4">
        <v>0.0</v>
      </c>
      <c r="H2268" s="4" t="s">
        <v>22</v>
      </c>
      <c r="I2268" s="6">
        <v>-58.76</v>
      </c>
      <c r="J2268" s="4">
        <v>8.74</v>
      </c>
      <c r="K2268" s="4">
        <v>8.29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ht="12.75" customHeight="1">
      <c r="A2269" s="4">
        <v>4423.0</v>
      </c>
      <c r="B2269" s="4">
        <v>31552.0</v>
      </c>
      <c r="C2269" s="5">
        <f t="shared" ref="C2269:C2270" si="1004">DATE(2012,12,31)-50</f>
        <v>41224</v>
      </c>
      <c r="D2269" s="4" t="s">
        <v>30</v>
      </c>
      <c r="E2269" s="4">
        <v>17.0</v>
      </c>
      <c r="F2269" s="4">
        <v>378.08</v>
      </c>
      <c r="G2269" s="4">
        <v>0.0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ht="12.75" customHeight="1">
      <c r="A2270" s="4">
        <v>4424.0</v>
      </c>
      <c r="B2270" s="4">
        <v>31552.0</v>
      </c>
      <c r="C2270" s="5">
        <f t="shared" si="1004"/>
        <v>41224</v>
      </c>
      <c r="D2270" s="4" t="s">
        <v>30</v>
      </c>
      <c r="E2270" s="4">
        <v>24.0</v>
      </c>
      <c r="F2270" s="4">
        <v>731.71</v>
      </c>
      <c r="G2270" s="4">
        <v>0.0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ht="12.75" customHeight="1">
      <c r="A2271" s="4">
        <v>4480.0</v>
      </c>
      <c r="B2271" s="4">
        <v>31877.0</v>
      </c>
      <c r="C2271" s="5">
        <f>DATE(2012,12,31)-1281</f>
        <v>39993</v>
      </c>
      <c r="D2271" s="4" t="s">
        <v>63</v>
      </c>
      <c r="E2271" s="4">
        <v>34.0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8.37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ht="12.75" customHeight="1">
      <c r="A2272" s="4">
        <v>4501.0</v>
      </c>
      <c r="B2272" s="4">
        <v>32037.0</v>
      </c>
      <c r="C2272" s="5">
        <f t="shared" ref="C2272:C2273" si="1005">DATE(2012,12,31)-1414</f>
        <v>39860</v>
      </c>
      <c r="D2272" s="4" t="s">
        <v>21</v>
      </c>
      <c r="E2272" s="4">
        <v>37.0</v>
      </c>
      <c r="F2272" s="4">
        <v>311.66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ht="12.75" customHeight="1">
      <c r="A2273" s="4">
        <v>4502.0</v>
      </c>
      <c r="B2273" s="4">
        <v>32037.0</v>
      </c>
      <c r="C2273" s="5">
        <f t="shared" si="1005"/>
        <v>39860</v>
      </c>
      <c r="D2273" s="4" t="s">
        <v>21</v>
      </c>
      <c r="E2273" s="4">
        <v>15.0</v>
      </c>
      <c r="F2273" s="4">
        <v>9862.51</v>
      </c>
      <c r="G2273" s="4">
        <v>0.07</v>
      </c>
      <c r="H2273" s="4" t="s">
        <v>22</v>
      </c>
      <c r="I2273" s="6">
        <v>325.29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ht="12.75" customHeight="1">
      <c r="A2274" s="4">
        <v>4515.0</v>
      </c>
      <c r="B2274" s="4">
        <v>32131.0</v>
      </c>
      <c r="C2274" s="5">
        <f>DATE(2012,12,31)-735</f>
        <v>40539</v>
      </c>
      <c r="D2274" s="4" t="s">
        <v>78</v>
      </c>
      <c r="E2274" s="4">
        <v>34.0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6">C2274+2</f>
        <v>40541</v>
      </c>
    </row>
    <row r="2275" ht="12.75" customHeight="1">
      <c r="A2275" s="4">
        <v>4516.0</v>
      </c>
      <c r="B2275" s="4">
        <v>32135.0</v>
      </c>
      <c r="C2275" s="5">
        <f t="shared" ref="C2275:C2276" si="1007">DATE(2012,12,31)-767</f>
        <v>40507</v>
      </c>
      <c r="D2275" s="4" t="s">
        <v>30</v>
      </c>
      <c r="E2275" s="4">
        <v>37.0</v>
      </c>
      <c r="F2275" s="4">
        <v>1575.14</v>
      </c>
      <c r="G2275" s="4">
        <v>0.0</v>
      </c>
      <c r="H2275" s="4" t="s">
        <v>22</v>
      </c>
      <c r="I2275" s="6">
        <v>160.68</v>
      </c>
      <c r="J2275" s="4">
        <v>39.98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6"/>
        <v>40509</v>
      </c>
    </row>
    <row r="2276" ht="12.75" customHeight="1">
      <c r="A2276" s="4">
        <v>4517.0</v>
      </c>
      <c r="B2276" s="4">
        <v>32135.0</v>
      </c>
      <c r="C2276" s="5">
        <f t="shared" si="1007"/>
        <v>40507</v>
      </c>
      <c r="D2276" s="4" t="s">
        <v>30</v>
      </c>
      <c r="E2276" s="4">
        <v>16.0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6"/>
        <v>40509</v>
      </c>
    </row>
    <row r="2277" ht="12.75" customHeight="1">
      <c r="A2277" s="4">
        <v>4526.0</v>
      </c>
      <c r="B2277" s="4">
        <v>32195.0</v>
      </c>
      <c r="C2277" s="5">
        <f>DATE(2012,12,31)-1132</f>
        <v>40142</v>
      </c>
      <c r="D2277" s="4" t="s">
        <v>63</v>
      </c>
      <c r="E2277" s="4">
        <v>7.0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ht="12.75" customHeight="1">
      <c r="A2278" s="4">
        <v>4534.0</v>
      </c>
      <c r="B2278" s="4">
        <v>32230.0</v>
      </c>
      <c r="C2278" s="5">
        <f>DATE(2012,12,31)-134</f>
        <v>41140</v>
      </c>
      <c r="D2278" s="4" t="s">
        <v>30</v>
      </c>
      <c r="E2278" s="4">
        <v>46.0</v>
      </c>
      <c r="F2278" s="4">
        <v>1753.75</v>
      </c>
      <c r="G2278" s="4">
        <v>0.07</v>
      </c>
      <c r="H2278" s="4" t="s">
        <v>22</v>
      </c>
      <c r="I2278" s="6">
        <v>215.11</v>
      </c>
      <c r="J2278" s="4">
        <v>39.98</v>
      </c>
      <c r="K2278" s="4">
        <v>9.2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8">C2278+1</f>
        <v>41141</v>
      </c>
    </row>
    <row r="2279" ht="12.75" customHeight="1">
      <c r="A2279" s="4">
        <v>4562.0</v>
      </c>
      <c r="B2279" s="4">
        <v>32451.0</v>
      </c>
      <c r="C2279" s="5">
        <f>DATE(2012,12,31)-1378</f>
        <v>39896</v>
      </c>
      <c r="D2279" s="4" t="s">
        <v>45</v>
      </c>
      <c r="E2279" s="4">
        <v>42.0</v>
      </c>
      <c r="F2279" s="4">
        <v>580.56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8"/>
        <v>39897</v>
      </c>
    </row>
    <row r="2280" ht="12.75" customHeight="1">
      <c r="A2280" s="4">
        <v>4590.0</v>
      </c>
      <c r="B2280" s="4">
        <v>32642.0</v>
      </c>
      <c r="C2280" s="5">
        <f>DATE(2012,12,31)-277</f>
        <v>40997</v>
      </c>
      <c r="D2280" s="4" t="s">
        <v>63</v>
      </c>
      <c r="E2280" s="4">
        <v>50.0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ht="12.75" customHeight="1">
      <c r="A2281" s="4">
        <v>4603.0</v>
      </c>
      <c r="B2281" s="4">
        <v>32803.0</v>
      </c>
      <c r="C2281" s="5">
        <f t="shared" ref="C2281:C2282" si="1009">DATE(2012,12,31)-381</f>
        <v>40893</v>
      </c>
      <c r="D2281" s="4" t="s">
        <v>63</v>
      </c>
      <c r="E2281" s="4">
        <v>49.0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ht="12.75" customHeight="1">
      <c r="A2282" s="4">
        <v>4604.0</v>
      </c>
      <c r="B2282" s="4">
        <v>32803.0</v>
      </c>
      <c r="C2282" s="5">
        <f t="shared" si="1009"/>
        <v>40893</v>
      </c>
      <c r="D2282" s="4" t="s">
        <v>63</v>
      </c>
      <c r="E2282" s="4">
        <v>22.0</v>
      </c>
      <c r="F2282" s="4">
        <v>96.07</v>
      </c>
      <c r="G2282" s="4">
        <v>0.06</v>
      </c>
      <c r="H2282" s="4" t="s">
        <v>22</v>
      </c>
      <c r="I2282" s="6">
        <v>-4.36</v>
      </c>
      <c r="J2282" s="4">
        <v>4.48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ht="12.75" customHeight="1">
      <c r="A2283" s="4">
        <v>4610.0</v>
      </c>
      <c r="B2283" s="4">
        <v>32834.0</v>
      </c>
      <c r="C2283" s="5">
        <f>DATE(2012,12,31)-857</f>
        <v>40417</v>
      </c>
      <c r="D2283" s="4" t="s">
        <v>78</v>
      </c>
      <c r="E2283" s="4">
        <v>39.0</v>
      </c>
      <c r="F2283" s="4">
        <v>3460.5625</v>
      </c>
      <c r="G2283" s="4">
        <v>0.1</v>
      </c>
      <c r="H2283" s="4" t="s">
        <v>22</v>
      </c>
      <c r="I2283" s="6">
        <v>573.057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0.58</v>
      </c>
      <c r="U2283" s="5">
        <f t="shared" ref="U2283:U2284" si="1010">C2283+1</f>
        <v>40418</v>
      </c>
    </row>
    <row r="2284" ht="12.75" customHeight="1">
      <c r="A2284" s="4">
        <v>4666.0</v>
      </c>
      <c r="B2284" s="4">
        <v>33219.0</v>
      </c>
      <c r="C2284" s="5">
        <f>DATE(2012,12,31)-387</f>
        <v>40887</v>
      </c>
      <c r="D2284" s="4" t="s">
        <v>30</v>
      </c>
      <c r="E2284" s="4">
        <v>32.0</v>
      </c>
      <c r="F2284" s="4">
        <v>7341.96</v>
      </c>
      <c r="G2284" s="4">
        <v>0.0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10"/>
        <v>40888</v>
      </c>
    </row>
    <row r="2285" ht="12.75" customHeight="1">
      <c r="A2285" s="4">
        <v>4697.0</v>
      </c>
      <c r="B2285" s="4">
        <v>33477.0</v>
      </c>
      <c r="C2285" s="5">
        <f>DATE(2012,12,31)-73</f>
        <v>41201</v>
      </c>
      <c r="D2285" s="4" t="s">
        <v>30</v>
      </c>
      <c r="E2285" s="4">
        <v>28.0</v>
      </c>
      <c r="F2285" s="4">
        <v>269.28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ht="12.75" customHeight="1">
      <c r="A2286" s="4">
        <v>4793.0</v>
      </c>
      <c r="B2286" s="4">
        <v>34082.0</v>
      </c>
      <c r="C2286" s="5">
        <f t="shared" ref="C2286:C2288" si="1011">DATE(2012,12,31)-430</f>
        <v>40844</v>
      </c>
      <c r="D2286" s="4" t="s">
        <v>45</v>
      </c>
      <c r="E2286" s="4">
        <v>19.0</v>
      </c>
      <c r="F2286" s="4">
        <v>2536.18</v>
      </c>
      <c r="G2286" s="4">
        <v>0.1</v>
      </c>
      <c r="H2286" s="4" t="s">
        <v>22</v>
      </c>
      <c r="I2286" s="6">
        <v>350.62</v>
      </c>
      <c r="J2286" s="4">
        <v>142.86</v>
      </c>
      <c r="K2286" s="4">
        <v>19.99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</v>
      </c>
      <c r="U2286" s="5">
        <f t="shared" ref="U2286:U2287" si="1012">C2286+1</f>
        <v>40845</v>
      </c>
    </row>
    <row r="2287" ht="12.75" customHeight="1">
      <c r="A2287" s="4">
        <v>4794.0</v>
      </c>
      <c r="B2287" s="4">
        <v>34082.0</v>
      </c>
      <c r="C2287" s="5">
        <f t="shared" si="1011"/>
        <v>40844</v>
      </c>
      <c r="D2287" s="4" t="s">
        <v>45</v>
      </c>
      <c r="E2287" s="4">
        <v>20.0</v>
      </c>
      <c r="F2287" s="4">
        <v>38.56</v>
      </c>
      <c r="G2287" s="4">
        <v>0.07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2"/>
        <v>40845</v>
      </c>
    </row>
    <row r="2288" ht="12.75" customHeight="1">
      <c r="A2288" s="4">
        <v>4795.0</v>
      </c>
      <c r="B2288" s="4">
        <v>34082.0</v>
      </c>
      <c r="C2288" s="5">
        <f t="shared" si="1011"/>
        <v>40844</v>
      </c>
      <c r="D2288" s="4" t="s">
        <v>45</v>
      </c>
      <c r="E2288" s="4">
        <v>35.0</v>
      </c>
      <c r="F2288" s="4">
        <v>764.32</v>
      </c>
      <c r="G2288" s="4">
        <v>0.02</v>
      </c>
      <c r="H2288" s="4" t="s">
        <v>22</v>
      </c>
      <c r="I2288" s="6">
        <v>-34.59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ht="12.75" customHeight="1">
      <c r="A2289" s="4">
        <v>4811.0</v>
      </c>
      <c r="B2289" s="4">
        <v>34211.0</v>
      </c>
      <c r="C2289" s="5">
        <f>DATE(2012,12,31)-322</f>
        <v>40952</v>
      </c>
      <c r="D2289" s="4" t="s">
        <v>45</v>
      </c>
      <c r="E2289" s="4">
        <v>15.0</v>
      </c>
      <c r="F2289" s="4">
        <v>136.49</v>
      </c>
      <c r="G2289" s="4">
        <v>0.1</v>
      </c>
      <c r="H2289" s="4" t="s">
        <v>22</v>
      </c>
      <c r="I2289" s="6">
        <v>36.23</v>
      </c>
      <c r="J2289" s="4">
        <v>9.93</v>
      </c>
      <c r="K2289" s="4">
        <v>1.09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ht="12.75" customHeight="1">
      <c r="A2290" s="4">
        <v>4817.0</v>
      </c>
      <c r="B2290" s="4">
        <v>34244.0</v>
      </c>
      <c r="C2290" s="5">
        <f t="shared" ref="C2290:C2291" si="1013">DATE(2012,12,31)-824</f>
        <v>40450</v>
      </c>
      <c r="D2290" s="4" t="s">
        <v>21</v>
      </c>
      <c r="E2290" s="4">
        <v>25.0</v>
      </c>
      <c r="F2290" s="4">
        <v>205.3</v>
      </c>
      <c r="G2290" s="4">
        <v>0.0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ht="12.75" customHeight="1">
      <c r="A2291" s="4">
        <v>4818.0</v>
      </c>
      <c r="B2291" s="4">
        <v>34244.0</v>
      </c>
      <c r="C2291" s="5">
        <f t="shared" si="1013"/>
        <v>40450</v>
      </c>
      <c r="D2291" s="4" t="s">
        <v>21</v>
      </c>
      <c r="E2291" s="4">
        <v>4.0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ht="12.75" customHeight="1">
      <c r="A2292" s="4">
        <v>4867.0</v>
      </c>
      <c r="B2292" s="4">
        <v>34658.0</v>
      </c>
      <c r="C2292" s="5">
        <f>DATE(2012,12,31)-774</f>
        <v>40500</v>
      </c>
      <c r="D2292" s="4" t="s">
        <v>63</v>
      </c>
      <c r="E2292" s="4">
        <v>33.0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ht="12.75" customHeight="1">
      <c r="A2293" s="4">
        <v>4890.0</v>
      </c>
      <c r="B2293" s="4">
        <v>34788.0</v>
      </c>
      <c r="C2293" s="5">
        <f>DATE(2012,12,31)-1148</f>
        <v>40126</v>
      </c>
      <c r="D2293" s="4" t="s">
        <v>30</v>
      </c>
      <c r="E2293" s="4">
        <v>4.0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ht="12.75" customHeight="1">
      <c r="A2294" s="4">
        <v>4907.0</v>
      </c>
      <c r="B2294" s="4">
        <v>34918.0</v>
      </c>
      <c r="C2294" s="5">
        <f t="shared" ref="C2294:C2295" si="1014">DATE(2012,12,31)-1165</f>
        <v>40109</v>
      </c>
      <c r="D2294" s="4" t="s">
        <v>63</v>
      </c>
      <c r="E2294" s="4">
        <v>12.0</v>
      </c>
      <c r="F2294" s="4">
        <v>2230.97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ht="12.75" customHeight="1">
      <c r="A2295" s="4">
        <v>4908.0</v>
      </c>
      <c r="B2295" s="4">
        <v>34918.0</v>
      </c>
      <c r="C2295" s="5">
        <f t="shared" si="1014"/>
        <v>40109</v>
      </c>
      <c r="D2295" s="4" t="s">
        <v>63</v>
      </c>
      <c r="E2295" s="4">
        <v>25.0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5">C2295+2</f>
        <v>40111</v>
      </c>
    </row>
    <row r="2296" ht="12.75" customHeight="1">
      <c r="A2296" s="4">
        <v>4931.0</v>
      </c>
      <c r="B2296" s="4">
        <v>35079.0</v>
      </c>
      <c r="C2296" s="5">
        <f t="shared" ref="C2296:C2297" si="1016">DATE(2012,12,31)-870</f>
        <v>40404</v>
      </c>
      <c r="D2296" s="4" t="s">
        <v>30</v>
      </c>
      <c r="E2296" s="4">
        <v>13.0</v>
      </c>
      <c r="F2296" s="4">
        <v>71.57</v>
      </c>
      <c r="G2296" s="4">
        <v>0.02</v>
      </c>
      <c r="H2296" s="4" t="s">
        <v>22</v>
      </c>
      <c r="I2296" s="6">
        <v>-30.6935</v>
      </c>
      <c r="J2296" s="4">
        <v>4.98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5"/>
        <v>40406</v>
      </c>
    </row>
    <row r="2297" ht="12.75" customHeight="1">
      <c r="A2297" s="4">
        <v>4932.0</v>
      </c>
      <c r="B2297" s="4">
        <v>35079.0</v>
      </c>
      <c r="C2297" s="5">
        <f t="shared" si="1016"/>
        <v>40404</v>
      </c>
      <c r="D2297" s="4" t="s">
        <v>30</v>
      </c>
      <c r="E2297" s="4">
        <v>32.0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19.99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5"/>
        <v>40406</v>
      </c>
    </row>
    <row r="2298" ht="12.75" customHeight="1">
      <c r="A2298" s="4">
        <v>4935.0</v>
      </c>
      <c r="B2298" s="4">
        <v>35110.0</v>
      </c>
      <c r="C2298" s="5">
        <f t="shared" ref="C2298:C2299" si="1017">DATE(2012,12,31)-440</f>
        <v>40834</v>
      </c>
      <c r="D2298" s="4" t="s">
        <v>30</v>
      </c>
      <c r="E2298" s="4">
        <v>14.0</v>
      </c>
      <c r="F2298" s="4">
        <v>12805.25</v>
      </c>
      <c r="G2298" s="4">
        <v>0.01</v>
      </c>
      <c r="H2298" s="4" t="s">
        <v>22</v>
      </c>
      <c r="I2298" s="6">
        <v>5065.507</v>
      </c>
      <c r="J2298" s="4">
        <v>896.99</v>
      </c>
      <c r="K2298" s="4">
        <v>19.99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ht="12.75" customHeight="1">
      <c r="A2299" s="4">
        <v>4936.0</v>
      </c>
      <c r="B2299" s="4">
        <v>35110.0</v>
      </c>
      <c r="C2299" s="5">
        <f t="shared" si="1017"/>
        <v>40834</v>
      </c>
      <c r="D2299" s="4" t="s">
        <v>30</v>
      </c>
      <c r="E2299" s="4">
        <v>49.0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8">C2299+2</f>
        <v>40836</v>
      </c>
    </row>
    <row r="2300" ht="12.75" customHeight="1">
      <c r="A2300" s="4">
        <v>4992.0</v>
      </c>
      <c r="B2300" s="4">
        <v>35554.0</v>
      </c>
      <c r="C2300" s="5">
        <f>DATE(2012,12,31)-98</f>
        <v>41176</v>
      </c>
      <c r="D2300" s="4" t="s">
        <v>45</v>
      </c>
      <c r="E2300" s="4">
        <v>34.0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130.98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8"/>
        <v>41178</v>
      </c>
    </row>
    <row r="2301" ht="12.75" customHeight="1">
      <c r="A2301" s="4">
        <v>4993.0</v>
      </c>
      <c r="B2301" s="4">
        <v>35555.0</v>
      </c>
      <c r="C2301" s="5">
        <f t="shared" ref="C2301:C2303" si="1019">DATE(2012,12,31)-668</f>
        <v>40606</v>
      </c>
      <c r="D2301" s="4" t="s">
        <v>63</v>
      </c>
      <c r="E2301" s="4">
        <v>50.0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</v>
      </c>
      <c r="U2301" s="5">
        <f>C2301+1</f>
        <v>40607</v>
      </c>
    </row>
    <row r="2302" ht="12.75" customHeight="1">
      <c r="A2302" s="4">
        <v>4994.0</v>
      </c>
      <c r="B2302" s="4">
        <v>35555.0</v>
      </c>
      <c r="C2302" s="5">
        <f t="shared" si="1019"/>
        <v>40606</v>
      </c>
      <c r="D2302" s="4" t="s">
        <v>63</v>
      </c>
      <c r="E2302" s="4">
        <v>15.0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4.89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ht="12.75" customHeight="1">
      <c r="A2303" s="4">
        <v>4995.0</v>
      </c>
      <c r="B2303" s="4">
        <v>35555.0</v>
      </c>
      <c r="C2303" s="5">
        <f t="shared" si="1019"/>
        <v>40606</v>
      </c>
      <c r="D2303" s="4" t="s">
        <v>63</v>
      </c>
      <c r="E2303" s="4">
        <v>2.0</v>
      </c>
      <c r="F2303" s="4">
        <v>10.43</v>
      </c>
      <c r="G2303" s="4">
        <v>0.07</v>
      </c>
      <c r="H2303" s="4" t="s">
        <v>22</v>
      </c>
      <c r="I2303" s="6">
        <v>-4.72</v>
      </c>
      <c r="J2303" s="4">
        <v>4.98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ht="12.75" customHeight="1">
      <c r="A2304" s="4">
        <v>5033.0</v>
      </c>
      <c r="B2304" s="4">
        <v>35877.0</v>
      </c>
      <c r="C2304" s="5">
        <f>DATE(2012,12,31)-951</f>
        <v>40323</v>
      </c>
      <c r="D2304" s="4" t="s">
        <v>30</v>
      </c>
      <c r="E2304" s="4">
        <v>30.0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ht="12.75" customHeight="1">
      <c r="A2305" s="4">
        <v>5035.0</v>
      </c>
      <c r="B2305" s="4">
        <v>35878.0</v>
      </c>
      <c r="C2305" s="5">
        <f>DATE(2012,12,31)-871</f>
        <v>40403</v>
      </c>
      <c r="D2305" s="4" t="s">
        <v>63</v>
      </c>
      <c r="E2305" s="4">
        <v>45.0</v>
      </c>
      <c r="F2305" s="4">
        <v>161.67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ht="12.75" customHeight="1">
      <c r="A2306" s="4">
        <v>5112.0</v>
      </c>
      <c r="B2306" s="4">
        <v>36448.0</v>
      </c>
      <c r="C2306" s="5">
        <f t="shared" ref="C2306:C2307" si="1020">DATE(2012,12,31)-843</f>
        <v>40431</v>
      </c>
      <c r="D2306" s="4" t="s">
        <v>63</v>
      </c>
      <c r="E2306" s="4">
        <v>6.0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ht="12.75" customHeight="1">
      <c r="A2307" s="4">
        <v>5113.0</v>
      </c>
      <c r="B2307" s="4">
        <v>36448.0</v>
      </c>
      <c r="C2307" s="5">
        <f t="shared" si="1020"/>
        <v>40431</v>
      </c>
      <c r="D2307" s="4" t="s">
        <v>63</v>
      </c>
      <c r="E2307" s="4">
        <v>44.0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1">C2307+1</f>
        <v>40432</v>
      </c>
    </row>
    <row r="2308" ht="12.75" customHeight="1">
      <c r="A2308" s="4">
        <v>5117.0</v>
      </c>
      <c r="B2308" s="4">
        <v>36452.0</v>
      </c>
      <c r="C2308" s="5">
        <f t="shared" ref="C2308:C2309" si="1022">DATE(2012,12,31)-1366</f>
        <v>39908</v>
      </c>
      <c r="D2308" s="4" t="s">
        <v>30</v>
      </c>
      <c r="E2308" s="4">
        <v>26.0</v>
      </c>
      <c r="F2308" s="4">
        <v>564.98</v>
      </c>
      <c r="G2308" s="4">
        <v>0.1</v>
      </c>
      <c r="H2308" s="4" t="s">
        <v>22</v>
      </c>
      <c r="I2308" s="6">
        <v>-107.5135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1"/>
        <v>39909</v>
      </c>
    </row>
    <row r="2309" ht="12.75" customHeight="1">
      <c r="A2309" s="4">
        <v>5118.0</v>
      </c>
      <c r="B2309" s="4">
        <v>36452.0</v>
      </c>
      <c r="C2309" s="5">
        <f t="shared" si="1022"/>
        <v>39908</v>
      </c>
      <c r="D2309" s="4" t="s">
        <v>30</v>
      </c>
      <c r="E2309" s="4">
        <v>18.0</v>
      </c>
      <c r="F2309" s="4">
        <v>129.48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ht="12.75" customHeight="1">
      <c r="A2310" s="4">
        <v>5125.0</v>
      </c>
      <c r="B2310" s="4">
        <v>36484.0</v>
      </c>
      <c r="C2310" s="5">
        <f>DATE(2012,12,31)-338</f>
        <v>40936</v>
      </c>
      <c r="D2310" s="4" t="s">
        <v>78</v>
      </c>
      <c r="E2310" s="4">
        <v>41.0</v>
      </c>
      <c r="F2310" s="4">
        <v>2380.5695</v>
      </c>
      <c r="G2310" s="4">
        <v>0.01</v>
      </c>
      <c r="H2310" s="4" t="s">
        <v>56</v>
      </c>
      <c r="I2310" s="6">
        <v>740.475</v>
      </c>
      <c r="J2310" s="4">
        <v>65.99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</v>
      </c>
      <c r="U2310" s="5">
        <f>C2310+1</f>
        <v>40937</v>
      </c>
    </row>
    <row r="2311" ht="12.75" customHeight="1">
      <c r="A2311" s="4">
        <v>5136.0</v>
      </c>
      <c r="B2311" s="4">
        <v>36643.0</v>
      </c>
      <c r="C2311" s="5">
        <f t="shared" ref="C2311:C2312" si="1023">DATE(2012,12,31)-1407</f>
        <v>39867</v>
      </c>
      <c r="D2311" s="4" t="s">
        <v>78</v>
      </c>
      <c r="E2311" s="4">
        <v>17.0</v>
      </c>
      <c r="F2311" s="4">
        <v>240.87</v>
      </c>
      <c r="G2311" s="4">
        <v>0.01</v>
      </c>
      <c r="H2311" s="4" t="s">
        <v>22</v>
      </c>
      <c r="I2311" s="6">
        <v>-36.77</v>
      </c>
      <c r="J2311" s="4">
        <v>13.79</v>
      </c>
      <c r="K2311" s="4">
        <v>8.78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ht="12.75" customHeight="1">
      <c r="A2312" s="4">
        <v>5137.0</v>
      </c>
      <c r="B2312" s="4">
        <v>36643.0</v>
      </c>
      <c r="C2312" s="5">
        <f t="shared" si="1023"/>
        <v>39867</v>
      </c>
      <c r="D2312" s="4" t="s">
        <v>78</v>
      </c>
      <c r="E2312" s="4">
        <v>30.0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ht="12.75" customHeight="1">
      <c r="A2313" s="4">
        <v>5148.0</v>
      </c>
      <c r="B2313" s="4">
        <v>36679.0</v>
      </c>
      <c r="C2313" s="5">
        <f>DATE(2012,12,31)-489</f>
        <v>40785</v>
      </c>
      <c r="D2313" s="4" t="s">
        <v>78</v>
      </c>
      <c r="E2313" s="4">
        <v>28.0</v>
      </c>
      <c r="F2313" s="4">
        <v>1491.8265</v>
      </c>
      <c r="G2313" s="4">
        <v>0.1</v>
      </c>
      <c r="H2313" s="4" t="s">
        <v>22</v>
      </c>
      <c r="I2313" s="6">
        <v>124.83</v>
      </c>
      <c r="J2313" s="4">
        <v>65.99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</v>
      </c>
      <c r="U2313" s="5">
        <f t="shared" ref="U2313:U2314" si="1024">C2313+3</f>
        <v>40788</v>
      </c>
    </row>
    <row r="2314" ht="12.75" customHeight="1">
      <c r="A2314" s="4">
        <v>5163.0</v>
      </c>
      <c r="B2314" s="4">
        <v>36741.0</v>
      </c>
      <c r="C2314" s="5">
        <f t="shared" ref="C2314:C2315" si="1025">DATE(2012,12,31)-743</f>
        <v>40531</v>
      </c>
      <c r="D2314" s="4" t="s">
        <v>78</v>
      </c>
      <c r="E2314" s="4">
        <v>26.0</v>
      </c>
      <c r="F2314" s="4">
        <v>141.4</v>
      </c>
      <c r="G2314" s="4">
        <v>0.08</v>
      </c>
      <c r="H2314" s="4" t="s">
        <v>22</v>
      </c>
      <c r="I2314" s="6">
        <v>34.48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4"/>
        <v>40534</v>
      </c>
    </row>
    <row r="2315" ht="12.75" customHeight="1">
      <c r="A2315" s="4">
        <v>5164.0</v>
      </c>
      <c r="B2315" s="4">
        <v>36741.0</v>
      </c>
      <c r="C2315" s="5">
        <f t="shared" si="1025"/>
        <v>40531</v>
      </c>
      <c r="D2315" s="4" t="s">
        <v>78</v>
      </c>
      <c r="E2315" s="4">
        <v>6.0</v>
      </c>
      <c r="F2315" s="4">
        <v>303.909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5.0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6">C2315+2</f>
        <v>40533</v>
      </c>
    </row>
    <row r="2316" ht="12.75" customHeight="1">
      <c r="A2316" s="4">
        <v>5187.0</v>
      </c>
      <c r="B2316" s="4">
        <v>36866.0</v>
      </c>
      <c r="C2316" s="5">
        <f>DATE(2012,12,31)-1013</f>
        <v>40261</v>
      </c>
      <c r="D2316" s="4" t="s">
        <v>21</v>
      </c>
      <c r="E2316" s="4">
        <v>32.0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6"/>
        <v>40263</v>
      </c>
    </row>
    <row r="2317" ht="12.75" customHeight="1">
      <c r="A2317" s="4">
        <v>5194.0</v>
      </c>
      <c r="B2317" s="4">
        <v>36929.0</v>
      </c>
      <c r="C2317" s="5">
        <f t="shared" ref="C2317:C2318" si="1027">DATE(2012,12,31)-220</f>
        <v>41054</v>
      </c>
      <c r="D2317" s="4" t="s">
        <v>21</v>
      </c>
      <c r="E2317" s="4">
        <v>45.0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ht="12.75" customHeight="1">
      <c r="A2318" s="4">
        <v>5195.0</v>
      </c>
      <c r="B2318" s="4">
        <v>36929.0</v>
      </c>
      <c r="C2318" s="5">
        <f t="shared" si="1027"/>
        <v>41054</v>
      </c>
      <c r="D2318" s="4" t="s">
        <v>21</v>
      </c>
      <c r="E2318" s="4">
        <v>37.0</v>
      </c>
      <c r="F2318" s="4">
        <v>1326.69</v>
      </c>
      <c r="G2318" s="4">
        <v>0.0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ht="12.75" customHeight="1">
      <c r="A2319" s="4">
        <v>5209.0</v>
      </c>
      <c r="B2319" s="4">
        <v>36999.0</v>
      </c>
      <c r="C2319" s="5">
        <f t="shared" ref="C2319:C2320" si="1028">DATE(2012,12,31)-1115</f>
        <v>40159</v>
      </c>
      <c r="D2319" s="4" t="s">
        <v>63</v>
      </c>
      <c r="E2319" s="4">
        <v>28.0</v>
      </c>
      <c r="F2319" s="4">
        <v>14475.74</v>
      </c>
      <c r="G2319" s="4">
        <v>0.06</v>
      </c>
      <c r="H2319" s="4" t="s">
        <v>31</v>
      </c>
      <c r="I2319" s="6">
        <v>4963.89</v>
      </c>
      <c r="J2319" s="4">
        <v>549.99</v>
      </c>
      <c r="K2319" s="4">
        <v>49.0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9">C2319+1</f>
        <v>40160</v>
      </c>
    </row>
    <row r="2320" ht="12.75" customHeight="1">
      <c r="A2320" s="4">
        <v>5210.0</v>
      </c>
      <c r="B2320" s="4">
        <v>36999.0</v>
      </c>
      <c r="C2320" s="5">
        <f t="shared" si="1028"/>
        <v>40159</v>
      </c>
      <c r="D2320" s="4" t="s">
        <v>63</v>
      </c>
      <c r="E2320" s="4">
        <v>3.0</v>
      </c>
      <c r="F2320" s="4">
        <v>306.6205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0.57</v>
      </c>
      <c r="U2320" s="5">
        <f t="shared" si="1029"/>
        <v>40160</v>
      </c>
    </row>
    <row r="2321" ht="12.75" customHeight="1">
      <c r="A2321" s="4">
        <v>5225.0</v>
      </c>
      <c r="B2321" s="4">
        <v>37216.0</v>
      </c>
      <c r="C2321" s="5">
        <f>DATE(2012,12,31)-762</f>
        <v>40512</v>
      </c>
      <c r="D2321" s="4" t="s">
        <v>30</v>
      </c>
      <c r="E2321" s="4">
        <v>24.0</v>
      </c>
      <c r="F2321" s="4">
        <v>527.25</v>
      </c>
      <c r="G2321" s="4">
        <v>0.01</v>
      </c>
      <c r="H2321" s="4" t="s">
        <v>22</v>
      </c>
      <c r="I2321" s="6">
        <v>74.00949999999999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9"/>
        <v>40513</v>
      </c>
    </row>
    <row r="2322" ht="12.75" customHeight="1">
      <c r="A2322" s="4">
        <v>5244.0</v>
      </c>
      <c r="B2322" s="4">
        <v>37314.0</v>
      </c>
      <c r="C2322" s="5">
        <f>DATE(2012,12,31)-607</f>
        <v>40667</v>
      </c>
      <c r="D2322" s="4" t="s">
        <v>63</v>
      </c>
      <c r="E2322" s="4">
        <v>21.0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9"/>
        <v>40668</v>
      </c>
    </row>
    <row r="2323" ht="12.75" customHeight="1">
      <c r="A2323" s="4">
        <v>5250.0</v>
      </c>
      <c r="B2323" s="4">
        <v>37349.0</v>
      </c>
      <c r="C2323" s="5">
        <f>DATE(2012,12,31)-1050</f>
        <v>40224</v>
      </c>
      <c r="D2323" s="4" t="s">
        <v>78</v>
      </c>
      <c r="E2323" s="4">
        <v>8.0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19.99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ht="12.75" customHeight="1">
      <c r="A2324" s="4">
        <v>5319.0</v>
      </c>
      <c r="B2324" s="4">
        <v>37828.0</v>
      </c>
      <c r="C2324" s="5">
        <f t="shared" ref="C2324:C2325" si="1030">DATE(2012,12,31)-621</f>
        <v>40653</v>
      </c>
      <c r="D2324" s="4" t="s">
        <v>21</v>
      </c>
      <c r="E2324" s="4">
        <v>23.0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4.0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ht="12.75" customHeight="1">
      <c r="A2325" s="4">
        <v>5320.0</v>
      </c>
      <c r="B2325" s="4">
        <v>37828.0</v>
      </c>
      <c r="C2325" s="5">
        <f t="shared" si="1030"/>
        <v>40653</v>
      </c>
      <c r="D2325" s="4" t="s">
        <v>21</v>
      </c>
      <c r="E2325" s="4">
        <v>42.0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1">C2325+2</f>
        <v>40655</v>
      </c>
    </row>
    <row r="2326" ht="12.75" customHeight="1">
      <c r="A2326" s="4">
        <v>5336.0</v>
      </c>
      <c r="B2326" s="4">
        <v>37920.0</v>
      </c>
      <c r="C2326" s="5">
        <f>DATE(2012,12,31)-901</f>
        <v>40373</v>
      </c>
      <c r="D2326" s="4" t="s">
        <v>78</v>
      </c>
      <c r="E2326" s="4">
        <v>48.0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1"/>
        <v>40375</v>
      </c>
    </row>
    <row r="2327" ht="12.75" customHeight="1">
      <c r="A2327" s="4">
        <v>5357.0</v>
      </c>
      <c r="B2327" s="4">
        <v>38052.0</v>
      </c>
      <c r="C2327" s="5">
        <f>DATE(2012,12,31)-320</f>
        <v>40954</v>
      </c>
      <c r="D2327" s="4" t="s">
        <v>21</v>
      </c>
      <c r="E2327" s="4">
        <v>13.0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ht="12.75" customHeight="1">
      <c r="A2328" s="4">
        <v>5358.0</v>
      </c>
      <c r="B2328" s="4">
        <v>38080.0</v>
      </c>
      <c r="C2328" s="5">
        <f>DATE(2012,12,31)-1204</f>
        <v>40070</v>
      </c>
      <c r="D2328" s="4" t="s">
        <v>45</v>
      </c>
      <c r="E2328" s="4">
        <v>26.0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ht="12.75" customHeight="1">
      <c r="A2329" s="4">
        <v>5364.0</v>
      </c>
      <c r="B2329" s="4">
        <v>38145.0</v>
      </c>
      <c r="C2329" s="5">
        <f t="shared" ref="C2329:C2330" si="1032">DATE(2012,12,31)-1206</f>
        <v>40068</v>
      </c>
      <c r="D2329" s="4" t="s">
        <v>45</v>
      </c>
      <c r="E2329" s="4">
        <v>33.0</v>
      </c>
      <c r="F2329" s="4">
        <v>60.92</v>
      </c>
      <c r="G2329" s="4">
        <v>0.07</v>
      </c>
      <c r="H2329" s="4" t="s">
        <v>22</v>
      </c>
      <c r="I2329" s="6">
        <v>-17.204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ht="12.75" customHeight="1">
      <c r="A2330" s="4">
        <v>5365.0</v>
      </c>
      <c r="B2330" s="4">
        <v>38145.0</v>
      </c>
      <c r="C2330" s="5">
        <f t="shared" si="1032"/>
        <v>40068</v>
      </c>
      <c r="D2330" s="4" t="s">
        <v>45</v>
      </c>
      <c r="E2330" s="4">
        <v>8.0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3">C2330+1</f>
        <v>40069</v>
      </c>
    </row>
    <row r="2331" ht="12.75" customHeight="1">
      <c r="A2331" s="4">
        <v>5405.0</v>
      </c>
      <c r="B2331" s="4">
        <v>38437.0</v>
      </c>
      <c r="C2331" s="5">
        <f t="shared" ref="C2331:C2332" si="1034">DATE(2012,12,31)-237</f>
        <v>41037</v>
      </c>
      <c r="D2331" s="4" t="s">
        <v>78</v>
      </c>
      <c r="E2331" s="4">
        <v>19.0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3"/>
        <v>41038</v>
      </c>
    </row>
    <row r="2332" ht="12.75" customHeight="1">
      <c r="A2332" s="4">
        <v>5406.0</v>
      </c>
      <c r="B2332" s="4">
        <v>38437.0</v>
      </c>
      <c r="C2332" s="5">
        <f t="shared" si="1034"/>
        <v>41037</v>
      </c>
      <c r="D2332" s="4" t="s">
        <v>78</v>
      </c>
      <c r="E2332" s="4">
        <v>17.0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</v>
      </c>
      <c r="U2332" s="5">
        <f t="shared" si="1033"/>
        <v>41038</v>
      </c>
    </row>
    <row r="2333" ht="12.75" customHeight="1">
      <c r="A2333" s="4">
        <v>5416.0</v>
      </c>
      <c r="B2333" s="4">
        <v>38503.0</v>
      </c>
      <c r="C2333" s="5">
        <f t="shared" ref="C2333:C2335" si="1035">DATE(2012,12,31)-1336</f>
        <v>39938</v>
      </c>
      <c r="D2333" s="4" t="s">
        <v>21</v>
      </c>
      <c r="E2333" s="4">
        <v>47.0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6">C2333+0</f>
        <v>39938</v>
      </c>
    </row>
    <row r="2334" ht="12.75" customHeight="1">
      <c r="A2334" s="4">
        <v>5417.0</v>
      </c>
      <c r="B2334" s="4">
        <v>38503.0</v>
      </c>
      <c r="C2334" s="5">
        <f t="shared" si="1035"/>
        <v>39938</v>
      </c>
      <c r="D2334" s="4" t="s">
        <v>21</v>
      </c>
      <c r="E2334" s="4">
        <v>10.0</v>
      </c>
      <c r="F2334" s="4">
        <v>503.2935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5.0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6"/>
        <v>39938</v>
      </c>
    </row>
    <row r="2335" ht="12.75" customHeight="1">
      <c r="A2335" s="4">
        <v>5418.0</v>
      </c>
      <c r="B2335" s="4">
        <v>38503.0</v>
      </c>
      <c r="C2335" s="5">
        <f t="shared" si="1035"/>
        <v>39938</v>
      </c>
      <c r="D2335" s="4" t="s">
        <v>21</v>
      </c>
      <c r="E2335" s="4">
        <v>32.0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ht="12.75" customHeight="1">
      <c r="A2336" s="4">
        <v>5422.0</v>
      </c>
      <c r="B2336" s="4">
        <v>38530.0</v>
      </c>
      <c r="C2336" s="5">
        <f t="shared" ref="C2336:C2337" si="1037">DATE(2012,12,31)-624</f>
        <v>40650</v>
      </c>
      <c r="D2336" s="4" t="s">
        <v>78</v>
      </c>
      <c r="E2336" s="4">
        <v>47.0</v>
      </c>
      <c r="F2336" s="4">
        <v>1980.37</v>
      </c>
      <c r="G2336" s="4">
        <v>0.03</v>
      </c>
      <c r="H2336" s="4" t="s">
        <v>22</v>
      </c>
      <c r="I2336" s="6">
        <v>904.825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8">C2336+0</f>
        <v>40650</v>
      </c>
    </row>
    <row r="2337" ht="12.75" customHeight="1">
      <c r="A2337" s="4">
        <v>5423.0</v>
      </c>
      <c r="B2337" s="4">
        <v>38530.0</v>
      </c>
      <c r="C2337" s="5">
        <f t="shared" si="1037"/>
        <v>40650</v>
      </c>
      <c r="D2337" s="4" t="s">
        <v>78</v>
      </c>
      <c r="E2337" s="4">
        <v>13.0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19.99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0.57</v>
      </c>
      <c r="U2337" s="5">
        <f t="shared" si="1038"/>
        <v>40650</v>
      </c>
    </row>
    <row r="2338" ht="12.75" customHeight="1">
      <c r="A2338" s="4">
        <v>5455.0</v>
      </c>
      <c r="B2338" s="4">
        <v>38726.0</v>
      </c>
      <c r="C2338" s="5">
        <f>DATE(2012,12,31)-1320</f>
        <v>39954</v>
      </c>
      <c r="D2338" s="4" t="s">
        <v>63</v>
      </c>
      <c r="E2338" s="4">
        <v>44.0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ht="12.75" customHeight="1">
      <c r="A2339" s="4">
        <v>5531.0</v>
      </c>
      <c r="B2339" s="4">
        <v>39172.0</v>
      </c>
      <c r="C2339" s="5">
        <f t="shared" ref="C2339:C2340" si="1039">DATE(2012,12,31)-920</f>
        <v>40354</v>
      </c>
      <c r="D2339" s="4" t="s">
        <v>21</v>
      </c>
      <c r="E2339" s="4">
        <v>38.0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19.99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40">C2339+7</f>
        <v>40361</v>
      </c>
    </row>
    <row r="2340" ht="12.75" customHeight="1">
      <c r="A2340" s="4">
        <v>5532.0</v>
      </c>
      <c r="B2340" s="4">
        <v>39172.0</v>
      </c>
      <c r="C2340" s="5">
        <f t="shared" si="1039"/>
        <v>40354</v>
      </c>
      <c r="D2340" s="4" t="s">
        <v>21</v>
      </c>
      <c r="E2340" s="4">
        <v>26.0</v>
      </c>
      <c r="F2340" s="4">
        <v>175.42</v>
      </c>
      <c r="G2340" s="4">
        <v>0.0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40"/>
        <v>40361</v>
      </c>
    </row>
    <row r="2341" ht="12.75" customHeight="1">
      <c r="A2341" s="4">
        <v>5547.0</v>
      </c>
      <c r="B2341" s="4">
        <v>39269.0</v>
      </c>
      <c r="C2341" s="5">
        <f>DATE(2012,12,31)-66</f>
        <v>41208</v>
      </c>
      <c r="D2341" s="4" t="s">
        <v>21</v>
      </c>
      <c r="E2341" s="4">
        <v>16.0</v>
      </c>
      <c r="F2341" s="4">
        <v>464.695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40"/>
        <v>41215</v>
      </c>
    </row>
    <row r="2342" ht="12.75" customHeight="1">
      <c r="A2342" s="4">
        <v>5552.0</v>
      </c>
      <c r="B2342" s="4">
        <v>39330.0</v>
      </c>
      <c r="C2342" s="5">
        <f>DATE(2012,12,31)-898</f>
        <v>40376</v>
      </c>
      <c r="D2342" s="4" t="s">
        <v>78</v>
      </c>
      <c r="E2342" s="4">
        <v>29.0</v>
      </c>
      <c r="F2342" s="4">
        <v>184.77</v>
      </c>
      <c r="G2342" s="4">
        <v>0.0</v>
      </c>
      <c r="H2342" s="4" t="s">
        <v>56</v>
      </c>
      <c r="I2342" s="6">
        <v>-71.96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</v>
      </c>
      <c r="U2342" s="5">
        <f>C2342+1</f>
        <v>40377</v>
      </c>
    </row>
    <row r="2343" ht="12.75" customHeight="1">
      <c r="A2343" s="4">
        <v>5561.0</v>
      </c>
      <c r="B2343" s="4">
        <v>39365.0</v>
      </c>
      <c r="C2343" s="5">
        <f>DATE(2012,12,31)-231</f>
        <v>41043</v>
      </c>
      <c r="D2343" s="4" t="s">
        <v>30</v>
      </c>
      <c r="E2343" s="4">
        <v>32.0</v>
      </c>
      <c r="F2343" s="4">
        <v>931.08</v>
      </c>
      <c r="G2343" s="4">
        <v>0.1</v>
      </c>
      <c r="H2343" s="4" t="s">
        <v>56</v>
      </c>
      <c r="I2343" s="6">
        <v>269.6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ht="12.75" customHeight="1">
      <c r="A2344" s="4">
        <v>5568.0</v>
      </c>
      <c r="B2344" s="4">
        <v>39430.0</v>
      </c>
      <c r="C2344" s="5">
        <f>DATE(2012,12,31)-1297</f>
        <v>39977</v>
      </c>
      <c r="D2344" s="4" t="s">
        <v>21</v>
      </c>
      <c r="E2344" s="4">
        <v>29.0</v>
      </c>
      <c r="F2344" s="4">
        <v>877.97</v>
      </c>
      <c r="G2344" s="4">
        <v>0.03</v>
      </c>
      <c r="H2344" s="4" t="s">
        <v>22</v>
      </c>
      <c r="I2344" s="6">
        <v>-144.2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ht="12.75" customHeight="1">
      <c r="A2345" s="4">
        <v>5580.0</v>
      </c>
      <c r="B2345" s="4">
        <v>39555.0</v>
      </c>
      <c r="C2345" s="5">
        <f>DATE(2012,12,31)-118</f>
        <v>41156</v>
      </c>
      <c r="D2345" s="4" t="s">
        <v>21</v>
      </c>
      <c r="E2345" s="4">
        <v>38.0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ht="12.75" customHeight="1">
      <c r="A2346" s="4">
        <v>5609.0</v>
      </c>
      <c r="B2346" s="4">
        <v>39749.0</v>
      </c>
      <c r="C2346" s="5">
        <f t="shared" ref="C2346:C2348" si="1041">DATE(2012,12,31)-918</f>
        <v>40356</v>
      </c>
      <c r="D2346" s="4" t="s">
        <v>30</v>
      </c>
      <c r="E2346" s="4">
        <v>14.0</v>
      </c>
      <c r="F2346" s="4">
        <v>125.31</v>
      </c>
      <c r="G2346" s="4">
        <v>0.0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2">C2346+2</f>
        <v>40358</v>
      </c>
    </row>
    <row r="2347" ht="12.75" customHeight="1">
      <c r="A2347" s="4">
        <v>5610.0</v>
      </c>
      <c r="B2347" s="4">
        <v>39749.0</v>
      </c>
      <c r="C2347" s="5">
        <f t="shared" si="1041"/>
        <v>40356</v>
      </c>
      <c r="D2347" s="4" t="s">
        <v>30</v>
      </c>
      <c r="E2347" s="4">
        <v>45.0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0.58</v>
      </c>
      <c r="U2347" s="5">
        <f t="shared" si="1042"/>
        <v>40358</v>
      </c>
    </row>
    <row r="2348" ht="12.75" customHeight="1">
      <c r="A2348" s="4">
        <v>5611.0</v>
      </c>
      <c r="B2348" s="4">
        <v>39749.0</v>
      </c>
      <c r="C2348" s="5">
        <f t="shared" si="1041"/>
        <v>40356</v>
      </c>
      <c r="D2348" s="4" t="s">
        <v>30</v>
      </c>
      <c r="E2348" s="4">
        <v>43.0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0.58</v>
      </c>
      <c r="U2348" s="5">
        <f t="shared" si="1042"/>
        <v>40358</v>
      </c>
    </row>
    <row r="2349" ht="12.75" customHeight="1">
      <c r="A2349" s="4">
        <v>5622.0</v>
      </c>
      <c r="B2349" s="4">
        <v>39815.0</v>
      </c>
      <c r="C2349" s="5">
        <f>DATE(2012,12,31)-1362</f>
        <v>39912</v>
      </c>
      <c r="D2349" s="4" t="s">
        <v>21</v>
      </c>
      <c r="E2349" s="4">
        <v>43.0</v>
      </c>
      <c r="F2349" s="4">
        <v>4075.376</v>
      </c>
      <c r="G2349" s="4">
        <v>0.05</v>
      </c>
      <c r="H2349" s="4" t="s">
        <v>22</v>
      </c>
      <c r="I2349" s="6">
        <v>841.725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0.58</v>
      </c>
      <c r="U2349" s="5">
        <f>C2349+4</f>
        <v>39916</v>
      </c>
    </row>
    <row r="2350" ht="12.75" customHeight="1">
      <c r="A2350" s="4">
        <v>5651.0</v>
      </c>
      <c r="B2350" s="4">
        <v>40001.0</v>
      </c>
      <c r="C2350" s="5">
        <f>DATE(2012,12,31)-676</f>
        <v>40598</v>
      </c>
      <c r="D2350" s="4" t="s">
        <v>63</v>
      </c>
      <c r="E2350" s="4">
        <v>46.0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39.48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</v>
      </c>
      <c r="U2350" s="5">
        <f t="shared" ref="U2350:U2351" si="1043">C2350+2</f>
        <v>40600</v>
      </c>
    </row>
    <row r="2351" ht="12.75" customHeight="1">
      <c r="A2351" s="4">
        <v>5708.0</v>
      </c>
      <c r="B2351" s="4">
        <v>40386.0</v>
      </c>
      <c r="C2351" s="5">
        <f>DATE(2012,12,31)-682</f>
        <v>40592</v>
      </c>
      <c r="D2351" s="4" t="s">
        <v>30</v>
      </c>
      <c r="E2351" s="4">
        <v>28.0</v>
      </c>
      <c r="F2351" s="4">
        <v>2905.3</v>
      </c>
      <c r="G2351" s="4">
        <v>0.0</v>
      </c>
      <c r="H2351" s="4" t="s">
        <v>56</v>
      </c>
      <c r="I2351" s="6">
        <v>1704.0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3"/>
        <v>40594</v>
      </c>
    </row>
    <row r="2352" ht="12.75" customHeight="1">
      <c r="A2352" s="4">
        <v>5729.0</v>
      </c>
      <c r="B2352" s="4">
        <v>40647.0</v>
      </c>
      <c r="C2352" s="5">
        <f>DATE(2012,12,31)-1232</f>
        <v>40042</v>
      </c>
      <c r="D2352" s="4" t="s">
        <v>30</v>
      </c>
      <c r="E2352" s="4">
        <v>47.0</v>
      </c>
      <c r="F2352" s="4">
        <v>1982.16</v>
      </c>
      <c r="G2352" s="4">
        <v>0.03</v>
      </c>
      <c r="H2352" s="4" t="s">
        <v>22</v>
      </c>
      <c r="I2352" s="6">
        <v>267.1</v>
      </c>
      <c r="J2352" s="4">
        <v>40.99</v>
      </c>
      <c r="K2352" s="4">
        <v>19.99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ht="12.75" customHeight="1">
      <c r="A2353" s="4">
        <v>5796.0</v>
      </c>
      <c r="B2353" s="4">
        <v>41120.0</v>
      </c>
      <c r="C2353" s="5">
        <f t="shared" ref="C2353:C2354" si="1044">DATE(2012,12,31)-177</f>
        <v>41097</v>
      </c>
      <c r="D2353" s="4" t="s">
        <v>21</v>
      </c>
      <c r="E2353" s="4">
        <v>35.0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5">C2353+2</f>
        <v>41099</v>
      </c>
    </row>
    <row r="2354" ht="12.75" customHeight="1">
      <c r="A2354" s="4">
        <v>5797.0</v>
      </c>
      <c r="B2354" s="4">
        <v>41120.0</v>
      </c>
      <c r="C2354" s="5">
        <f t="shared" si="1044"/>
        <v>41097</v>
      </c>
      <c r="D2354" s="4" t="s">
        <v>21</v>
      </c>
      <c r="E2354" s="4">
        <v>13.0</v>
      </c>
      <c r="F2354" s="4">
        <v>43.37</v>
      </c>
      <c r="G2354" s="4">
        <v>0.02</v>
      </c>
      <c r="H2354" s="4" t="s">
        <v>22</v>
      </c>
      <c r="I2354" s="6">
        <v>9.53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5"/>
        <v>41099</v>
      </c>
    </row>
    <row r="2355" ht="12.75" customHeight="1">
      <c r="A2355" s="4">
        <v>5798.0</v>
      </c>
      <c r="B2355" s="4">
        <v>41122.0</v>
      </c>
      <c r="C2355" s="5">
        <f>DATE(2012,12,31)-1044</f>
        <v>40230</v>
      </c>
      <c r="D2355" s="4" t="s">
        <v>45</v>
      </c>
      <c r="E2355" s="4">
        <v>29.0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5"/>
        <v>40232</v>
      </c>
    </row>
    <row r="2356" ht="12.75" customHeight="1">
      <c r="A2356" s="4">
        <v>5809.0</v>
      </c>
      <c r="B2356" s="4">
        <v>41187.0</v>
      </c>
      <c r="C2356" s="5">
        <f t="shared" ref="C2356:C2357" si="1046">DATE(2012,12,31)-823</f>
        <v>40451</v>
      </c>
      <c r="D2356" s="4" t="s">
        <v>21</v>
      </c>
      <c r="E2356" s="4">
        <v>9.0</v>
      </c>
      <c r="F2356" s="4">
        <v>52.93</v>
      </c>
      <c r="G2356" s="4">
        <v>0.0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ht="12.75" customHeight="1">
      <c r="A2357" s="4">
        <v>5810.0</v>
      </c>
      <c r="B2357" s="4">
        <v>41187.0</v>
      </c>
      <c r="C2357" s="5">
        <f t="shared" si="1046"/>
        <v>40451</v>
      </c>
      <c r="D2357" s="4" t="s">
        <v>21</v>
      </c>
      <c r="E2357" s="4">
        <v>25.0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ht="12.75" customHeight="1">
      <c r="A2358" s="4">
        <v>5815.0</v>
      </c>
      <c r="B2358" s="4">
        <v>41221.0</v>
      </c>
      <c r="C2358" s="5">
        <f>DATE(2012,12,31)-1206</f>
        <v>40068</v>
      </c>
      <c r="D2358" s="4" t="s">
        <v>78</v>
      </c>
      <c r="E2358" s="4">
        <v>4.0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35.0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ht="12.75" customHeight="1">
      <c r="A2359" s="4">
        <v>5819.0</v>
      </c>
      <c r="B2359" s="4">
        <v>41282.0</v>
      </c>
      <c r="C2359" s="5">
        <f>DATE(2012,12,31)-1276</f>
        <v>39998</v>
      </c>
      <c r="D2359" s="4" t="s">
        <v>63</v>
      </c>
      <c r="E2359" s="4">
        <v>39.0</v>
      </c>
      <c r="F2359" s="4">
        <v>916.05</v>
      </c>
      <c r="G2359" s="4">
        <v>0.08</v>
      </c>
      <c r="H2359" s="4" t="s">
        <v>22</v>
      </c>
      <c r="I2359" s="6">
        <v>-21.896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ht="12.75" customHeight="1">
      <c r="A2360" s="4">
        <v>5821.0</v>
      </c>
      <c r="B2360" s="4">
        <v>41312.0</v>
      </c>
      <c r="C2360" s="5">
        <f>DATE(2012,12,31)-335</f>
        <v>40939</v>
      </c>
      <c r="D2360" s="4" t="s">
        <v>45</v>
      </c>
      <c r="E2360" s="4">
        <v>21.0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39.48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ht="12.75" customHeight="1">
      <c r="A2361" s="4">
        <v>5824.0</v>
      </c>
      <c r="B2361" s="4">
        <v>41318.0</v>
      </c>
      <c r="C2361" s="5">
        <f>DATE(2012,12,31)-449</f>
        <v>40825</v>
      </c>
      <c r="D2361" s="4" t="s">
        <v>21</v>
      </c>
      <c r="E2361" s="4">
        <v>21.0</v>
      </c>
      <c r="F2361" s="4">
        <v>1223.11</v>
      </c>
      <c r="G2361" s="4">
        <v>0.0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</v>
      </c>
      <c r="U2361" s="5">
        <f>C2361+9</f>
        <v>40834</v>
      </c>
    </row>
    <row r="2362" ht="12.75" customHeight="1">
      <c r="A2362" s="4">
        <v>5825.0</v>
      </c>
      <c r="B2362" s="4">
        <v>41345.0</v>
      </c>
      <c r="C2362" s="5">
        <f>DATE(2012,12,31)-333</f>
        <v>40941</v>
      </c>
      <c r="D2362" s="4" t="s">
        <v>63</v>
      </c>
      <c r="E2362" s="4">
        <v>36.0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ht="12.75" customHeight="1">
      <c r="A2363" s="4">
        <v>5860.0</v>
      </c>
      <c r="B2363" s="4">
        <v>41604.0</v>
      </c>
      <c r="C2363" s="5">
        <f>DATE(2012,12,31)-1420</f>
        <v>39854</v>
      </c>
      <c r="D2363" s="4" t="s">
        <v>63</v>
      </c>
      <c r="E2363" s="4">
        <v>22.0</v>
      </c>
      <c r="F2363" s="4">
        <v>138.24</v>
      </c>
      <c r="G2363" s="4">
        <v>0.06</v>
      </c>
      <c r="H2363" s="4" t="s">
        <v>22</v>
      </c>
      <c r="I2363" s="6">
        <v>-48.2195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7">C2363+1</f>
        <v>39855</v>
      </c>
    </row>
    <row r="2364" ht="12.75" customHeight="1">
      <c r="A2364" s="4">
        <v>5909.0</v>
      </c>
      <c r="B2364" s="4">
        <v>41891.0</v>
      </c>
      <c r="C2364" s="5">
        <f>DATE(2012,12,31)-589</f>
        <v>40685</v>
      </c>
      <c r="D2364" s="4" t="s">
        <v>30</v>
      </c>
      <c r="E2364" s="4">
        <v>22.0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0.57</v>
      </c>
      <c r="U2364" s="5">
        <f t="shared" si="1047"/>
        <v>40686</v>
      </c>
    </row>
    <row r="2365" ht="12.75" customHeight="1">
      <c r="A2365" s="4">
        <v>5925.0</v>
      </c>
      <c r="B2365" s="4">
        <v>42022.0</v>
      </c>
      <c r="C2365" s="5">
        <f t="shared" ref="C2365:C2366" si="1048">DATE(2012,12,31)-1194</f>
        <v>40080</v>
      </c>
      <c r="D2365" s="4" t="s">
        <v>63</v>
      </c>
      <c r="E2365" s="4">
        <v>45.0</v>
      </c>
      <c r="F2365" s="4">
        <v>338.85</v>
      </c>
      <c r="G2365" s="4">
        <v>0.04</v>
      </c>
      <c r="H2365" s="4" t="s">
        <v>22</v>
      </c>
      <c r="I2365" s="6">
        <v>-170.177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7"/>
        <v>40081</v>
      </c>
    </row>
    <row r="2366" ht="12.75" customHeight="1">
      <c r="A2366" s="4">
        <v>5926.0</v>
      </c>
      <c r="B2366" s="4">
        <v>42022.0</v>
      </c>
      <c r="C2366" s="5">
        <f t="shared" si="1048"/>
        <v>40080</v>
      </c>
      <c r="D2366" s="4" t="s">
        <v>63</v>
      </c>
      <c r="E2366" s="4">
        <v>11.0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2.0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7"/>
        <v>40081</v>
      </c>
    </row>
    <row r="2367" ht="12.75" customHeight="1">
      <c r="A2367" s="4">
        <v>5928.0</v>
      </c>
      <c r="B2367" s="4">
        <v>42081.0</v>
      </c>
      <c r="C2367" s="5">
        <f t="shared" ref="C2367:C2369" si="1049">DATE(2012,12,31)-721</f>
        <v>40553</v>
      </c>
      <c r="D2367" s="4" t="s">
        <v>21</v>
      </c>
      <c r="E2367" s="4">
        <v>36.0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ht="12.75" customHeight="1">
      <c r="A2368" s="4">
        <v>5929.0</v>
      </c>
      <c r="B2368" s="4">
        <v>42081.0</v>
      </c>
      <c r="C2368" s="5">
        <f t="shared" si="1049"/>
        <v>40553</v>
      </c>
      <c r="D2368" s="4" t="s">
        <v>21</v>
      </c>
      <c r="E2368" s="4">
        <v>3.0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ht="12.75" customHeight="1">
      <c r="A2369" s="4">
        <v>5930.0</v>
      </c>
      <c r="B2369" s="4">
        <v>42081.0</v>
      </c>
      <c r="C2369" s="5">
        <f t="shared" si="1049"/>
        <v>40553</v>
      </c>
      <c r="D2369" s="4" t="s">
        <v>21</v>
      </c>
      <c r="E2369" s="4">
        <v>26.0</v>
      </c>
      <c r="F2369" s="4">
        <v>1493.858</v>
      </c>
      <c r="G2369" s="4">
        <v>0.02</v>
      </c>
      <c r="H2369" s="4" t="s">
        <v>22</v>
      </c>
      <c r="I2369" s="6">
        <v>183.24</v>
      </c>
      <c r="J2369" s="4">
        <v>65.99</v>
      </c>
      <c r="K2369" s="4">
        <v>8.8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0.58</v>
      </c>
      <c r="U2369" s="5">
        <f>C2369+5</f>
        <v>40558</v>
      </c>
    </row>
    <row r="2370" ht="12.75" customHeight="1">
      <c r="A2370" s="4">
        <v>5935.0</v>
      </c>
      <c r="B2370" s="4">
        <v>42086.0</v>
      </c>
      <c r="C2370" s="5">
        <f>DATE(2012,12,31)-893</f>
        <v>40381</v>
      </c>
      <c r="D2370" s="4" t="s">
        <v>30</v>
      </c>
      <c r="E2370" s="4">
        <v>18.0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50">C2370+1</f>
        <v>40382</v>
      </c>
    </row>
    <row r="2371" ht="12.75" customHeight="1">
      <c r="A2371" s="4">
        <v>5954.0</v>
      </c>
      <c r="B2371" s="4">
        <v>42246.0</v>
      </c>
      <c r="C2371" s="5">
        <f t="shared" ref="C2371:C2372" si="1051">DATE(2012,12,31)-249</f>
        <v>41025</v>
      </c>
      <c r="D2371" s="4" t="s">
        <v>45</v>
      </c>
      <c r="E2371" s="4">
        <v>40.0</v>
      </c>
      <c r="F2371" s="4">
        <v>3060.37</v>
      </c>
      <c r="G2371" s="4">
        <v>0.07</v>
      </c>
      <c r="H2371" s="4" t="s">
        <v>22</v>
      </c>
      <c r="I2371" s="6">
        <v>234.03</v>
      </c>
      <c r="J2371" s="4">
        <v>77.51</v>
      </c>
      <c r="K2371" s="4">
        <v>4.0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50"/>
        <v>41026</v>
      </c>
    </row>
    <row r="2372" ht="12.75" customHeight="1">
      <c r="A2372" s="4">
        <v>5955.0</v>
      </c>
      <c r="B2372" s="4">
        <v>42246.0</v>
      </c>
      <c r="C2372" s="5">
        <f t="shared" si="1051"/>
        <v>41025</v>
      </c>
      <c r="D2372" s="4" t="s">
        <v>45</v>
      </c>
      <c r="E2372" s="4">
        <v>5.0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ht="12.75" customHeight="1">
      <c r="A2373" s="4">
        <v>5990.0</v>
      </c>
      <c r="B2373" s="4">
        <v>42465.0</v>
      </c>
      <c r="C2373" s="5">
        <f>DATE(2012,12,31)-741</f>
        <v>40533</v>
      </c>
      <c r="D2373" s="4" t="s">
        <v>63</v>
      </c>
      <c r="E2373" s="4">
        <v>15.0</v>
      </c>
      <c r="F2373" s="4">
        <v>102.32</v>
      </c>
      <c r="G2373" s="4">
        <v>0.08</v>
      </c>
      <c r="H2373" s="4" t="s">
        <v>22</v>
      </c>
      <c r="I2373" s="6">
        <v>-32.7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ht="12.75" customHeight="1">
      <c r="A2374" s="4">
        <v>6020.0</v>
      </c>
      <c r="B2374" s="4">
        <v>42657.0</v>
      </c>
      <c r="C2374" s="5">
        <f>DATE(2012,12,31)-455</f>
        <v>40819</v>
      </c>
      <c r="D2374" s="4" t="s">
        <v>21</v>
      </c>
      <c r="E2374" s="4">
        <v>48.0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ht="12.75" customHeight="1">
      <c r="A2375" s="4">
        <v>6040.0</v>
      </c>
      <c r="B2375" s="4">
        <v>42820.0</v>
      </c>
      <c r="C2375" s="5">
        <f>DATE(2012,12,31)-1049</f>
        <v>40225</v>
      </c>
      <c r="D2375" s="4" t="s">
        <v>21</v>
      </c>
      <c r="E2375" s="4">
        <v>27.0</v>
      </c>
      <c r="F2375" s="4">
        <v>141.56</v>
      </c>
      <c r="G2375" s="4">
        <v>0.1</v>
      </c>
      <c r="H2375" s="4" t="s">
        <v>22</v>
      </c>
      <c r="I2375" s="6">
        <v>-2.852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ht="12.75" customHeight="1">
      <c r="A2376" s="4">
        <v>6042.0</v>
      </c>
      <c r="B2376" s="4">
        <v>42848.0</v>
      </c>
      <c r="C2376" s="5">
        <f>DATE(2012,12,31)-86</f>
        <v>41188</v>
      </c>
      <c r="D2376" s="4" t="s">
        <v>45</v>
      </c>
      <c r="E2376" s="4">
        <v>50.0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2">C2376+2</f>
        <v>41190</v>
      </c>
    </row>
    <row r="2377" ht="12.75" customHeight="1">
      <c r="A2377" s="4">
        <v>6106.0</v>
      </c>
      <c r="B2377" s="4">
        <v>43269.0</v>
      </c>
      <c r="C2377" s="5">
        <f t="shared" ref="C2377:C2378" si="1053">DATE(2012,12,31)-1361</f>
        <v>39913</v>
      </c>
      <c r="D2377" s="4" t="s">
        <v>78</v>
      </c>
      <c r="E2377" s="4">
        <v>16.0</v>
      </c>
      <c r="F2377" s="4">
        <v>843.15</v>
      </c>
      <c r="G2377" s="4">
        <v>0.0</v>
      </c>
      <c r="H2377" s="4" t="s">
        <v>22</v>
      </c>
      <c r="I2377" s="6">
        <v>355.0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2"/>
        <v>39915</v>
      </c>
    </row>
    <row r="2378" ht="12.75" customHeight="1">
      <c r="A2378" s="4">
        <v>6107.0</v>
      </c>
      <c r="B2378" s="4">
        <v>43269.0</v>
      </c>
      <c r="C2378" s="5">
        <f t="shared" si="1053"/>
        <v>39913</v>
      </c>
      <c r="D2378" s="4" t="s">
        <v>78</v>
      </c>
      <c r="E2378" s="4">
        <v>24.0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19.99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2"/>
        <v>39915</v>
      </c>
    </row>
    <row r="2379" ht="12.75" customHeight="1">
      <c r="A2379" s="4">
        <v>6126.0</v>
      </c>
      <c r="B2379" s="4">
        <v>43367.0</v>
      </c>
      <c r="C2379" s="5">
        <f t="shared" ref="C2379:C2381" si="1054">DATE(2012,12,31)-1028</f>
        <v>40246</v>
      </c>
      <c r="D2379" s="4" t="s">
        <v>78</v>
      </c>
      <c r="E2379" s="4">
        <v>3.0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ht="12.75" customHeight="1">
      <c r="A2380" s="4">
        <v>6127.0</v>
      </c>
      <c r="B2380" s="4">
        <v>43367.0</v>
      </c>
      <c r="C2380" s="5">
        <f t="shared" si="1054"/>
        <v>40246</v>
      </c>
      <c r="D2380" s="4" t="s">
        <v>78</v>
      </c>
      <c r="E2380" s="4">
        <v>16.0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ht="12.75" customHeight="1">
      <c r="A2381" s="4">
        <v>6128.0</v>
      </c>
      <c r="B2381" s="4">
        <v>43367.0</v>
      </c>
      <c r="C2381" s="5">
        <f t="shared" si="1054"/>
        <v>40246</v>
      </c>
      <c r="D2381" s="4" t="s">
        <v>78</v>
      </c>
      <c r="E2381" s="4">
        <v>18.0</v>
      </c>
      <c r="F2381" s="4">
        <v>1221.62</v>
      </c>
      <c r="G2381" s="4">
        <v>0.01</v>
      </c>
      <c r="H2381" s="4" t="s">
        <v>22</v>
      </c>
      <c r="I2381" s="6">
        <v>-468.64</v>
      </c>
      <c r="J2381" s="4">
        <v>64.65</v>
      </c>
      <c r="K2381" s="4">
        <v>35.0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ht="12.75" customHeight="1">
      <c r="A2382" s="4">
        <v>6132.0</v>
      </c>
      <c r="B2382" s="4">
        <v>43399.0</v>
      </c>
      <c r="C2382" s="5">
        <f t="shared" ref="C2382:C2384" si="1055">DATE(2012,12,31)-1250</f>
        <v>40024</v>
      </c>
      <c r="D2382" s="4" t="s">
        <v>30</v>
      </c>
      <c r="E2382" s="4">
        <v>35.0</v>
      </c>
      <c r="F2382" s="4">
        <v>59.66</v>
      </c>
      <c r="G2382" s="4">
        <v>0.05</v>
      </c>
      <c r="H2382" s="4" t="s">
        <v>22</v>
      </c>
      <c r="I2382" s="6">
        <v>-33.34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ht="12.75" customHeight="1">
      <c r="A2383" s="4">
        <v>6133.0</v>
      </c>
      <c r="B2383" s="4">
        <v>43399.0</v>
      </c>
      <c r="C2383" s="5">
        <f t="shared" si="1055"/>
        <v>40024</v>
      </c>
      <c r="D2383" s="4" t="s">
        <v>30</v>
      </c>
      <c r="E2383" s="4">
        <v>2.0</v>
      </c>
      <c r="F2383" s="4">
        <v>377.016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6">C2383+2</f>
        <v>40026</v>
      </c>
    </row>
    <row r="2384" ht="12.75" customHeight="1">
      <c r="A2384" s="4">
        <v>6134.0</v>
      </c>
      <c r="B2384" s="4">
        <v>43399.0</v>
      </c>
      <c r="C2384" s="5">
        <f t="shared" si="1055"/>
        <v>40024</v>
      </c>
      <c r="D2384" s="4" t="s">
        <v>30</v>
      </c>
      <c r="E2384" s="4">
        <v>8.0</v>
      </c>
      <c r="F2384" s="4">
        <v>124.7</v>
      </c>
      <c r="G2384" s="4">
        <v>0.0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6"/>
        <v>40026</v>
      </c>
    </row>
    <row r="2385" ht="12.75" customHeight="1">
      <c r="A2385" s="4">
        <v>6189.0</v>
      </c>
      <c r="B2385" s="4">
        <v>43875.0</v>
      </c>
      <c r="C2385" s="5">
        <f t="shared" ref="C2385:C2389" si="1057">DATE(2012,12,31)-390</f>
        <v>40884</v>
      </c>
      <c r="D2385" s="4" t="s">
        <v>78</v>
      </c>
      <c r="E2385" s="4">
        <v>24.0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ht="12.75" customHeight="1">
      <c r="A2386" s="4">
        <v>6190.0</v>
      </c>
      <c r="B2386" s="4">
        <v>43875.0</v>
      </c>
      <c r="C2386" s="5">
        <f t="shared" si="1057"/>
        <v>40884</v>
      </c>
      <c r="D2386" s="4" t="s">
        <v>78</v>
      </c>
      <c r="E2386" s="4">
        <v>17.0</v>
      </c>
      <c r="F2386" s="4">
        <v>2573.92</v>
      </c>
      <c r="G2386" s="4">
        <v>0.07</v>
      </c>
      <c r="H2386" s="4" t="s">
        <v>31</v>
      </c>
      <c r="I2386" s="6">
        <v>117.23</v>
      </c>
      <c r="J2386" s="4">
        <v>150.98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</v>
      </c>
      <c r="U2386" s="5">
        <f t="shared" ref="U2386:U2387" si="1058">C2386+2</f>
        <v>40886</v>
      </c>
    </row>
    <row r="2387" ht="12.75" customHeight="1">
      <c r="A2387" s="4">
        <v>6191.0</v>
      </c>
      <c r="B2387" s="4">
        <v>43875.0</v>
      </c>
      <c r="C2387" s="5">
        <f t="shared" si="1057"/>
        <v>40884</v>
      </c>
      <c r="D2387" s="4" t="s">
        <v>78</v>
      </c>
      <c r="E2387" s="4">
        <v>40.0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8"/>
        <v>40886</v>
      </c>
    </row>
    <row r="2388" ht="12.75" customHeight="1">
      <c r="A2388" s="4">
        <v>6192.0</v>
      </c>
      <c r="B2388" s="4">
        <v>43875.0</v>
      </c>
      <c r="C2388" s="5">
        <f t="shared" si="1057"/>
        <v>40884</v>
      </c>
      <c r="D2388" s="4" t="s">
        <v>78</v>
      </c>
      <c r="E2388" s="4">
        <v>16.0</v>
      </c>
      <c r="F2388" s="4">
        <v>2795.004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0.58</v>
      </c>
      <c r="U2388" s="5">
        <f>C2388+1</f>
        <v>40885</v>
      </c>
    </row>
    <row r="2389" ht="12.75" customHeight="1">
      <c r="A2389" s="4">
        <v>6193.0</v>
      </c>
      <c r="B2389" s="4">
        <v>43875.0</v>
      </c>
      <c r="C2389" s="5">
        <f t="shared" si="1057"/>
        <v>40884</v>
      </c>
      <c r="D2389" s="4" t="s">
        <v>78</v>
      </c>
      <c r="E2389" s="4">
        <v>25.0</v>
      </c>
      <c r="F2389" s="4">
        <v>2564.5775</v>
      </c>
      <c r="G2389" s="4">
        <v>0.07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0.58</v>
      </c>
      <c r="U2389" s="5">
        <f>C2389+2</f>
        <v>40886</v>
      </c>
    </row>
    <row r="2390" ht="12.75" customHeight="1">
      <c r="A2390" s="4">
        <v>6237.0</v>
      </c>
      <c r="B2390" s="4">
        <v>44197.0</v>
      </c>
      <c r="C2390" s="5">
        <f>DATE(2012,12,31)-1441</f>
        <v>39833</v>
      </c>
      <c r="D2390" s="4" t="s">
        <v>30</v>
      </c>
      <c r="E2390" s="4">
        <v>27.0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140.98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ht="12.75" customHeight="1">
      <c r="A2391" s="4">
        <v>6242.0</v>
      </c>
      <c r="B2391" s="4">
        <v>44229.0</v>
      </c>
      <c r="C2391" s="5">
        <f>DATE(2012,12,31)-962</f>
        <v>40312</v>
      </c>
      <c r="D2391" s="4" t="s">
        <v>63</v>
      </c>
      <c r="E2391" s="4">
        <v>39.0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ht="12.75" customHeight="1">
      <c r="A2392" s="4">
        <v>6268.0</v>
      </c>
      <c r="B2392" s="4">
        <v>44386.0</v>
      </c>
      <c r="C2392" s="5">
        <f t="shared" ref="C2392:C2393" si="1059">DATE(2012,12,31)-266</f>
        <v>41008</v>
      </c>
      <c r="D2392" s="4" t="s">
        <v>63</v>
      </c>
      <c r="E2392" s="4">
        <v>27.0</v>
      </c>
      <c r="F2392" s="4">
        <v>129.06</v>
      </c>
      <c r="G2392" s="4">
        <v>0.1</v>
      </c>
      <c r="H2392" s="4" t="s">
        <v>22</v>
      </c>
      <c r="I2392" s="6">
        <v>-75.1295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60">C2392+2</f>
        <v>41010</v>
      </c>
    </row>
    <row r="2393" ht="12.75" customHeight="1">
      <c r="A2393" s="4">
        <v>6269.0</v>
      </c>
      <c r="B2393" s="4">
        <v>44386.0</v>
      </c>
      <c r="C2393" s="5">
        <f t="shared" si="1059"/>
        <v>41008</v>
      </c>
      <c r="D2393" s="4" t="s">
        <v>63</v>
      </c>
      <c r="E2393" s="4">
        <v>43.0</v>
      </c>
      <c r="F2393" s="4">
        <v>1236.64</v>
      </c>
      <c r="G2393" s="4">
        <v>0.01</v>
      </c>
      <c r="H2393" s="4" t="s">
        <v>22</v>
      </c>
      <c r="I2393" s="6">
        <v>518.81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60"/>
        <v>41010</v>
      </c>
    </row>
    <row r="2394" ht="12.75" customHeight="1">
      <c r="A2394" s="4">
        <v>6272.0</v>
      </c>
      <c r="B2394" s="4">
        <v>44390.0</v>
      </c>
      <c r="C2394" s="5">
        <f>DATE(2012,12,31)-759</f>
        <v>40515</v>
      </c>
      <c r="D2394" s="4" t="s">
        <v>45</v>
      </c>
      <c r="E2394" s="4">
        <v>32.0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60"/>
        <v>40517</v>
      </c>
    </row>
    <row r="2395" ht="12.75" customHeight="1">
      <c r="A2395" s="4">
        <v>6303.0</v>
      </c>
      <c r="B2395" s="4">
        <v>44612.0</v>
      </c>
      <c r="C2395" s="5">
        <f>DATE(2012,12,31)-659</f>
        <v>40615</v>
      </c>
      <c r="D2395" s="4" t="s">
        <v>30</v>
      </c>
      <c r="E2395" s="4">
        <v>6.0</v>
      </c>
      <c r="F2395" s="4">
        <v>428.723</v>
      </c>
      <c r="G2395" s="4">
        <v>0.06</v>
      </c>
      <c r="H2395" s="4" t="s">
        <v>22</v>
      </c>
      <c r="I2395" s="6">
        <v>-147.719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60"/>
        <v>40617</v>
      </c>
    </row>
    <row r="2396" ht="12.75" customHeight="1">
      <c r="A2396" s="4">
        <v>6307.0</v>
      </c>
      <c r="B2396" s="4">
        <v>44614.0</v>
      </c>
      <c r="C2396" s="5">
        <f t="shared" ref="C2396:C2397" si="1061">DATE(2012,12,31)-931</f>
        <v>40343</v>
      </c>
      <c r="D2396" s="4" t="s">
        <v>21</v>
      </c>
      <c r="E2396" s="4">
        <v>18.0</v>
      </c>
      <c r="F2396" s="4">
        <v>55.35</v>
      </c>
      <c r="G2396" s="4">
        <v>0.0</v>
      </c>
      <c r="H2396" s="4" t="s">
        <v>56</v>
      </c>
      <c r="I2396" s="6">
        <v>-56.63</v>
      </c>
      <c r="J2396" s="4">
        <v>2.22</v>
      </c>
      <c r="K2396" s="4">
        <v>5.0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</v>
      </c>
      <c r="U2396" s="5">
        <f>C2396+4</f>
        <v>40347</v>
      </c>
    </row>
    <row r="2397" ht="12.75" customHeight="1">
      <c r="A2397" s="4">
        <v>6308.0</v>
      </c>
      <c r="B2397" s="4">
        <v>44614.0</v>
      </c>
      <c r="C2397" s="5">
        <f t="shared" si="1061"/>
        <v>40343</v>
      </c>
      <c r="D2397" s="4" t="s">
        <v>21</v>
      </c>
      <c r="E2397" s="4">
        <v>27.0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ht="12.75" customHeight="1">
      <c r="A2398" s="4">
        <v>6309.0</v>
      </c>
      <c r="B2398" s="4">
        <v>44615.0</v>
      </c>
      <c r="C2398" s="5">
        <f>DATE(2012,12,31)-967</f>
        <v>40307</v>
      </c>
      <c r="D2398" s="4" t="s">
        <v>63</v>
      </c>
      <c r="E2398" s="4">
        <v>19.0</v>
      </c>
      <c r="F2398" s="4">
        <v>36.37</v>
      </c>
      <c r="G2398" s="4">
        <v>0.07</v>
      </c>
      <c r="H2398" s="4" t="s">
        <v>22</v>
      </c>
      <c r="I2398" s="6">
        <v>-10.258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ht="12.75" customHeight="1">
      <c r="A2399" s="4">
        <v>6331.0</v>
      </c>
      <c r="B2399" s="4">
        <v>44864.0</v>
      </c>
      <c r="C2399" s="5">
        <f>DATE(2012,12,31)-928</f>
        <v>40346</v>
      </c>
      <c r="D2399" s="4" t="s">
        <v>21</v>
      </c>
      <c r="E2399" s="4">
        <v>25.0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0.58</v>
      </c>
      <c r="U2399" s="5">
        <f>C2399+7</f>
        <v>40353</v>
      </c>
    </row>
    <row r="2400" ht="12.75" customHeight="1">
      <c r="A2400" s="4">
        <v>6336.0</v>
      </c>
      <c r="B2400" s="4">
        <v>44900.0</v>
      </c>
      <c r="C2400" s="5">
        <f>DATE(2012,12,31)-1056</f>
        <v>40218</v>
      </c>
      <c r="D2400" s="4" t="s">
        <v>63</v>
      </c>
      <c r="E2400" s="4">
        <v>4.0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ht="12.75" customHeight="1">
      <c r="A2401" s="4">
        <v>6340.0</v>
      </c>
      <c r="B2401" s="4">
        <v>44960.0</v>
      </c>
      <c r="C2401" s="5">
        <f t="shared" ref="C2401:C2403" si="1062">DATE(2012,12,31)-608</f>
        <v>40666</v>
      </c>
      <c r="D2401" s="4" t="s">
        <v>21</v>
      </c>
      <c r="E2401" s="4">
        <v>16.0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ht="12.75" customHeight="1">
      <c r="A2402" s="4">
        <v>6341.0</v>
      </c>
      <c r="B2402" s="4">
        <v>44960.0</v>
      </c>
      <c r="C2402" s="5">
        <f t="shared" si="1062"/>
        <v>40666</v>
      </c>
      <c r="D2402" s="4" t="s">
        <v>21</v>
      </c>
      <c r="E2402" s="4">
        <v>22.0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ht="12.75" customHeight="1">
      <c r="A2403" s="4">
        <v>6342.0</v>
      </c>
      <c r="B2403" s="4">
        <v>44960.0</v>
      </c>
      <c r="C2403" s="5">
        <f t="shared" si="1062"/>
        <v>40666</v>
      </c>
      <c r="D2403" s="4" t="s">
        <v>21</v>
      </c>
      <c r="E2403" s="4">
        <v>17.0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ht="12.75" customHeight="1">
      <c r="A2404" s="4">
        <v>6346.0</v>
      </c>
      <c r="B2404" s="4">
        <v>44992.0</v>
      </c>
      <c r="C2404" s="5">
        <f t="shared" ref="C2404:C2405" si="1063">DATE(2012,12,31)-7</f>
        <v>41267</v>
      </c>
      <c r="D2404" s="4" t="s">
        <v>78</v>
      </c>
      <c r="E2404" s="4">
        <v>32.0</v>
      </c>
      <c r="F2404" s="4">
        <v>1673.53</v>
      </c>
      <c r="G2404" s="4">
        <v>0.0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4">C2404+2</f>
        <v>41269</v>
      </c>
    </row>
    <row r="2405" ht="12.75" customHeight="1">
      <c r="A2405" s="4">
        <v>6347.0</v>
      </c>
      <c r="B2405" s="4">
        <v>44992.0</v>
      </c>
      <c r="C2405" s="5">
        <f t="shared" si="1063"/>
        <v>41267</v>
      </c>
      <c r="D2405" s="4" t="s">
        <v>78</v>
      </c>
      <c r="E2405" s="4">
        <v>32.0</v>
      </c>
      <c r="F2405" s="4">
        <v>7110.24</v>
      </c>
      <c r="G2405" s="4">
        <v>0.06</v>
      </c>
      <c r="H2405" s="4" t="s">
        <v>31</v>
      </c>
      <c r="I2405" s="6">
        <v>-536.166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4"/>
        <v>41269</v>
      </c>
    </row>
    <row r="2406" ht="12.75" customHeight="1">
      <c r="A2406" s="4">
        <v>6359.0</v>
      </c>
      <c r="B2406" s="4">
        <v>45125.0</v>
      </c>
      <c r="C2406" s="5">
        <f t="shared" ref="C2406:C2407" si="1065">DATE(2012,12,31)-217</f>
        <v>41057</v>
      </c>
      <c r="D2406" s="4" t="s">
        <v>78</v>
      </c>
      <c r="E2406" s="4">
        <v>6.0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160.98</v>
      </c>
      <c r="K2406" s="4">
        <v>35.02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6">C2406+1</f>
        <v>41058</v>
      </c>
    </row>
    <row r="2407" ht="12.75" customHeight="1">
      <c r="A2407" s="4">
        <v>6360.0</v>
      </c>
      <c r="B2407" s="4">
        <v>45125.0</v>
      </c>
      <c r="C2407" s="5">
        <f t="shared" si="1065"/>
        <v>41057</v>
      </c>
      <c r="D2407" s="4" t="s">
        <v>78</v>
      </c>
      <c r="E2407" s="4">
        <v>32.0</v>
      </c>
      <c r="F2407" s="4">
        <v>4834.8</v>
      </c>
      <c r="G2407" s="4">
        <v>0.0</v>
      </c>
      <c r="H2407" s="4" t="s">
        <v>22</v>
      </c>
      <c r="I2407" s="6">
        <v>1193.112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6"/>
        <v>41058</v>
      </c>
    </row>
    <row r="2408" ht="12.75" customHeight="1">
      <c r="A2408" s="4">
        <v>6371.0</v>
      </c>
      <c r="B2408" s="4">
        <v>45190.0</v>
      </c>
      <c r="C2408" s="5">
        <f>DATE(2012,12,31)-773</f>
        <v>40501</v>
      </c>
      <c r="D2408" s="4" t="s">
        <v>30</v>
      </c>
      <c r="E2408" s="4">
        <v>13.0</v>
      </c>
      <c r="F2408" s="4">
        <v>2084.96</v>
      </c>
      <c r="G2408" s="4">
        <v>0.0</v>
      </c>
      <c r="H2408" s="4" t="s">
        <v>31</v>
      </c>
      <c r="I2408" s="6">
        <v>135.26</v>
      </c>
      <c r="J2408" s="4">
        <v>150.98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</v>
      </c>
      <c r="U2408" s="5">
        <f>C2408+0</f>
        <v>40501</v>
      </c>
    </row>
    <row r="2409" ht="12.75" customHeight="1">
      <c r="A2409" s="4">
        <v>6401.0</v>
      </c>
      <c r="B2409" s="4">
        <v>45414.0</v>
      </c>
      <c r="C2409" s="5">
        <f>DATE(2012,12,31)-1419</f>
        <v>39855</v>
      </c>
      <c r="D2409" s="4" t="s">
        <v>78</v>
      </c>
      <c r="E2409" s="4">
        <v>17.0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49.0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ht="12.75" customHeight="1">
      <c r="A2410" s="4">
        <v>6429.0</v>
      </c>
      <c r="B2410" s="4">
        <v>45700.0</v>
      </c>
      <c r="C2410" s="5">
        <f>DATE(2012,12,31)-48</f>
        <v>41226</v>
      </c>
      <c r="D2410" s="4" t="s">
        <v>30</v>
      </c>
      <c r="E2410" s="4">
        <v>43.0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</v>
      </c>
      <c r="U2410" s="5">
        <f>C2410+0</f>
        <v>41226</v>
      </c>
    </row>
    <row r="2411" ht="12.75" customHeight="1">
      <c r="A2411" s="4">
        <v>6443.0</v>
      </c>
      <c r="B2411" s="4">
        <v>45824.0</v>
      </c>
      <c r="C2411" s="5">
        <f>DATE(2012,12,31)-1121</f>
        <v>40153</v>
      </c>
      <c r="D2411" s="4" t="s">
        <v>45</v>
      </c>
      <c r="E2411" s="4">
        <v>44.0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0.57</v>
      </c>
      <c r="U2411" s="5">
        <f t="shared" ref="U2411:U2412" si="1067">C2411+2</f>
        <v>40155</v>
      </c>
    </row>
    <row r="2412" ht="12.75" customHeight="1">
      <c r="A2412" s="4">
        <v>6461.0</v>
      </c>
      <c r="B2412" s="4">
        <v>45991.0</v>
      </c>
      <c r="C2412" s="5">
        <f t="shared" ref="C2412:C2413" si="1068">DATE(2012,12,31)-686</f>
        <v>40588</v>
      </c>
      <c r="D2412" s="4" t="s">
        <v>21</v>
      </c>
      <c r="E2412" s="4">
        <v>1.0</v>
      </c>
      <c r="F2412" s="4">
        <v>131.27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7"/>
        <v>40590</v>
      </c>
    </row>
    <row r="2413" ht="12.75" customHeight="1">
      <c r="A2413" s="4">
        <v>6462.0</v>
      </c>
      <c r="B2413" s="4">
        <v>45991.0</v>
      </c>
      <c r="C2413" s="5">
        <f t="shared" si="1068"/>
        <v>40588</v>
      </c>
      <c r="D2413" s="4" t="s">
        <v>21</v>
      </c>
      <c r="E2413" s="4">
        <v>50.0</v>
      </c>
      <c r="F2413" s="4">
        <v>196.39</v>
      </c>
      <c r="G2413" s="4">
        <v>0.07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ht="12.75" customHeight="1">
      <c r="A2414" s="4">
        <v>6502.0</v>
      </c>
      <c r="B2414" s="4">
        <v>46307.0</v>
      </c>
      <c r="C2414" s="5">
        <f t="shared" ref="C2414:C2415" si="1069">DATE(2012,12,31)-694</f>
        <v>40580</v>
      </c>
      <c r="D2414" s="4" t="s">
        <v>63</v>
      </c>
      <c r="E2414" s="4">
        <v>32.0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ht="12.75" customHeight="1">
      <c r="A2415" s="4">
        <v>6503.0</v>
      </c>
      <c r="B2415" s="4">
        <v>46307.0</v>
      </c>
      <c r="C2415" s="5">
        <f t="shared" si="1069"/>
        <v>40580</v>
      </c>
      <c r="D2415" s="4" t="s">
        <v>63</v>
      </c>
      <c r="E2415" s="4">
        <v>27.0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ht="12.75" customHeight="1">
      <c r="A2416" s="4">
        <v>6524.0</v>
      </c>
      <c r="B2416" s="4">
        <v>46434.0</v>
      </c>
      <c r="C2416" s="5">
        <f>DATE(2012,12,31)-1005</f>
        <v>40269</v>
      </c>
      <c r="D2416" s="4" t="s">
        <v>78</v>
      </c>
      <c r="E2416" s="4">
        <v>34.0</v>
      </c>
      <c r="F2416" s="4">
        <v>800.39</v>
      </c>
      <c r="G2416" s="4">
        <v>0.06</v>
      </c>
      <c r="H2416" s="4" t="s">
        <v>22</v>
      </c>
      <c r="I2416" s="6">
        <v>270.2915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70">C2416+1</f>
        <v>40270</v>
      </c>
    </row>
    <row r="2417" ht="12.75" customHeight="1">
      <c r="A2417" s="4">
        <v>6527.0</v>
      </c>
      <c r="B2417" s="4">
        <v>46466.0</v>
      </c>
      <c r="C2417" s="5">
        <f>DATE(2012,12,31)-314</f>
        <v>40960</v>
      </c>
      <c r="D2417" s="4" t="s">
        <v>63</v>
      </c>
      <c r="E2417" s="4">
        <v>7.0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70"/>
        <v>40961</v>
      </c>
    </row>
    <row r="2418" ht="12.75" customHeight="1">
      <c r="A2418" s="4">
        <v>6538.0</v>
      </c>
      <c r="B2418" s="4">
        <v>46528.0</v>
      </c>
      <c r="C2418" s="5">
        <f t="shared" ref="C2418:C2419" si="1071">DATE(2012,12,31)-1121</f>
        <v>40153</v>
      </c>
      <c r="D2418" s="4" t="s">
        <v>63</v>
      </c>
      <c r="E2418" s="4">
        <v>43.0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70.71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ht="12.75" customHeight="1">
      <c r="A2419" s="4">
        <v>6539.0</v>
      </c>
      <c r="B2419" s="4">
        <v>46528.0</v>
      </c>
      <c r="C2419" s="5">
        <f t="shared" si="1071"/>
        <v>40153</v>
      </c>
      <c r="D2419" s="4" t="s">
        <v>63</v>
      </c>
      <c r="E2419" s="4">
        <v>23.0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9.54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ht="12.75" customHeight="1">
      <c r="A2420" s="4">
        <v>6558.0</v>
      </c>
      <c r="B2420" s="4">
        <v>46626.0</v>
      </c>
      <c r="C2420" s="5">
        <f>DATE(2012,12,31)-187</f>
        <v>41087</v>
      </c>
      <c r="D2420" s="4" t="s">
        <v>21</v>
      </c>
      <c r="E2420" s="4">
        <v>8.0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0.58</v>
      </c>
      <c r="U2420" s="5">
        <f>C2420+4</f>
        <v>41091</v>
      </c>
    </row>
    <row r="2421" ht="12.75" customHeight="1">
      <c r="A2421" s="4">
        <v>6581.0</v>
      </c>
      <c r="B2421" s="4">
        <v>46853.0</v>
      </c>
      <c r="C2421" s="5">
        <f>DATE(2012,12,31)-1319</f>
        <v>39955</v>
      </c>
      <c r="D2421" s="4" t="s">
        <v>21</v>
      </c>
      <c r="E2421" s="4">
        <v>22.0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ht="12.75" customHeight="1">
      <c r="A2422" s="4">
        <v>6582.0</v>
      </c>
      <c r="B2422" s="4">
        <v>46855.0</v>
      </c>
      <c r="C2422" s="5">
        <f>DATE(2012,12,31)-1032</f>
        <v>40242</v>
      </c>
      <c r="D2422" s="4" t="s">
        <v>30</v>
      </c>
      <c r="E2422" s="4">
        <v>32.0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ht="12.75" customHeight="1">
      <c r="A2423" s="4">
        <v>6595.0</v>
      </c>
      <c r="B2423" s="4">
        <v>46919.0</v>
      </c>
      <c r="C2423" s="5">
        <f>DATE(2012,12,31)-1292</f>
        <v>39982</v>
      </c>
      <c r="D2423" s="4" t="s">
        <v>21</v>
      </c>
      <c r="E2423" s="4">
        <v>31.0</v>
      </c>
      <c r="F2423" s="4">
        <v>4483.92</v>
      </c>
      <c r="G2423" s="4">
        <v>0.07</v>
      </c>
      <c r="H2423" s="4" t="s">
        <v>22</v>
      </c>
      <c r="I2423" s="6">
        <v>174.61</v>
      </c>
      <c r="J2423" s="4">
        <v>152.48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2">C2423+2</f>
        <v>39984</v>
      </c>
    </row>
    <row r="2424" ht="12.75" customHeight="1">
      <c r="A2424" s="4">
        <v>6599.0</v>
      </c>
      <c r="B2424" s="4">
        <v>46977.0</v>
      </c>
      <c r="C2424" s="5">
        <f t="shared" ref="C2424:C2425" si="1073">DATE(2012,12,31)-238</f>
        <v>41036</v>
      </c>
      <c r="D2424" s="4" t="s">
        <v>63</v>
      </c>
      <c r="E2424" s="4">
        <v>10.0</v>
      </c>
      <c r="F2424" s="4">
        <v>50.42</v>
      </c>
      <c r="G2424" s="4">
        <v>0.06</v>
      </c>
      <c r="H2424" s="4" t="s">
        <v>22</v>
      </c>
      <c r="I2424" s="6">
        <v>7.2505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2"/>
        <v>41038</v>
      </c>
    </row>
    <row r="2425" ht="12.75" customHeight="1">
      <c r="A2425" s="4">
        <v>6600.0</v>
      </c>
      <c r="B2425" s="4">
        <v>46977.0</v>
      </c>
      <c r="C2425" s="5">
        <f t="shared" si="1073"/>
        <v>41036</v>
      </c>
      <c r="D2425" s="4" t="s">
        <v>63</v>
      </c>
      <c r="E2425" s="4">
        <v>19.0</v>
      </c>
      <c r="F2425" s="4">
        <v>2980.372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0.57</v>
      </c>
      <c r="U2425" s="5">
        <f t="shared" si="1072"/>
        <v>41038</v>
      </c>
    </row>
    <row r="2426" ht="12.75" customHeight="1">
      <c r="A2426" s="4">
        <v>6612.0</v>
      </c>
      <c r="B2426" s="4">
        <v>47041.0</v>
      </c>
      <c r="C2426" s="5">
        <f>DATE(2012,12,31)-274</f>
        <v>41000</v>
      </c>
      <c r="D2426" s="4" t="s">
        <v>45</v>
      </c>
      <c r="E2426" s="4">
        <v>35.0</v>
      </c>
      <c r="F2426" s="4">
        <v>154.0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2"/>
        <v>41002</v>
      </c>
    </row>
    <row r="2427" ht="12.75" customHeight="1">
      <c r="A2427" s="4">
        <v>6650.0</v>
      </c>
      <c r="B2427" s="4">
        <v>47301.0</v>
      </c>
      <c r="C2427" s="5">
        <f>DATE(2012,12,31)-533</f>
        <v>40741</v>
      </c>
      <c r="D2427" s="4" t="s">
        <v>21</v>
      </c>
      <c r="E2427" s="4">
        <v>6.0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35.0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ht="12.75" customHeight="1">
      <c r="A2428" s="4">
        <v>6701.0</v>
      </c>
      <c r="B2428" s="4">
        <v>47714.0</v>
      </c>
      <c r="C2428" s="5">
        <f>DATE(2012,12,31)-662</f>
        <v>40612</v>
      </c>
      <c r="D2428" s="4" t="s">
        <v>63</v>
      </c>
      <c r="E2428" s="4">
        <v>29.0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ht="12.75" customHeight="1">
      <c r="A2429" s="4">
        <v>6742.0</v>
      </c>
      <c r="B2429" s="4">
        <v>48003.0</v>
      </c>
      <c r="C2429" s="5">
        <f t="shared" ref="C2429:C2430" si="1074">DATE(2012,12,31)-340</f>
        <v>40934</v>
      </c>
      <c r="D2429" s="4" t="s">
        <v>63</v>
      </c>
      <c r="E2429" s="4">
        <v>30.0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5">C2429+2</f>
        <v>40936</v>
      </c>
    </row>
    <row r="2430" ht="12.75" customHeight="1">
      <c r="A2430" s="4">
        <v>6743.0</v>
      </c>
      <c r="B2430" s="4">
        <v>48003.0</v>
      </c>
      <c r="C2430" s="5">
        <f t="shared" si="1074"/>
        <v>40934</v>
      </c>
      <c r="D2430" s="4" t="s">
        <v>63</v>
      </c>
      <c r="E2430" s="4">
        <v>12.0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5"/>
        <v>40936</v>
      </c>
    </row>
    <row r="2431" ht="12.75" customHeight="1">
      <c r="A2431" s="4">
        <v>6766.0</v>
      </c>
      <c r="B2431" s="4">
        <v>48195.0</v>
      </c>
      <c r="C2431" s="5">
        <f t="shared" ref="C2431:C2433" si="1076">DATE(2012,12,31)-765</f>
        <v>40509</v>
      </c>
      <c r="D2431" s="4" t="s">
        <v>45</v>
      </c>
      <c r="E2431" s="4">
        <v>35.0</v>
      </c>
      <c r="F2431" s="4">
        <v>3337.5164999999997</v>
      </c>
      <c r="G2431" s="4">
        <v>0.07</v>
      </c>
      <c r="H2431" s="4" t="s">
        <v>22</v>
      </c>
      <c r="I2431" s="6">
        <v>850.536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0.57</v>
      </c>
      <c r="U2431" s="5">
        <f>C2431+1</f>
        <v>40510</v>
      </c>
    </row>
    <row r="2432" ht="12.75" customHeight="1">
      <c r="A2432" s="4">
        <v>6767.0</v>
      </c>
      <c r="B2432" s="4">
        <v>48195.0</v>
      </c>
      <c r="C2432" s="5">
        <f t="shared" si="1076"/>
        <v>40509</v>
      </c>
      <c r="D2432" s="4" t="s">
        <v>45</v>
      </c>
      <c r="E2432" s="4">
        <v>35.0</v>
      </c>
      <c r="F2432" s="4">
        <v>1018.4019999999999</v>
      </c>
      <c r="G2432" s="4">
        <v>0.09</v>
      </c>
      <c r="H2432" s="4" t="s">
        <v>22</v>
      </c>
      <c r="I2432" s="6">
        <v>296.865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ht="12.75" customHeight="1">
      <c r="A2433" s="4">
        <v>6768.0</v>
      </c>
      <c r="B2433" s="4">
        <v>48195.0</v>
      </c>
      <c r="C2433" s="5">
        <f t="shared" si="1076"/>
        <v>40509</v>
      </c>
      <c r="D2433" s="4" t="s">
        <v>45</v>
      </c>
      <c r="E2433" s="4">
        <v>47.0</v>
      </c>
      <c r="F2433" s="4">
        <v>2679.1234999999997</v>
      </c>
      <c r="G2433" s="4">
        <v>0.01</v>
      </c>
      <c r="H2433" s="4" t="s">
        <v>22</v>
      </c>
      <c r="I2433" s="6">
        <v>47.277</v>
      </c>
      <c r="J2433" s="4">
        <v>65.99</v>
      </c>
      <c r="K2433" s="4">
        <v>19.99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ht="12.75" customHeight="1">
      <c r="A2434" s="4">
        <v>6789.0</v>
      </c>
      <c r="B2434" s="4">
        <v>48357.0</v>
      </c>
      <c r="C2434" s="5">
        <f>DATE(2012,12,31)-1374</f>
        <v>39900</v>
      </c>
      <c r="D2434" s="4" t="s">
        <v>45</v>
      </c>
      <c r="E2434" s="4">
        <v>16.0</v>
      </c>
      <c r="F2434" s="4">
        <v>2365.43</v>
      </c>
      <c r="G2434" s="4">
        <v>0.04</v>
      </c>
      <c r="H2434" s="4" t="s">
        <v>22</v>
      </c>
      <c r="I2434" s="6">
        <v>619.71</v>
      </c>
      <c r="J2434" s="4">
        <v>150.98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ht="12.75" customHeight="1">
      <c r="A2435" s="4">
        <v>6826.0</v>
      </c>
      <c r="B2435" s="4">
        <v>48615.0</v>
      </c>
      <c r="C2435" s="5">
        <f t="shared" ref="C2435:C2436" si="1077">DATE(2012,12,31)-28</f>
        <v>41246</v>
      </c>
      <c r="D2435" s="4" t="s">
        <v>21</v>
      </c>
      <c r="E2435" s="4">
        <v>4.0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ht="12.75" customHeight="1">
      <c r="A2436" s="4">
        <v>6827.0</v>
      </c>
      <c r="B2436" s="4">
        <v>48615.0</v>
      </c>
      <c r="C2436" s="5">
        <f t="shared" si="1077"/>
        <v>41246</v>
      </c>
      <c r="D2436" s="4" t="s">
        <v>21</v>
      </c>
      <c r="E2436" s="4">
        <v>8.0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ht="12.75" customHeight="1">
      <c r="A2437" s="4">
        <v>6831.0</v>
      </c>
      <c r="B2437" s="4">
        <v>48642.0</v>
      </c>
      <c r="C2437" s="5">
        <f t="shared" ref="C2437:C2438" si="1078">DATE(2012,12,31)-1064</f>
        <v>40210</v>
      </c>
      <c r="D2437" s="4" t="s">
        <v>30</v>
      </c>
      <c r="E2437" s="4">
        <v>4.0</v>
      </c>
      <c r="F2437" s="4">
        <v>37.73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0.58</v>
      </c>
      <c r="U2437" s="5">
        <f>C2437+2</f>
        <v>40212</v>
      </c>
    </row>
    <row r="2438" ht="12.75" customHeight="1">
      <c r="A2438" s="4">
        <v>6832.0</v>
      </c>
      <c r="B2438" s="4">
        <v>48642.0</v>
      </c>
      <c r="C2438" s="5">
        <f t="shared" si="1078"/>
        <v>40210</v>
      </c>
      <c r="D2438" s="4" t="s">
        <v>30</v>
      </c>
      <c r="E2438" s="4">
        <v>5.0</v>
      </c>
      <c r="F2438" s="4">
        <v>519.69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9">C2438+1</f>
        <v>40211</v>
      </c>
    </row>
    <row r="2439" ht="12.75" customHeight="1">
      <c r="A2439" s="4">
        <v>6842.0</v>
      </c>
      <c r="B2439" s="4">
        <v>48710.0</v>
      </c>
      <c r="C2439" s="5">
        <f>DATE(2012,12,31)-1132</f>
        <v>40142</v>
      </c>
      <c r="D2439" s="4" t="s">
        <v>63</v>
      </c>
      <c r="E2439" s="4">
        <v>4.0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9"/>
        <v>40143</v>
      </c>
    </row>
    <row r="2440" ht="12.75" customHeight="1">
      <c r="A2440" s="4">
        <v>6888.0</v>
      </c>
      <c r="B2440" s="4">
        <v>49094.0</v>
      </c>
      <c r="C2440" s="5">
        <f>DATE(2012,12,31)-119</f>
        <v>41155</v>
      </c>
      <c r="D2440" s="4" t="s">
        <v>78</v>
      </c>
      <c r="E2440" s="4">
        <v>31.0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4.0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80">C2440+2</f>
        <v>41157</v>
      </c>
    </row>
    <row r="2441" ht="12.75" customHeight="1">
      <c r="A2441" s="4">
        <v>6891.0</v>
      </c>
      <c r="B2441" s="4">
        <v>49125.0</v>
      </c>
      <c r="C2441" s="5">
        <f>DATE(2012,12,31)-1373</f>
        <v>39901</v>
      </c>
      <c r="D2441" s="4" t="s">
        <v>45</v>
      </c>
      <c r="E2441" s="4">
        <v>29.0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80"/>
        <v>39903</v>
      </c>
    </row>
    <row r="2442" ht="12.75" customHeight="1">
      <c r="A2442" s="4">
        <v>6898.0</v>
      </c>
      <c r="B2442" s="4">
        <v>49216.0</v>
      </c>
      <c r="C2442" s="5">
        <f>DATE(2012,12,31)-1383</f>
        <v>39891</v>
      </c>
      <c r="D2442" s="4" t="s">
        <v>30</v>
      </c>
      <c r="E2442" s="4">
        <v>28.0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</v>
      </c>
      <c r="U2442" s="5">
        <f>C2442+0</f>
        <v>39891</v>
      </c>
    </row>
    <row r="2443" ht="12.75" customHeight="1">
      <c r="A2443" s="4">
        <v>6940.0</v>
      </c>
      <c r="B2443" s="4">
        <v>49538.0</v>
      </c>
      <c r="C2443" s="5">
        <f>DATE(2012,12,31)-1020</f>
        <v>40254</v>
      </c>
      <c r="D2443" s="4" t="s">
        <v>21</v>
      </c>
      <c r="E2443" s="4">
        <v>29.0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ht="12.75" customHeight="1">
      <c r="A2444" s="4">
        <v>6953.0</v>
      </c>
      <c r="B2444" s="4">
        <v>49730.0</v>
      </c>
      <c r="C2444" s="5">
        <f>DATE(2012,12,31)-1457</f>
        <v>39817</v>
      </c>
      <c r="D2444" s="4" t="s">
        <v>30</v>
      </c>
      <c r="E2444" s="4">
        <v>3.0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30.0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ht="12.75" customHeight="1">
      <c r="A2445" s="4">
        <v>6985.0</v>
      </c>
      <c r="B2445" s="4">
        <v>49924.0</v>
      </c>
      <c r="C2445" s="5">
        <f t="shared" ref="C2445:C2446" si="1081">DATE(2012,12,31)-586</f>
        <v>40688</v>
      </c>
      <c r="D2445" s="4" t="s">
        <v>78</v>
      </c>
      <c r="E2445" s="4">
        <v>48.0</v>
      </c>
      <c r="F2445" s="4">
        <v>204.15</v>
      </c>
      <c r="G2445" s="4">
        <v>0.07</v>
      </c>
      <c r="H2445" s="4" t="s">
        <v>22</v>
      </c>
      <c r="I2445" s="6">
        <v>-155.526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2">C2445+2</f>
        <v>40690</v>
      </c>
    </row>
    <row r="2446" ht="12.75" customHeight="1">
      <c r="A2446" s="4">
        <v>6986.0</v>
      </c>
      <c r="B2446" s="4">
        <v>49924.0</v>
      </c>
      <c r="C2446" s="5">
        <f t="shared" si="1081"/>
        <v>40688</v>
      </c>
      <c r="D2446" s="4" t="s">
        <v>78</v>
      </c>
      <c r="E2446" s="4">
        <v>13.0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2"/>
        <v>40690</v>
      </c>
    </row>
    <row r="2447" ht="12.75" customHeight="1">
      <c r="A2447" s="4">
        <v>7046.0</v>
      </c>
      <c r="B2447" s="4">
        <v>50306.0</v>
      </c>
      <c r="C2447" s="5">
        <f>DATE(2012,12,31)-591</f>
        <v>40683</v>
      </c>
      <c r="D2447" s="4" t="s">
        <v>63</v>
      </c>
      <c r="E2447" s="4">
        <v>34.0</v>
      </c>
      <c r="F2447" s="4">
        <v>2010.89</v>
      </c>
      <c r="G2447" s="4">
        <v>0.09</v>
      </c>
      <c r="H2447" s="4" t="s">
        <v>22</v>
      </c>
      <c r="I2447" s="6">
        <v>564.0685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2"/>
        <v>40685</v>
      </c>
    </row>
    <row r="2448" ht="12.75" customHeight="1">
      <c r="A2448" s="4">
        <v>7088.0</v>
      </c>
      <c r="B2448" s="4">
        <v>50566.0</v>
      </c>
      <c r="C2448" s="5">
        <f>DATE(2012,12,31)-481</f>
        <v>40793</v>
      </c>
      <c r="D2448" s="4" t="s">
        <v>45</v>
      </c>
      <c r="E2448" s="4">
        <v>48.0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0.58</v>
      </c>
      <c r="U2448" s="5">
        <f t="shared" si="1082"/>
        <v>40795</v>
      </c>
    </row>
    <row r="2449" ht="12.75" customHeight="1">
      <c r="A2449" s="4">
        <v>7126.0</v>
      </c>
      <c r="B2449" s="4">
        <v>50823.0</v>
      </c>
      <c r="C2449" s="5">
        <f>DATE(2012,12,31)-1259</f>
        <v>40015</v>
      </c>
      <c r="D2449" s="4" t="s">
        <v>21</v>
      </c>
      <c r="E2449" s="4">
        <v>12.0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ht="12.75" customHeight="1">
      <c r="A2450" s="4">
        <v>7131.0</v>
      </c>
      <c r="B2450" s="4">
        <v>50854.0</v>
      </c>
      <c r="C2450" s="5">
        <f t="shared" ref="C2450:C2452" si="1083">DATE(2012,12,31)-380</f>
        <v>40894</v>
      </c>
      <c r="D2450" s="4" t="s">
        <v>78</v>
      </c>
      <c r="E2450" s="4">
        <v>27.0</v>
      </c>
      <c r="F2450" s="4">
        <v>137.5</v>
      </c>
      <c r="G2450" s="4">
        <v>0.07</v>
      </c>
      <c r="H2450" s="4" t="s">
        <v>22</v>
      </c>
      <c r="I2450" s="6">
        <v>-64.239</v>
      </c>
      <c r="J2450" s="4">
        <v>4.98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ht="12.75" customHeight="1">
      <c r="A2451" s="4">
        <v>7132.0</v>
      </c>
      <c r="B2451" s="4">
        <v>50854.0</v>
      </c>
      <c r="C2451" s="5">
        <f t="shared" si="1083"/>
        <v>40894</v>
      </c>
      <c r="D2451" s="4" t="s">
        <v>78</v>
      </c>
      <c r="E2451" s="4">
        <v>12.0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ht="12.75" customHeight="1">
      <c r="A2452" s="4">
        <v>7133.0</v>
      </c>
      <c r="B2452" s="4">
        <v>50854.0</v>
      </c>
      <c r="C2452" s="5">
        <f t="shared" si="1083"/>
        <v>40894</v>
      </c>
      <c r="D2452" s="4" t="s">
        <v>78</v>
      </c>
      <c r="E2452" s="4">
        <v>42.0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0.57</v>
      </c>
      <c r="U2452" s="5">
        <f>C2452+0</f>
        <v>40894</v>
      </c>
    </row>
    <row r="2453" ht="12.75" customHeight="1">
      <c r="A2453" s="4">
        <v>7163.0</v>
      </c>
      <c r="B2453" s="4">
        <v>51109.0</v>
      </c>
      <c r="C2453" s="5">
        <f>DATE(2012,12,31)-53</f>
        <v>41221</v>
      </c>
      <c r="D2453" s="4" t="s">
        <v>30</v>
      </c>
      <c r="E2453" s="4">
        <v>28.0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4.0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ht="12.75" customHeight="1">
      <c r="A2454" s="4">
        <v>7204.0</v>
      </c>
      <c r="B2454" s="4">
        <v>51395.0</v>
      </c>
      <c r="C2454" s="5">
        <f t="shared" ref="C2454:C2455" si="1084">DATE(2012,12,31)-936</f>
        <v>40338</v>
      </c>
      <c r="D2454" s="4" t="s">
        <v>21</v>
      </c>
      <c r="E2454" s="4">
        <v>26.0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ht="12.75" customHeight="1">
      <c r="A2455" s="4">
        <v>7205.0</v>
      </c>
      <c r="B2455" s="4">
        <v>51395.0</v>
      </c>
      <c r="C2455" s="5">
        <f t="shared" si="1084"/>
        <v>40338</v>
      </c>
      <c r="D2455" s="4" t="s">
        <v>21</v>
      </c>
      <c r="E2455" s="4">
        <v>10.0</v>
      </c>
      <c r="F2455" s="4">
        <v>51.65</v>
      </c>
      <c r="G2455" s="4">
        <v>0.1</v>
      </c>
      <c r="H2455" s="4" t="s">
        <v>22</v>
      </c>
      <c r="I2455" s="6">
        <v>-32.13</v>
      </c>
      <c r="J2455" s="4">
        <v>4.98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ht="12.75" customHeight="1">
      <c r="A2456" s="4">
        <v>7234.0</v>
      </c>
      <c r="B2456" s="4">
        <v>51559.0</v>
      </c>
      <c r="C2456" s="5">
        <f>DATE(2012,12,31)-302</f>
        <v>40972</v>
      </c>
      <c r="D2456" s="4" t="s">
        <v>21</v>
      </c>
      <c r="E2456" s="4">
        <v>34.0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0.57</v>
      </c>
      <c r="U2456" s="5">
        <f>C2456+9</f>
        <v>40981</v>
      </c>
    </row>
    <row r="2457" ht="12.75" customHeight="1">
      <c r="A2457" s="4">
        <v>7262.0</v>
      </c>
      <c r="B2457" s="4">
        <v>51813.0</v>
      </c>
      <c r="C2457" s="5">
        <f>DATE(2012,12,31)-10</f>
        <v>41264</v>
      </c>
      <c r="D2457" s="4" t="s">
        <v>45</v>
      </c>
      <c r="E2457" s="4">
        <v>13.0</v>
      </c>
      <c r="F2457" s="4">
        <v>1390.17</v>
      </c>
      <c r="G2457" s="4">
        <v>0.07</v>
      </c>
      <c r="H2457" s="4" t="s">
        <v>22</v>
      </c>
      <c r="I2457" s="6">
        <v>-469.84</v>
      </c>
      <c r="J2457" s="4">
        <v>110.98</v>
      </c>
      <c r="K2457" s="4">
        <v>35.0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ht="12.75" customHeight="1">
      <c r="A2458" s="4">
        <v>7276.0</v>
      </c>
      <c r="B2458" s="4">
        <v>51937.0</v>
      </c>
      <c r="C2458" s="5">
        <f>DATE(2012,12,31)-1403</f>
        <v>39871</v>
      </c>
      <c r="D2458" s="4" t="s">
        <v>30</v>
      </c>
      <c r="E2458" s="4">
        <v>39.0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0.57</v>
      </c>
      <c r="U2458" s="5">
        <f t="shared" ref="U2458:U2460" si="1085">C2458+0</f>
        <v>39871</v>
      </c>
    </row>
    <row r="2459" ht="12.75" customHeight="1">
      <c r="A2459" s="4">
        <v>7307.0</v>
      </c>
      <c r="B2459" s="4">
        <v>52098.0</v>
      </c>
      <c r="C2459" s="5">
        <f>DATE(2012,12,31)-1027</f>
        <v>40247</v>
      </c>
      <c r="D2459" s="4" t="s">
        <v>63</v>
      </c>
      <c r="E2459" s="4">
        <v>19.0</v>
      </c>
      <c r="F2459" s="4">
        <v>812.06</v>
      </c>
      <c r="G2459" s="4">
        <v>0.0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5"/>
        <v>40247</v>
      </c>
    </row>
    <row r="2460" ht="12.75" customHeight="1">
      <c r="A2460" s="4">
        <v>7308.0</v>
      </c>
      <c r="B2460" s="4">
        <v>52102.0</v>
      </c>
      <c r="C2460" s="5">
        <f>DATE(2012,12,31)-841</f>
        <v>40433</v>
      </c>
      <c r="D2460" s="4" t="s">
        <v>63</v>
      </c>
      <c r="E2460" s="4">
        <v>8.0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5"/>
        <v>40433</v>
      </c>
    </row>
    <row r="2461" ht="12.75" customHeight="1">
      <c r="A2461" s="4">
        <v>7312.0</v>
      </c>
      <c r="B2461" s="4">
        <v>52135.0</v>
      </c>
      <c r="C2461" s="5">
        <f>DATE(2012,12,31)-1013</f>
        <v>40261</v>
      </c>
      <c r="D2461" s="4" t="s">
        <v>21</v>
      </c>
      <c r="E2461" s="4">
        <v>38.0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19.99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ht="12.75" customHeight="1">
      <c r="A2462" s="4">
        <v>7315.0</v>
      </c>
      <c r="B2462" s="4">
        <v>52162.0</v>
      </c>
      <c r="C2462" s="5">
        <f t="shared" ref="C2462:C2463" si="1086">DATE(2012,12,31)-426</f>
        <v>40848</v>
      </c>
      <c r="D2462" s="4" t="s">
        <v>45</v>
      </c>
      <c r="E2462" s="4">
        <v>39.0</v>
      </c>
      <c r="F2462" s="4">
        <v>261.16</v>
      </c>
      <c r="G2462" s="4">
        <v>0.07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</v>
      </c>
      <c r="U2462" s="5">
        <f>C2462+0</f>
        <v>40848</v>
      </c>
    </row>
    <row r="2463" ht="12.75" customHeight="1">
      <c r="A2463" s="4">
        <v>7316.0</v>
      </c>
      <c r="B2463" s="4">
        <v>52162.0</v>
      </c>
      <c r="C2463" s="5">
        <f t="shared" si="1086"/>
        <v>40848</v>
      </c>
      <c r="D2463" s="4" t="s">
        <v>45</v>
      </c>
      <c r="E2463" s="4">
        <v>47.0</v>
      </c>
      <c r="F2463" s="4">
        <v>155.22</v>
      </c>
      <c r="G2463" s="4">
        <v>0.07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</v>
      </c>
      <c r="U2463" s="5">
        <f>C2463+1</f>
        <v>40849</v>
      </c>
    </row>
    <row r="2464" ht="12.75" customHeight="1">
      <c r="A2464" s="4">
        <v>7332.0</v>
      </c>
      <c r="B2464" s="4">
        <v>52256.0</v>
      </c>
      <c r="C2464" s="5">
        <f>DATE(2012,12,31)-788</f>
        <v>40486</v>
      </c>
      <c r="D2464" s="4" t="s">
        <v>45</v>
      </c>
      <c r="E2464" s="4">
        <v>23.0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65.99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7">C2464+2</f>
        <v>40488</v>
      </c>
    </row>
    <row r="2465" ht="12.75" customHeight="1">
      <c r="A2465" s="4">
        <v>7354.0</v>
      </c>
      <c r="B2465" s="4">
        <v>52391.0</v>
      </c>
      <c r="C2465" s="5">
        <f t="shared" ref="C2465:C2466" si="1088">DATE(2012,12,31)-1115</f>
        <v>40159</v>
      </c>
      <c r="D2465" s="4" t="s">
        <v>30</v>
      </c>
      <c r="E2465" s="4">
        <v>36.0</v>
      </c>
      <c r="F2465" s="4">
        <v>1072.36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7"/>
        <v>40161</v>
      </c>
    </row>
    <row r="2466" ht="12.75" customHeight="1">
      <c r="A2466" s="4">
        <v>7355.0</v>
      </c>
      <c r="B2466" s="4">
        <v>52391.0</v>
      </c>
      <c r="C2466" s="5">
        <f t="shared" si="1088"/>
        <v>40159</v>
      </c>
      <c r="D2466" s="4" t="s">
        <v>30</v>
      </c>
      <c r="E2466" s="4">
        <v>39.0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7"/>
        <v>40161</v>
      </c>
    </row>
    <row r="2467" ht="12.75" customHeight="1">
      <c r="A2467" s="4">
        <v>7384.0</v>
      </c>
      <c r="B2467" s="4">
        <v>52642.0</v>
      </c>
      <c r="C2467" s="5">
        <f t="shared" ref="C2467:C2469" si="1089">DATE(2012,12,31)-566</f>
        <v>40708</v>
      </c>
      <c r="D2467" s="4" t="s">
        <v>21</v>
      </c>
      <c r="E2467" s="4">
        <v>9.0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ht="12.75" customHeight="1">
      <c r="A2468" s="4">
        <v>7385.0</v>
      </c>
      <c r="B2468" s="4">
        <v>52642.0</v>
      </c>
      <c r="C2468" s="5">
        <f t="shared" si="1089"/>
        <v>40708</v>
      </c>
      <c r="D2468" s="4" t="s">
        <v>21</v>
      </c>
      <c r="E2468" s="4">
        <v>14.0</v>
      </c>
      <c r="F2468" s="4">
        <v>2070.68</v>
      </c>
      <c r="G2468" s="4">
        <v>0.03</v>
      </c>
      <c r="H2468" s="4" t="s">
        <v>22</v>
      </c>
      <c r="I2468" s="6">
        <v>-281.67</v>
      </c>
      <c r="J2468" s="4">
        <v>152.48</v>
      </c>
      <c r="K2468" s="4">
        <v>4.0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90">C2468+7</f>
        <v>40715</v>
      </c>
    </row>
    <row r="2469" ht="12.75" customHeight="1">
      <c r="A2469" s="4">
        <v>7386.0</v>
      </c>
      <c r="B2469" s="4">
        <v>52642.0</v>
      </c>
      <c r="C2469" s="5">
        <f t="shared" si="1089"/>
        <v>40708</v>
      </c>
      <c r="D2469" s="4" t="s">
        <v>21</v>
      </c>
      <c r="E2469" s="4">
        <v>15.0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90"/>
        <v>40715</v>
      </c>
    </row>
    <row r="2470" ht="12.75" customHeight="1">
      <c r="A2470" s="4">
        <v>7387.0</v>
      </c>
      <c r="B2470" s="4">
        <v>52645.0</v>
      </c>
      <c r="C2470" s="5">
        <f t="shared" ref="C2470:C2471" si="1091">DATE(2012,12,31)-299</f>
        <v>40975</v>
      </c>
      <c r="D2470" s="4" t="s">
        <v>21</v>
      </c>
      <c r="E2470" s="4">
        <v>11.0</v>
      </c>
      <c r="F2470" s="4">
        <v>64.34</v>
      </c>
      <c r="G2470" s="4">
        <v>0.09</v>
      </c>
      <c r="H2470" s="4" t="s">
        <v>22</v>
      </c>
      <c r="I2470" s="6">
        <v>-8.37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</v>
      </c>
      <c r="U2470" s="5">
        <f>C2470+5</f>
        <v>40980</v>
      </c>
    </row>
    <row r="2471" ht="12.75" customHeight="1">
      <c r="A2471" s="4">
        <v>7388.0</v>
      </c>
      <c r="B2471" s="4">
        <v>52645.0</v>
      </c>
      <c r="C2471" s="5">
        <f t="shared" si="1091"/>
        <v>40975</v>
      </c>
      <c r="D2471" s="4" t="s">
        <v>21</v>
      </c>
      <c r="E2471" s="4">
        <v>10.0</v>
      </c>
      <c r="F2471" s="4">
        <v>693.02</v>
      </c>
      <c r="G2471" s="4">
        <v>0.07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ht="12.75" customHeight="1">
      <c r="A2472" s="4">
        <v>7399.0</v>
      </c>
      <c r="B2472" s="4">
        <v>52711.0</v>
      </c>
      <c r="C2472" s="5">
        <f>DATE(2012,12,31)-465</f>
        <v>40809</v>
      </c>
      <c r="D2472" s="4" t="s">
        <v>45</v>
      </c>
      <c r="E2472" s="4">
        <v>37.0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ht="12.75" customHeight="1">
      <c r="A2473" s="4">
        <v>7412.0</v>
      </c>
      <c r="B2473" s="4">
        <v>52896.0</v>
      </c>
      <c r="C2473" s="5">
        <f t="shared" ref="C2473:C2474" si="1092">DATE(2012,12,31)-801</f>
        <v>40473</v>
      </c>
      <c r="D2473" s="4" t="s">
        <v>30</v>
      </c>
      <c r="E2473" s="4">
        <v>9.0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ht="12.75" customHeight="1">
      <c r="A2474" s="4">
        <v>7413.0</v>
      </c>
      <c r="B2474" s="4">
        <v>52896.0</v>
      </c>
      <c r="C2474" s="5">
        <f t="shared" si="1092"/>
        <v>40473</v>
      </c>
      <c r="D2474" s="4" t="s">
        <v>30</v>
      </c>
      <c r="E2474" s="4">
        <v>6.0</v>
      </c>
      <c r="F2474" s="4">
        <v>1718.43</v>
      </c>
      <c r="G2474" s="4">
        <v>0.0</v>
      </c>
      <c r="H2474" s="4" t="s">
        <v>31</v>
      </c>
      <c r="I2474" s="6">
        <v>-192.492</v>
      </c>
      <c r="J2474" s="4">
        <v>259.71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ht="12.75" customHeight="1">
      <c r="A2475" s="4">
        <v>7432.0</v>
      </c>
      <c r="B2475" s="4">
        <v>52999.0</v>
      </c>
      <c r="C2475" s="5">
        <f t="shared" ref="C2475:C2477" si="1093">DATE(2012,12,31)-250</f>
        <v>41024</v>
      </c>
      <c r="D2475" s="4" t="s">
        <v>45</v>
      </c>
      <c r="E2475" s="4">
        <v>5.0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4.0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4">C2475+2</f>
        <v>41026</v>
      </c>
    </row>
    <row r="2476" ht="12.75" customHeight="1">
      <c r="A2476" s="4">
        <v>7433.0</v>
      </c>
      <c r="B2476" s="4">
        <v>52999.0</v>
      </c>
      <c r="C2476" s="5">
        <f t="shared" si="1093"/>
        <v>41024</v>
      </c>
      <c r="D2476" s="4" t="s">
        <v>45</v>
      </c>
      <c r="E2476" s="4">
        <v>39.0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4"/>
        <v>41026</v>
      </c>
    </row>
    <row r="2477" ht="12.75" customHeight="1">
      <c r="A2477" s="4">
        <v>7434.0</v>
      </c>
      <c r="B2477" s="4">
        <v>52999.0</v>
      </c>
      <c r="C2477" s="5">
        <f t="shared" si="1093"/>
        <v>41024</v>
      </c>
      <c r="D2477" s="4" t="s">
        <v>45</v>
      </c>
      <c r="E2477" s="4">
        <v>7.0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ht="12.75" customHeight="1">
      <c r="A2478" s="4">
        <v>7463.0</v>
      </c>
      <c r="B2478" s="4">
        <v>53254.0</v>
      </c>
      <c r="C2478" s="5">
        <f>DATE(2012,12,31)-1231</f>
        <v>40043</v>
      </c>
      <c r="D2478" s="4" t="s">
        <v>63</v>
      </c>
      <c r="E2478" s="4">
        <v>34.0</v>
      </c>
      <c r="F2478" s="4">
        <v>5442.142</v>
      </c>
      <c r="G2478" s="4">
        <v>0.0</v>
      </c>
      <c r="H2478" s="4" t="s">
        <v>22</v>
      </c>
      <c r="I2478" s="6">
        <v>1640.295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ht="12.75" customHeight="1">
      <c r="A2479" s="4">
        <v>7464.0</v>
      </c>
      <c r="B2479" s="4">
        <v>53281.0</v>
      </c>
      <c r="C2479" s="5">
        <f>DATE(2012,12,31)-1369</f>
        <v>39905</v>
      </c>
      <c r="D2479" s="4" t="s">
        <v>78</v>
      </c>
      <c r="E2479" s="4">
        <v>40.0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5">C2479+2</f>
        <v>39907</v>
      </c>
    </row>
    <row r="2480" ht="12.75" customHeight="1">
      <c r="A2480" s="4">
        <v>7466.0</v>
      </c>
      <c r="B2480" s="4">
        <v>53285.0</v>
      </c>
      <c r="C2480" s="5">
        <f>DATE(2012,12,31)-221</f>
        <v>41053</v>
      </c>
      <c r="D2480" s="4" t="s">
        <v>78</v>
      </c>
      <c r="E2480" s="4">
        <v>6.0</v>
      </c>
      <c r="F2480" s="4">
        <v>1042.96</v>
      </c>
      <c r="G2480" s="4">
        <v>0.04</v>
      </c>
      <c r="H2480" s="4" t="s">
        <v>22</v>
      </c>
      <c r="I2480" s="6">
        <v>163.8035</v>
      </c>
      <c r="J2480" s="4">
        <v>165.98</v>
      </c>
      <c r="K2480" s="4">
        <v>19.99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5"/>
        <v>41055</v>
      </c>
    </row>
    <row r="2481" ht="12.75" customHeight="1">
      <c r="A2481" s="4">
        <v>7467.0</v>
      </c>
      <c r="B2481" s="4">
        <v>53312.0</v>
      </c>
      <c r="C2481" s="5">
        <f t="shared" ref="C2481:C2482" si="1096">DATE(2012,12,31)-1276</f>
        <v>39998</v>
      </c>
      <c r="D2481" s="4" t="s">
        <v>63</v>
      </c>
      <c r="E2481" s="4">
        <v>23.0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19.99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0.57</v>
      </c>
      <c r="U2481" s="5">
        <f t="shared" si="1095"/>
        <v>40000</v>
      </c>
    </row>
    <row r="2482" ht="12.75" customHeight="1">
      <c r="A2482" s="4">
        <v>7468.0</v>
      </c>
      <c r="B2482" s="4">
        <v>53312.0</v>
      </c>
      <c r="C2482" s="5">
        <f t="shared" si="1096"/>
        <v>39998</v>
      </c>
      <c r="D2482" s="4" t="s">
        <v>63</v>
      </c>
      <c r="E2482" s="4">
        <v>30.0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7">C2482+1</f>
        <v>39999</v>
      </c>
    </row>
    <row r="2483" ht="12.75" customHeight="1">
      <c r="A2483" s="4">
        <v>7514.0</v>
      </c>
      <c r="B2483" s="4">
        <v>53637.0</v>
      </c>
      <c r="C2483" s="5">
        <f>DATE(2012,12,31)-655</f>
        <v>40619</v>
      </c>
      <c r="D2483" s="4" t="s">
        <v>30</v>
      </c>
      <c r="E2483" s="4">
        <v>12.0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39.98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7"/>
        <v>40620</v>
      </c>
    </row>
    <row r="2484" ht="12.75" customHeight="1">
      <c r="A2484" s="4">
        <v>7521.0</v>
      </c>
      <c r="B2484" s="4">
        <v>53698.0</v>
      </c>
      <c r="C2484" s="5">
        <f>DATE(2012,12,31)-198</f>
        <v>41076</v>
      </c>
      <c r="D2484" s="4" t="s">
        <v>63</v>
      </c>
      <c r="E2484" s="4">
        <v>10.0</v>
      </c>
      <c r="F2484" s="4">
        <v>55.33</v>
      </c>
      <c r="G2484" s="4">
        <v>0.0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7"/>
        <v>41077</v>
      </c>
    </row>
    <row r="2485" ht="12.75" customHeight="1">
      <c r="A2485" s="4">
        <v>7577.0</v>
      </c>
      <c r="B2485" s="4">
        <v>54183.0</v>
      </c>
      <c r="C2485" s="5">
        <f t="shared" ref="C2485:C2486" si="1098">DATE(2012,12,31)-260</f>
        <v>41014</v>
      </c>
      <c r="D2485" s="4" t="s">
        <v>78</v>
      </c>
      <c r="E2485" s="4">
        <v>32.0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ht="12.75" customHeight="1">
      <c r="A2486" s="4">
        <v>7578.0</v>
      </c>
      <c r="B2486" s="4">
        <v>54183.0</v>
      </c>
      <c r="C2486" s="5">
        <f t="shared" si="1098"/>
        <v>41014</v>
      </c>
      <c r="D2486" s="4" t="s">
        <v>78</v>
      </c>
      <c r="E2486" s="4">
        <v>9.0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9">C2486+1</f>
        <v>41015</v>
      </c>
    </row>
    <row r="2487" ht="12.75" customHeight="1">
      <c r="A2487" s="4">
        <v>7583.0</v>
      </c>
      <c r="B2487" s="4">
        <v>54245.0</v>
      </c>
      <c r="C2487" s="5">
        <f>DATE(2012,12,31)-648</f>
        <v>40626</v>
      </c>
      <c r="D2487" s="4" t="s">
        <v>63</v>
      </c>
      <c r="E2487" s="4">
        <v>5.0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9"/>
        <v>40627</v>
      </c>
    </row>
    <row r="2488" ht="12.75" customHeight="1">
      <c r="A2488" s="4">
        <v>7592.0</v>
      </c>
      <c r="B2488" s="4">
        <v>54339.0</v>
      </c>
      <c r="C2488" s="5">
        <f t="shared" ref="C2488:C2489" si="1100">DATE(2012,12,31)-243</f>
        <v>41031</v>
      </c>
      <c r="D2488" s="4" t="s">
        <v>21</v>
      </c>
      <c r="E2488" s="4">
        <v>48.0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0.57</v>
      </c>
      <c r="U2488" s="5">
        <f>C2488+7</f>
        <v>41038</v>
      </c>
    </row>
    <row r="2489" ht="12.75" customHeight="1">
      <c r="A2489" s="4">
        <v>7593.0</v>
      </c>
      <c r="B2489" s="4">
        <v>54339.0</v>
      </c>
      <c r="C2489" s="5">
        <f t="shared" si="1100"/>
        <v>41031</v>
      </c>
      <c r="D2489" s="4" t="s">
        <v>21</v>
      </c>
      <c r="E2489" s="4">
        <v>41.0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65.99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0.57</v>
      </c>
      <c r="U2489" s="5">
        <f>C2489+5</f>
        <v>41036</v>
      </c>
    </row>
    <row r="2490" ht="12.75" customHeight="1">
      <c r="A2490" s="4">
        <v>7603.0</v>
      </c>
      <c r="B2490" s="4">
        <v>54401.0</v>
      </c>
      <c r="C2490" s="5">
        <f>DATE(2012,12,31)-393</f>
        <v>40881</v>
      </c>
      <c r="D2490" s="4" t="s">
        <v>30</v>
      </c>
      <c r="E2490" s="4">
        <v>34.0</v>
      </c>
      <c r="F2490" s="4">
        <v>670.02</v>
      </c>
      <c r="G2490" s="4">
        <v>0.07</v>
      </c>
      <c r="H2490" s="4" t="s">
        <v>22</v>
      </c>
      <c r="I2490" s="6">
        <v>278.579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1">C2490+2</f>
        <v>40883</v>
      </c>
    </row>
    <row r="2491" ht="12.75" customHeight="1">
      <c r="A2491" s="4">
        <v>7626.0</v>
      </c>
      <c r="B2491" s="4">
        <v>54563.0</v>
      </c>
      <c r="C2491" s="5">
        <f>DATE(2012,12,31)-819</f>
        <v>40455</v>
      </c>
      <c r="D2491" s="4" t="s">
        <v>78</v>
      </c>
      <c r="E2491" s="4">
        <v>24.0</v>
      </c>
      <c r="F2491" s="4">
        <v>523.56</v>
      </c>
      <c r="G2491" s="4">
        <v>0.01</v>
      </c>
      <c r="H2491" s="4" t="s">
        <v>22</v>
      </c>
      <c r="I2491" s="6">
        <v>43.87</v>
      </c>
      <c r="J2491" s="4">
        <v>20.24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1"/>
        <v>40457</v>
      </c>
    </row>
    <row r="2492" ht="12.75" customHeight="1">
      <c r="A2492" s="4">
        <v>7639.0</v>
      </c>
      <c r="B2492" s="4">
        <v>54694.0</v>
      </c>
      <c r="C2492" s="5">
        <f>DATE(2012,12,31)-1199</f>
        <v>40075</v>
      </c>
      <c r="D2492" s="4" t="s">
        <v>78</v>
      </c>
      <c r="E2492" s="4">
        <v>43.0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ht="12.75" customHeight="1">
      <c r="A2493" s="4">
        <v>7643.0</v>
      </c>
      <c r="B2493" s="4">
        <v>54755.0</v>
      </c>
      <c r="C2493" s="5">
        <f>DATE(2012,12,31)-1120</f>
        <v>40154</v>
      </c>
      <c r="D2493" s="4" t="s">
        <v>78</v>
      </c>
      <c r="E2493" s="4">
        <v>44.0</v>
      </c>
      <c r="F2493" s="4">
        <v>3421.88</v>
      </c>
      <c r="G2493" s="4">
        <v>0.0</v>
      </c>
      <c r="H2493" s="4" t="s">
        <v>22</v>
      </c>
      <c r="I2493" s="6">
        <v>443.52</v>
      </c>
      <c r="J2493" s="4">
        <v>73.98</v>
      </c>
      <c r="K2493" s="4">
        <v>4.0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ht="12.75" customHeight="1">
      <c r="A2494" s="4">
        <v>7659.0</v>
      </c>
      <c r="B2494" s="4">
        <v>54914.0</v>
      </c>
      <c r="C2494" s="5">
        <f t="shared" ref="C2494:C2495" si="1102">DATE(2012,12,31)-491</f>
        <v>40783</v>
      </c>
      <c r="D2494" s="4" t="s">
        <v>78</v>
      </c>
      <c r="E2494" s="4">
        <v>32.0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ht="12.75" customHeight="1">
      <c r="A2495" s="4">
        <v>7660.0</v>
      </c>
      <c r="B2495" s="4">
        <v>54914.0</v>
      </c>
      <c r="C2495" s="5">
        <f t="shared" si="1102"/>
        <v>40783</v>
      </c>
      <c r="D2495" s="4" t="s">
        <v>78</v>
      </c>
      <c r="E2495" s="4">
        <v>7.0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0.57</v>
      </c>
      <c r="U2495" s="5">
        <f>C2495+2</f>
        <v>40785</v>
      </c>
    </row>
    <row r="2496" ht="12.75" customHeight="1">
      <c r="A2496" s="4">
        <v>7684.0</v>
      </c>
      <c r="B2496" s="4">
        <v>55073.0</v>
      </c>
      <c r="C2496" s="5">
        <f>DATE(2012,12,31)-286</f>
        <v>40988</v>
      </c>
      <c r="D2496" s="4" t="s">
        <v>21</v>
      </c>
      <c r="E2496" s="4">
        <v>40.0</v>
      </c>
      <c r="F2496" s="4">
        <v>2376.7105</v>
      </c>
      <c r="G2496" s="4">
        <v>0.01</v>
      </c>
      <c r="H2496" s="4" t="s">
        <v>22</v>
      </c>
      <c r="I2496" s="6">
        <v>721.809</v>
      </c>
      <c r="J2496" s="4">
        <v>65.99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0.57</v>
      </c>
      <c r="U2496" s="5">
        <f>C2496+0</f>
        <v>40988</v>
      </c>
    </row>
    <row r="2497" ht="12.75" customHeight="1">
      <c r="A2497" s="4">
        <v>7712.0</v>
      </c>
      <c r="B2497" s="4">
        <v>55270.0</v>
      </c>
      <c r="C2497" s="5">
        <f>DATE(2012,12,31)-1074</f>
        <v>40200</v>
      </c>
      <c r="D2497" s="4" t="s">
        <v>63</v>
      </c>
      <c r="E2497" s="4">
        <v>1.0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3">C2497+1</f>
        <v>40201</v>
      </c>
    </row>
    <row r="2498" ht="12.75" customHeight="1">
      <c r="A2498" s="4">
        <v>7788.0</v>
      </c>
      <c r="B2498" s="4">
        <v>55716.0</v>
      </c>
      <c r="C2498" s="5">
        <f>DATE(2012,12,31)-70</f>
        <v>41204</v>
      </c>
      <c r="D2498" s="4" t="s">
        <v>30</v>
      </c>
      <c r="E2498" s="4">
        <v>9.0</v>
      </c>
      <c r="F2498" s="4">
        <v>14665.55</v>
      </c>
      <c r="G2498" s="4">
        <v>0.07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3"/>
        <v>41205</v>
      </c>
    </row>
    <row r="2499" ht="12.75" customHeight="1">
      <c r="A2499" s="4">
        <v>7795.0</v>
      </c>
      <c r="B2499" s="4">
        <v>55776.0</v>
      </c>
      <c r="C2499" s="5">
        <f>DATE(2012,12,31)-1380</f>
        <v>39894</v>
      </c>
      <c r="D2499" s="4" t="s">
        <v>45</v>
      </c>
      <c r="E2499" s="4">
        <v>32.0</v>
      </c>
      <c r="F2499" s="4">
        <v>4856.1</v>
      </c>
      <c r="G2499" s="4">
        <v>0.01</v>
      </c>
      <c r="H2499" s="4" t="s">
        <v>31</v>
      </c>
      <c r="I2499" s="6">
        <v>1096.64</v>
      </c>
      <c r="J2499" s="4">
        <v>145.45</v>
      </c>
      <c r="K2499" s="4">
        <v>17.85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</v>
      </c>
      <c r="U2499" s="5">
        <f t="shared" si="1103"/>
        <v>39895</v>
      </c>
    </row>
    <row r="2500" ht="12.75" customHeight="1">
      <c r="A2500" s="4">
        <v>7810.0</v>
      </c>
      <c r="B2500" s="4">
        <v>55874.0</v>
      </c>
      <c r="C2500" s="5">
        <f t="shared" ref="C2500:C2501" si="1104">DATE(2012,12,31)-1414</f>
        <v>39860</v>
      </c>
      <c r="D2500" s="4" t="s">
        <v>63</v>
      </c>
      <c r="E2500" s="4">
        <v>28.0</v>
      </c>
      <c r="F2500" s="4">
        <v>208.83</v>
      </c>
      <c r="G2500" s="4">
        <v>0.0</v>
      </c>
      <c r="H2500" s="4" t="s">
        <v>22</v>
      </c>
      <c r="I2500" s="6">
        <v>-60.145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3"/>
        <v>39861</v>
      </c>
    </row>
    <row r="2501" ht="12.75" customHeight="1">
      <c r="A2501" s="4">
        <v>7811.0</v>
      </c>
      <c r="B2501" s="4">
        <v>55874.0</v>
      </c>
      <c r="C2501" s="5">
        <f t="shared" si="1104"/>
        <v>39860</v>
      </c>
      <c r="D2501" s="4" t="s">
        <v>63</v>
      </c>
      <c r="E2501" s="4">
        <v>41.0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5">C2501+2</f>
        <v>39862</v>
      </c>
    </row>
    <row r="2502" ht="12.75" customHeight="1">
      <c r="A2502" s="4">
        <v>7831.0</v>
      </c>
      <c r="B2502" s="4">
        <v>56002.0</v>
      </c>
      <c r="C2502" s="5">
        <f t="shared" ref="C2502:C2505" si="1106">DATE(2012,12,31)-1276</f>
        <v>39998</v>
      </c>
      <c r="D2502" s="4" t="s">
        <v>21</v>
      </c>
      <c r="E2502" s="4">
        <v>21.0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5"/>
        <v>40000</v>
      </c>
    </row>
    <row r="2503" ht="12.75" customHeight="1">
      <c r="A2503" s="4">
        <v>7832.0</v>
      </c>
      <c r="B2503" s="4">
        <v>56002.0</v>
      </c>
      <c r="C2503" s="5">
        <f t="shared" si="1106"/>
        <v>39998</v>
      </c>
      <c r="D2503" s="4" t="s">
        <v>21</v>
      </c>
      <c r="E2503" s="4">
        <v>14.0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ht="12.75" customHeight="1">
      <c r="A2504" s="4">
        <v>7833.0</v>
      </c>
      <c r="B2504" s="4">
        <v>56002.0</v>
      </c>
      <c r="C2504" s="5">
        <f t="shared" si="1106"/>
        <v>39998</v>
      </c>
      <c r="D2504" s="4" t="s">
        <v>21</v>
      </c>
      <c r="E2504" s="4">
        <v>9.0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</v>
      </c>
      <c r="K2504" s="4">
        <v>19.99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ht="12.75" customHeight="1">
      <c r="A2505" s="4">
        <v>7834.0</v>
      </c>
      <c r="B2505" s="4">
        <v>56002.0</v>
      </c>
      <c r="C2505" s="5">
        <f t="shared" si="1106"/>
        <v>39998</v>
      </c>
      <c r="D2505" s="4" t="s">
        <v>21</v>
      </c>
      <c r="E2505" s="4">
        <v>14.0</v>
      </c>
      <c r="F2505" s="4">
        <v>3857.56</v>
      </c>
      <c r="G2505" s="4">
        <v>0.07</v>
      </c>
      <c r="H2505" s="4" t="s">
        <v>22</v>
      </c>
      <c r="I2505" s="6">
        <v>-377.81100000000004</v>
      </c>
      <c r="J2505" s="4">
        <v>290.98</v>
      </c>
      <c r="K2505" s="4">
        <v>69.0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ht="12.75" customHeight="1">
      <c r="A2506" s="4">
        <v>7840.0</v>
      </c>
      <c r="B2506" s="4">
        <v>56039.0</v>
      </c>
      <c r="C2506" s="5">
        <f>DATE(2012,12,31)-402</f>
        <v>40872</v>
      </c>
      <c r="D2506" s="4" t="s">
        <v>21</v>
      </c>
      <c r="E2506" s="4">
        <v>23.0</v>
      </c>
      <c r="F2506" s="4">
        <v>156.66</v>
      </c>
      <c r="G2506" s="4">
        <v>0.07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ht="12.75" customHeight="1">
      <c r="A2507" s="4">
        <v>7936.0</v>
      </c>
      <c r="B2507" s="4">
        <v>56710.0</v>
      </c>
      <c r="C2507" s="5">
        <f t="shared" ref="C2507:C2510" si="1107">DATE(2012,12,31)-965</f>
        <v>40309</v>
      </c>
      <c r="D2507" s="4" t="s">
        <v>45</v>
      </c>
      <c r="E2507" s="4">
        <v>34.0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0.57</v>
      </c>
      <c r="U2507" s="5">
        <f t="shared" ref="U2507:U2508" si="1108">C2507+1</f>
        <v>40310</v>
      </c>
    </row>
    <row r="2508" ht="12.75" customHeight="1">
      <c r="A2508" s="4">
        <v>7937.0</v>
      </c>
      <c r="B2508" s="4">
        <v>56710.0</v>
      </c>
      <c r="C2508" s="5">
        <f t="shared" si="1107"/>
        <v>40309</v>
      </c>
      <c r="D2508" s="4" t="s">
        <v>45</v>
      </c>
      <c r="E2508" s="4">
        <v>16.0</v>
      </c>
      <c r="F2508" s="4">
        <v>833.9265</v>
      </c>
      <c r="G2508" s="4">
        <v>0.08</v>
      </c>
      <c r="H2508" s="4" t="s">
        <v>22</v>
      </c>
      <c r="I2508" s="6">
        <v>-39.215</v>
      </c>
      <c r="J2508" s="4">
        <v>65.99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8"/>
        <v>40310</v>
      </c>
    </row>
    <row r="2509" ht="12.75" customHeight="1">
      <c r="A2509" s="4">
        <v>7938.0</v>
      </c>
      <c r="B2509" s="4">
        <v>56710.0</v>
      </c>
      <c r="C2509" s="5">
        <f t="shared" si="1107"/>
        <v>40309</v>
      </c>
      <c r="D2509" s="4" t="s">
        <v>45</v>
      </c>
      <c r="E2509" s="4">
        <v>6.0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9">C2509+2</f>
        <v>40311</v>
      </c>
    </row>
    <row r="2510" ht="12.75" customHeight="1">
      <c r="A2510" s="4">
        <v>7939.0</v>
      </c>
      <c r="B2510" s="4">
        <v>56710.0</v>
      </c>
      <c r="C2510" s="5">
        <f t="shared" si="1107"/>
        <v>40309</v>
      </c>
      <c r="D2510" s="4" t="s">
        <v>45</v>
      </c>
      <c r="E2510" s="4">
        <v>21.0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35.41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9"/>
        <v>40311</v>
      </c>
    </row>
    <row r="2511" ht="12.75" customHeight="1">
      <c r="A2511" s="4">
        <v>7985.0</v>
      </c>
      <c r="B2511" s="4">
        <v>57092.0</v>
      </c>
      <c r="C2511" s="5">
        <f>DATE(2012,12,31)-975</f>
        <v>40299</v>
      </c>
      <c r="D2511" s="4" t="s">
        <v>78</v>
      </c>
      <c r="E2511" s="4">
        <v>29.0</v>
      </c>
      <c r="F2511" s="4">
        <v>2820.6994999999997</v>
      </c>
      <c r="G2511" s="4">
        <v>0.03</v>
      </c>
      <c r="H2511" s="4" t="s">
        <v>22</v>
      </c>
      <c r="I2511" s="6">
        <v>601.335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0.57</v>
      </c>
      <c r="U2511" s="5">
        <f t="shared" ref="U2511:U2512" si="1110">C2511+1</f>
        <v>40300</v>
      </c>
    </row>
    <row r="2512" ht="12.75" customHeight="1">
      <c r="A2512" s="4">
        <v>8011.0</v>
      </c>
      <c r="B2512" s="4">
        <v>57253.0</v>
      </c>
      <c r="C2512" s="5">
        <f t="shared" ref="C2512:C2516" si="1111">DATE(2012,12,31)-1456</f>
        <v>39818</v>
      </c>
      <c r="D2512" s="4" t="s">
        <v>78</v>
      </c>
      <c r="E2512" s="4">
        <v>43.0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0.58</v>
      </c>
      <c r="U2512" s="5">
        <f t="shared" si="1110"/>
        <v>39819</v>
      </c>
    </row>
    <row r="2513" ht="12.75" customHeight="1">
      <c r="A2513" s="4">
        <v>8012.0</v>
      </c>
      <c r="B2513" s="4">
        <v>57253.0</v>
      </c>
      <c r="C2513" s="5">
        <f t="shared" si="1111"/>
        <v>39818</v>
      </c>
      <c r="D2513" s="4" t="s">
        <v>78</v>
      </c>
      <c r="E2513" s="4">
        <v>29.0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ht="12.75" customHeight="1">
      <c r="A2514" s="4">
        <v>8013.0</v>
      </c>
      <c r="B2514" s="4">
        <v>57253.0</v>
      </c>
      <c r="C2514" s="5">
        <f t="shared" si="1111"/>
        <v>39818</v>
      </c>
      <c r="D2514" s="4" t="s">
        <v>78</v>
      </c>
      <c r="E2514" s="4">
        <v>48.0</v>
      </c>
      <c r="F2514" s="4">
        <v>12635.75</v>
      </c>
      <c r="G2514" s="4">
        <v>0.07</v>
      </c>
      <c r="H2514" s="4" t="s">
        <v>22</v>
      </c>
      <c r="I2514" s="6">
        <v>-335.24</v>
      </c>
      <c r="J2514" s="4">
        <v>279.48</v>
      </c>
      <c r="K2514" s="4">
        <v>35.0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ht="12.75" customHeight="1">
      <c r="A2515" s="4">
        <v>8014.0</v>
      </c>
      <c r="B2515" s="4">
        <v>57253.0</v>
      </c>
      <c r="C2515" s="5">
        <f t="shared" si="1111"/>
        <v>39818</v>
      </c>
      <c r="D2515" s="4" t="s">
        <v>78</v>
      </c>
      <c r="E2515" s="4">
        <v>49.0</v>
      </c>
      <c r="F2515" s="4">
        <v>240.3</v>
      </c>
      <c r="G2515" s="4">
        <v>0.08</v>
      </c>
      <c r="H2515" s="4" t="s">
        <v>22</v>
      </c>
      <c r="I2515" s="6">
        <v>-139.15575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ht="12.75" customHeight="1">
      <c r="A2516" s="4">
        <v>8015.0</v>
      </c>
      <c r="B2516" s="4">
        <v>57253.0</v>
      </c>
      <c r="C2516" s="5">
        <f t="shared" si="1111"/>
        <v>39818</v>
      </c>
      <c r="D2516" s="4" t="s">
        <v>78</v>
      </c>
      <c r="E2516" s="4">
        <v>25.0</v>
      </c>
      <c r="F2516" s="4">
        <v>2750.107</v>
      </c>
      <c r="G2516" s="4">
        <v>0.04</v>
      </c>
      <c r="H2516" s="4" t="s">
        <v>22</v>
      </c>
      <c r="I2516" s="6">
        <v>667.4490000000001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</v>
      </c>
      <c r="U2516" s="5">
        <f>C2516+0</f>
        <v>39818</v>
      </c>
    </row>
    <row r="2517" ht="12.75" customHeight="1">
      <c r="A2517" s="4">
        <v>8034.0</v>
      </c>
      <c r="B2517" s="4">
        <v>57382.0</v>
      </c>
      <c r="C2517" s="5">
        <f t="shared" ref="C2517:C2518" si="1112">DATE(2012,12,31)-1379</f>
        <v>39895</v>
      </c>
      <c r="D2517" s="4" t="s">
        <v>63</v>
      </c>
      <c r="E2517" s="4">
        <v>25.0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3">C2517+2</f>
        <v>39897</v>
      </c>
    </row>
    <row r="2518" ht="12.75" customHeight="1">
      <c r="A2518" s="4">
        <v>8035.0</v>
      </c>
      <c r="B2518" s="4">
        <v>57382.0</v>
      </c>
      <c r="C2518" s="5">
        <f t="shared" si="1112"/>
        <v>39895</v>
      </c>
      <c r="D2518" s="4" t="s">
        <v>63</v>
      </c>
      <c r="E2518" s="4">
        <v>45.0</v>
      </c>
      <c r="F2518" s="4">
        <v>452.93</v>
      </c>
      <c r="G2518" s="4">
        <v>0.07</v>
      </c>
      <c r="H2518" s="4" t="s">
        <v>56</v>
      </c>
      <c r="I2518" s="6">
        <v>20.14</v>
      </c>
      <c r="J2518" s="4">
        <v>9.78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3"/>
        <v>39897</v>
      </c>
    </row>
    <row r="2519" ht="12.75" customHeight="1">
      <c r="A2519" s="4">
        <v>8039.0</v>
      </c>
      <c r="B2519" s="4">
        <v>57415.0</v>
      </c>
      <c r="C2519" s="5">
        <f>DATE(2012,12,31)-1378</f>
        <v>39896</v>
      </c>
      <c r="D2519" s="4" t="s">
        <v>63</v>
      </c>
      <c r="E2519" s="4">
        <v>6.0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4">C2519+1</f>
        <v>39897</v>
      </c>
    </row>
    <row r="2520" ht="12.75" customHeight="1">
      <c r="A2520" s="4">
        <v>8077.0</v>
      </c>
      <c r="B2520" s="4">
        <v>57606.0</v>
      </c>
      <c r="C2520" s="5">
        <f>DATE(2012,12,31)-1093</f>
        <v>40181</v>
      </c>
      <c r="D2520" s="4" t="s">
        <v>45</v>
      </c>
      <c r="E2520" s="4">
        <v>37.0</v>
      </c>
      <c r="F2520" s="4">
        <v>294.48</v>
      </c>
      <c r="G2520" s="4">
        <v>0.08</v>
      </c>
      <c r="H2520" s="4" t="s">
        <v>22</v>
      </c>
      <c r="I2520" s="6">
        <v>-64.24</v>
      </c>
      <c r="J2520" s="4">
        <v>8.46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4"/>
        <v>40182</v>
      </c>
    </row>
    <row r="2521" ht="12.75" customHeight="1">
      <c r="A2521" s="4">
        <v>8099.0</v>
      </c>
      <c r="B2521" s="4">
        <v>57794.0</v>
      </c>
      <c r="C2521" s="5">
        <f>DATE(2012,12,31)-1254</f>
        <v>40020</v>
      </c>
      <c r="D2521" s="4" t="s">
        <v>21</v>
      </c>
      <c r="E2521" s="4">
        <v>16.0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ht="12.75" customHeight="1">
      <c r="A2522" s="4">
        <v>8123.0</v>
      </c>
      <c r="B2522" s="4">
        <v>58054.0</v>
      </c>
      <c r="C2522" s="5">
        <f>DATE(2012,12,31)-727</f>
        <v>40547</v>
      </c>
      <c r="D2522" s="4" t="s">
        <v>30</v>
      </c>
      <c r="E2522" s="4">
        <v>26.0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ht="12.75" customHeight="1">
      <c r="A2523" s="4">
        <v>8129.0</v>
      </c>
      <c r="B2523" s="4">
        <v>58113.0</v>
      </c>
      <c r="C2523" s="5">
        <f t="shared" ref="C2523:C2524" si="1115">DATE(2012,12,31)-334</f>
        <v>40940</v>
      </c>
      <c r="D2523" s="4" t="s">
        <v>30</v>
      </c>
      <c r="E2523" s="4">
        <v>48.0</v>
      </c>
      <c r="F2523" s="4">
        <v>362.71</v>
      </c>
      <c r="G2523" s="4">
        <v>0.07</v>
      </c>
      <c r="H2523" s="4" t="s">
        <v>22</v>
      </c>
      <c r="I2523" s="6">
        <v>-88.9525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6">C2523+2</f>
        <v>40942</v>
      </c>
    </row>
    <row r="2524" ht="12.75" customHeight="1">
      <c r="A2524" s="4">
        <v>8130.0</v>
      </c>
      <c r="B2524" s="4">
        <v>58113.0</v>
      </c>
      <c r="C2524" s="5">
        <f t="shared" si="1115"/>
        <v>40940</v>
      </c>
      <c r="D2524" s="4" t="s">
        <v>30</v>
      </c>
      <c r="E2524" s="4">
        <v>12.0</v>
      </c>
      <c r="F2524" s="4">
        <v>2077.1875</v>
      </c>
      <c r="G2524" s="4">
        <v>0.05</v>
      </c>
      <c r="H2524" s="4" t="s">
        <v>56</v>
      </c>
      <c r="I2524" s="6">
        <v>-38.071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6"/>
        <v>40942</v>
      </c>
    </row>
    <row r="2525" ht="12.75" customHeight="1">
      <c r="A2525" s="4">
        <v>8186.0</v>
      </c>
      <c r="B2525" s="4">
        <v>58528.0</v>
      </c>
      <c r="C2525" s="5">
        <f t="shared" ref="C2525:C2526" si="1117">DATE(2012,12,31)-796</f>
        <v>40478</v>
      </c>
      <c r="D2525" s="4" t="s">
        <v>63</v>
      </c>
      <c r="E2525" s="4">
        <v>14.0</v>
      </c>
      <c r="F2525" s="4">
        <v>700.95</v>
      </c>
      <c r="G2525" s="4">
        <v>0.0</v>
      </c>
      <c r="H2525" s="4" t="s">
        <v>22</v>
      </c>
      <c r="I2525" s="6">
        <v>233.8</v>
      </c>
      <c r="J2525" s="4">
        <v>46.89</v>
      </c>
      <c r="K2525" s="4">
        <v>5.1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8">C2525+1</f>
        <v>40479</v>
      </c>
    </row>
    <row r="2526" ht="12.75" customHeight="1">
      <c r="A2526" s="4">
        <v>8187.0</v>
      </c>
      <c r="B2526" s="4">
        <v>58528.0</v>
      </c>
      <c r="C2526" s="5">
        <f t="shared" si="1117"/>
        <v>40478</v>
      </c>
      <c r="D2526" s="4" t="s">
        <v>63</v>
      </c>
      <c r="E2526" s="4">
        <v>41.0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8"/>
        <v>40479</v>
      </c>
    </row>
    <row r="2527" ht="12.75" customHeight="1">
      <c r="A2527" s="4">
        <v>8193.0</v>
      </c>
      <c r="B2527" s="4">
        <v>58598.0</v>
      </c>
      <c r="C2527" s="5">
        <f t="shared" ref="C2527:C2528" si="1119">DATE(2012,12,31)-497</f>
        <v>40777</v>
      </c>
      <c r="D2527" s="4" t="s">
        <v>63</v>
      </c>
      <c r="E2527" s="4">
        <v>50.0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</v>
      </c>
      <c r="U2527" s="5">
        <f t="shared" si="1118"/>
        <v>40778</v>
      </c>
    </row>
    <row r="2528" ht="12.75" customHeight="1">
      <c r="A2528" s="4">
        <v>8194.0</v>
      </c>
      <c r="B2528" s="4">
        <v>58598.0</v>
      </c>
      <c r="C2528" s="5">
        <f t="shared" si="1119"/>
        <v>40777</v>
      </c>
      <c r="D2528" s="4" t="s">
        <v>63</v>
      </c>
      <c r="E2528" s="4">
        <v>25.0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8"/>
        <v>40778</v>
      </c>
    </row>
    <row r="2529" ht="12.75" customHeight="1">
      <c r="A2529" s="4">
        <v>8231.0</v>
      </c>
      <c r="B2529" s="4">
        <v>58851.0</v>
      </c>
      <c r="C2529" s="5">
        <f t="shared" ref="C2529:C2530" si="1120">DATE(2012,12,31)-938</f>
        <v>40336</v>
      </c>
      <c r="D2529" s="4" t="s">
        <v>21</v>
      </c>
      <c r="E2529" s="4">
        <v>3.0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ht="12.75" customHeight="1">
      <c r="A2530" s="4">
        <v>8232.0</v>
      </c>
      <c r="B2530" s="4">
        <v>58851.0</v>
      </c>
      <c r="C2530" s="5">
        <f t="shared" si="1120"/>
        <v>40336</v>
      </c>
      <c r="D2530" s="4" t="s">
        <v>21</v>
      </c>
      <c r="E2530" s="4">
        <v>14.0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ht="12.75" customHeight="1">
      <c r="A2531" s="4">
        <v>8233.0</v>
      </c>
      <c r="B2531" s="4">
        <v>58853.0</v>
      </c>
      <c r="C2531" s="5">
        <f>DATE(2012,12,31)-232</f>
        <v>41042</v>
      </c>
      <c r="D2531" s="4" t="s">
        <v>78</v>
      </c>
      <c r="E2531" s="4">
        <v>27.0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0.58</v>
      </c>
      <c r="U2531" s="5">
        <f t="shared" ref="U2531:U2533" si="1121">C2531+1</f>
        <v>41043</v>
      </c>
    </row>
    <row r="2532" ht="12.75" customHeight="1">
      <c r="A2532" s="4">
        <v>8252.0</v>
      </c>
      <c r="B2532" s="4">
        <v>59015.0</v>
      </c>
      <c r="C2532" s="5">
        <f t="shared" ref="C2532:C2534" si="1122">DATE(2012,12,31)-219</f>
        <v>41055</v>
      </c>
      <c r="D2532" s="4" t="s">
        <v>63</v>
      </c>
      <c r="E2532" s="4">
        <v>32.0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1"/>
        <v>41056</v>
      </c>
    </row>
    <row r="2533" ht="12.75" customHeight="1">
      <c r="A2533" s="4">
        <v>8253.0</v>
      </c>
      <c r="B2533" s="4">
        <v>59015.0</v>
      </c>
      <c r="C2533" s="5">
        <f t="shared" si="1122"/>
        <v>41055</v>
      </c>
      <c r="D2533" s="4" t="s">
        <v>63</v>
      </c>
      <c r="E2533" s="4">
        <v>32.0</v>
      </c>
      <c r="F2533" s="4">
        <v>278.19</v>
      </c>
      <c r="G2533" s="4">
        <v>0.02</v>
      </c>
      <c r="H2533" s="4" t="s">
        <v>22</v>
      </c>
      <c r="I2533" s="6">
        <v>149.39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1"/>
        <v>41056</v>
      </c>
    </row>
    <row r="2534" ht="12.75" customHeight="1">
      <c r="A2534" s="4">
        <v>8254.0</v>
      </c>
      <c r="B2534" s="4">
        <v>59015.0</v>
      </c>
      <c r="C2534" s="5">
        <f t="shared" si="1122"/>
        <v>41055</v>
      </c>
      <c r="D2534" s="4" t="s">
        <v>63</v>
      </c>
      <c r="E2534" s="4">
        <v>32.0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ht="12.75" customHeight="1">
      <c r="A2535" s="4">
        <v>8264.0</v>
      </c>
      <c r="B2535" s="4">
        <v>59075.0</v>
      </c>
      <c r="C2535" s="5">
        <f>DATE(2012,12,31)-309</f>
        <v>40965</v>
      </c>
      <c r="D2535" s="4" t="s">
        <v>21</v>
      </c>
      <c r="E2535" s="4">
        <v>38.0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ht="12.75" customHeight="1">
      <c r="A2536" s="4">
        <v>8269.0</v>
      </c>
      <c r="B2536" s="4">
        <v>59108.0</v>
      </c>
      <c r="C2536" s="5">
        <f t="shared" ref="C2536:C2537" si="1123">DATE(2012,12,31)-451</f>
        <v>40823</v>
      </c>
      <c r="D2536" s="4" t="s">
        <v>21</v>
      </c>
      <c r="E2536" s="4">
        <v>21.0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</v>
      </c>
      <c r="U2536" s="5">
        <f>C2536+5</f>
        <v>40828</v>
      </c>
    </row>
    <row r="2537" ht="12.75" customHeight="1">
      <c r="A2537" s="4">
        <v>8270.0</v>
      </c>
      <c r="B2537" s="4">
        <v>59108.0</v>
      </c>
      <c r="C2537" s="5">
        <f t="shared" si="1123"/>
        <v>40823</v>
      </c>
      <c r="D2537" s="4" t="s">
        <v>21</v>
      </c>
      <c r="E2537" s="4">
        <v>39.0</v>
      </c>
      <c r="F2537" s="4">
        <v>4215.83</v>
      </c>
      <c r="G2537" s="4">
        <v>0.02</v>
      </c>
      <c r="H2537" s="4" t="s">
        <v>22</v>
      </c>
      <c r="I2537" s="6">
        <v>972.1890000000001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ht="12.75" customHeight="1">
      <c r="A2538" s="4">
        <v>8339.0</v>
      </c>
      <c r="B2538" s="4">
        <v>59589.0</v>
      </c>
      <c r="C2538" s="5">
        <f>DATE(2012,12,31)-264</f>
        <v>41010</v>
      </c>
      <c r="D2538" s="4" t="s">
        <v>63</v>
      </c>
      <c r="E2538" s="4">
        <v>25.0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ht="12.75" customHeight="1">
      <c r="A2539" s="4">
        <v>8354.0</v>
      </c>
      <c r="B2539" s="4">
        <v>59685.0</v>
      </c>
      <c r="C2539" s="5">
        <f t="shared" ref="C2539:C2540" si="1124">DATE(2012,12,31)-21</f>
        <v>41253</v>
      </c>
      <c r="D2539" s="4" t="s">
        <v>78</v>
      </c>
      <c r="E2539" s="4">
        <v>12.0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0.57</v>
      </c>
      <c r="U2539" s="5">
        <f>C2539+2</f>
        <v>41255</v>
      </c>
    </row>
    <row r="2540" ht="12.75" customHeight="1">
      <c r="A2540" s="4">
        <v>8355.0</v>
      </c>
      <c r="B2540" s="4">
        <v>59685.0</v>
      </c>
      <c r="C2540" s="5">
        <f t="shared" si="1124"/>
        <v>41253</v>
      </c>
      <c r="D2540" s="4" t="s">
        <v>78</v>
      </c>
      <c r="E2540" s="4">
        <v>46.0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ht="12.75" customHeight="1">
      <c r="A2541" s="4">
        <v>8377.0</v>
      </c>
      <c r="B2541" s="4">
        <v>59845.0</v>
      </c>
      <c r="C2541" s="5">
        <f t="shared" ref="C2541:C2542" si="1125">DATE(2012,12,31)-1105</f>
        <v>40169</v>
      </c>
      <c r="D2541" s="4" t="s">
        <v>21</v>
      </c>
      <c r="E2541" s="4">
        <v>42.0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ht="12.75" customHeight="1">
      <c r="A2542" s="4">
        <v>8378.0</v>
      </c>
      <c r="B2542" s="4">
        <v>59845.0</v>
      </c>
      <c r="C2542" s="5">
        <f t="shared" si="1125"/>
        <v>40169</v>
      </c>
      <c r="D2542" s="4" t="s">
        <v>21</v>
      </c>
      <c r="E2542" s="4">
        <v>28.0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2.26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ht="12.75" customHeight="1">
      <c r="A2543" s="4">
        <v>24.0</v>
      </c>
      <c r="B2543" s="4">
        <v>134.0</v>
      </c>
      <c r="C2543" s="5">
        <f>DATE(2012,12,31)-245</f>
        <v>41029</v>
      </c>
      <c r="D2543" s="4" t="s">
        <v>45</v>
      </c>
      <c r="E2543" s="4">
        <v>11.0</v>
      </c>
      <c r="F2543" s="4">
        <v>1132.6</v>
      </c>
      <c r="G2543" s="4">
        <v>0.01</v>
      </c>
      <c r="H2543" s="4" t="s">
        <v>22</v>
      </c>
      <c r="I2543" s="6">
        <v>-310.21</v>
      </c>
      <c r="J2543" s="4">
        <v>95.99</v>
      </c>
      <c r="K2543" s="4">
        <v>35.0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ht="12.75" customHeight="1">
      <c r="A2544" s="4">
        <v>114.0</v>
      </c>
      <c r="B2544" s="4">
        <v>740.0</v>
      </c>
      <c r="C2544" s="5">
        <f>DATE(2012,12,31)-535</f>
        <v>40739</v>
      </c>
      <c r="D2544" s="4" t="s">
        <v>63</v>
      </c>
      <c r="E2544" s="4">
        <v>6.0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ht="12.75" customHeight="1">
      <c r="A2545" s="4">
        <v>130.0</v>
      </c>
      <c r="B2545" s="4">
        <v>833.0</v>
      </c>
      <c r="C2545" s="5">
        <f>DATE(2012,12,31)-1418</f>
        <v>39856</v>
      </c>
      <c r="D2545" s="4" t="s">
        <v>63</v>
      </c>
      <c r="E2545" s="4">
        <v>1.0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ht="12.75" customHeight="1">
      <c r="A2546" s="4">
        <v>234.0</v>
      </c>
      <c r="B2546" s="4">
        <v>1573.0</v>
      </c>
      <c r="C2546" s="5">
        <f>DATE(2012,12,31)-4</f>
        <v>41270</v>
      </c>
      <c r="D2546" s="4" t="s">
        <v>30</v>
      </c>
      <c r="E2546" s="4">
        <v>13.0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32.41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</v>
      </c>
      <c r="U2546" s="5">
        <f>C2546+2</f>
        <v>41272</v>
      </c>
    </row>
    <row r="2547" ht="12.75" customHeight="1">
      <c r="A2547" s="4">
        <v>243.0</v>
      </c>
      <c r="B2547" s="4">
        <v>1639.0</v>
      </c>
      <c r="C2547" s="5">
        <f>DATE(2012,12,31)-500</f>
        <v>40774</v>
      </c>
      <c r="D2547" s="4" t="s">
        <v>45</v>
      </c>
      <c r="E2547" s="4">
        <v>24.0</v>
      </c>
      <c r="F2547" s="4">
        <v>163.14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6">C2547+1</f>
        <v>40775</v>
      </c>
    </row>
    <row r="2548" ht="12.75" customHeight="1">
      <c r="A2548" s="4">
        <v>297.0</v>
      </c>
      <c r="B2548" s="4">
        <v>2053.0</v>
      </c>
      <c r="C2548" s="5">
        <f t="shared" ref="C2548:C2549" si="1127">DATE(2012,12,31)-694</f>
        <v>40580</v>
      </c>
      <c r="D2548" s="4" t="s">
        <v>78</v>
      </c>
      <c r="E2548" s="4">
        <v>39.0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126.0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6"/>
        <v>40581</v>
      </c>
    </row>
    <row r="2549" ht="12.75" customHeight="1">
      <c r="A2549" s="4">
        <v>298.0</v>
      </c>
      <c r="B2549" s="4">
        <v>2053.0</v>
      </c>
      <c r="C2549" s="5">
        <f t="shared" si="1127"/>
        <v>40580</v>
      </c>
      <c r="D2549" s="4" t="s">
        <v>78</v>
      </c>
      <c r="E2549" s="4">
        <v>7.0</v>
      </c>
      <c r="F2549" s="4">
        <v>771.783</v>
      </c>
      <c r="G2549" s="4">
        <v>0.08</v>
      </c>
      <c r="H2549" s="4" t="s">
        <v>22</v>
      </c>
      <c r="I2549" s="6">
        <v>-449.526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ht="12.75" customHeight="1">
      <c r="A2550" s="4">
        <v>307.0</v>
      </c>
      <c r="B2550" s="4">
        <v>2146.0</v>
      </c>
      <c r="C2550" s="5">
        <f t="shared" ref="C2550:C2551" si="1128">DATE(2012,12,31)-109</f>
        <v>41165</v>
      </c>
      <c r="D2550" s="4" t="s">
        <v>45</v>
      </c>
      <c r="E2550" s="4">
        <v>41.0</v>
      </c>
      <c r="F2550" s="4">
        <v>6111.1685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ht="12.75" customHeight="1">
      <c r="A2551" s="4">
        <v>308.0</v>
      </c>
      <c r="B2551" s="4">
        <v>2146.0</v>
      </c>
      <c r="C2551" s="5">
        <f t="shared" si="1128"/>
        <v>41165</v>
      </c>
      <c r="D2551" s="4" t="s">
        <v>45</v>
      </c>
      <c r="E2551" s="4">
        <v>44.0</v>
      </c>
      <c r="F2551" s="4">
        <v>113.71</v>
      </c>
      <c r="G2551" s="4">
        <v>0.07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9">C2551+2</f>
        <v>41167</v>
      </c>
    </row>
    <row r="2552" ht="12.75" customHeight="1">
      <c r="A2552" s="4">
        <v>396.0</v>
      </c>
      <c r="B2552" s="4">
        <v>2752.0</v>
      </c>
      <c r="C2552" s="5">
        <f t="shared" ref="C2552:C2555" si="1130">DATE(2012,12,31)-774</f>
        <v>40500</v>
      </c>
      <c r="D2552" s="4" t="s">
        <v>30</v>
      </c>
      <c r="E2552" s="4">
        <v>30.0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9"/>
        <v>40502</v>
      </c>
    </row>
    <row r="2553" ht="12.75" customHeight="1">
      <c r="A2553" s="4">
        <v>397.0</v>
      </c>
      <c r="B2553" s="4">
        <v>2752.0</v>
      </c>
      <c r="C2553" s="5">
        <f t="shared" si="1130"/>
        <v>40500</v>
      </c>
      <c r="D2553" s="4" t="s">
        <v>30</v>
      </c>
      <c r="E2553" s="4">
        <v>41.0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9"/>
        <v>40502</v>
      </c>
    </row>
    <row r="2554" ht="12.75" customHeight="1">
      <c r="A2554" s="4">
        <v>398.0</v>
      </c>
      <c r="B2554" s="4">
        <v>2752.0</v>
      </c>
      <c r="C2554" s="5">
        <f t="shared" si="1130"/>
        <v>40500</v>
      </c>
      <c r="D2554" s="4" t="s">
        <v>30</v>
      </c>
      <c r="E2554" s="4">
        <v>10.0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0.57</v>
      </c>
      <c r="U2554" s="5">
        <f>C2554+0</f>
        <v>40500</v>
      </c>
    </row>
    <row r="2555" ht="12.75" customHeight="1">
      <c r="A2555" s="4">
        <v>399.0</v>
      </c>
      <c r="B2555" s="4">
        <v>2752.0</v>
      </c>
      <c r="C2555" s="5">
        <f t="shared" si="1130"/>
        <v>40500</v>
      </c>
      <c r="D2555" s="4" t="s">
        <v>30</v>
      </c>
      <c r="E2555" s="4">
        <v>10.0</v>
      </c>
      <c r="F2555" s="4">
        <v>575.569</v>
      </c>
      <c r="G2555" s="4">
        <v>0.04</v>
      </c>
      <c r="H2555" s="4" t="s">
        <v>22</v>
      </c>
      <c r="I2555" s="6">
        <v>-86.515</v>
      </c>
      <c r="J2555" s="4">
        <v>65.99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</v>
      </c>
      <c r="U2555" s="5">
        <f>C2555+2</f>
        <v>40502</v>
      </c>
    </row>
    <row r="2556" ht="12.75" customHeight="1">
      <c r="A2556" s="4">
        <v>760.0</v>
      </c>
      <c r="B2556" s="4">
        <v>5445.0</v>
      </c>
      <c r="C2556" s="5">
        <f t="shared" ref="C2556:C2557" si="1131">DATE(2012,12,31)-890</f>
        <v>40384</v>
      </c>
      <c r="D2556" s="4" t="s">
        <v>21</v>
      </c>
      <c r="E2556" s="4">
        <v>4.0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ht="12.75" customHeight="1">
      <c r="A2557" s="4">
        <v>761.0</v>
      </c>
      <c r="B2557" s="4">
        <v>5445.0</v>
      </c>
      <c r="C2557" s="5">
        <f t="shared" si="1131"/>
        <v>40384</v>
      </c>
      <c r="D2557" s="4" t="s">
        <v>21</v>
      </c>
      <c r="E2557" s="4">
        <v>9.0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ht="12.75" customHeight="1">
      <c r="A2558" s="4">
        <v>797.0</v>
      </c>
      <c r="B2558" s="4">
        <v>5699.0</v>
      </c>
      <c r="C2558" s="5">
        <f t="shared" ref="C2558:C2559" si="1132">DATE(2012,12,31)-155</f>
        <v>41119</v>
      </c>
      <c r="D2558" s="4" t="s">
        <v>21</v>
      </c>
      <c r="E2558" s="4">
        <v>2.0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3">C2558+5</f>
        <v>41124</v>
      </c>
    </row>
    <row r="2559" ht="12.75" customHeight="1">
      <c r="A2559" s="4">
        <v>798.0</v>
      </c>
      <c r="B2559" s="4">
        <v>5699.0</v>
      </c>
      <c r="C2559" s="5">
        <f t="shared" si="1132"/>
        <v>41119</v>
      </c>
      <c r="D2559" s="4" t="s">
        <v>21</v>
      </c>
      <c r="E2559" s="4">
        <v>41.0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0.57</v>
      </c>
      <c r="U2559" s="5">
        <f t="shared" si="1133"/>
        <v>41124</v>
      </c>
    </row>
    <row r="2560" ht="12.75" customHeight="1">
      <c r="A2560" s="4">
        <v>940.0</v>
      </c>
      <c r="B2560" s="4">
        <v>6823.0</v>
      </c>
      <c r="C2560" s="5">
        <f t="shared" ref="C2560:C2561" si="1134">DATE(2012,12,31)-1259</f>
        <v>40015</v>
      </c>
      <c r="D2560" s="4" t="s">
        <v>45</v>
      </c>
      <c r="E2560" s="4">
        <v>50.0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ht="12.75" customHeight="1">
      <c r="A2561" s="4">
        <v>941.0</v>
      </c>
      <c r="B2561" s="4">
        <v>6823.0</v>
      </c>
      <c r="C2561" s="5">
        <f t="shared" si="1134"/>
        <v>40015</v>
      </c>
      <c r="D2561" s="4" t="s">
        <v>45</v>
      </c>
      <c r="E2561" s="4">
        <v>31.0</v>
      </c>
      <c r="F2561" s="4">
        <v>524.19</v>
      </c>
      <c r="G2561" s="4">
        <v>0.0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ht="12.75" customHeight="1">
      <c r="A2562" s="4">
        <v>959.0</v>
      </c>
      <c r="B2562" s="4">
        <v>6948.0</v>
      </c>
      <c r="C2562" s="5">
        <f>DATE(2012,12,31)-753</f>
        <v>40521</v>
      </c>
      <c r="D2562" s="4" t="s">
        <v>45</v>
      </c>
      <c r="E2562" s="4">
        <v>15.0</v>
      </c>
      <c r="F2562" s="4">
        <v>1143.88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4.0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5">C2562+1</f>
        <v>40522</v>
      </c>
    </row>
    <row r="2563" ht="12.75" customHeight="1">
      <c r="A2563" s="4">
        <v>1027.0</v>
      </c>
      <c r="B2563" s="4">
        <v>7462.0</v>
      </c>
      <c r="C2563" s="5">
        <f>DATE(2012,12,31)-680</f>
        <v>40594</v>
      </c>
      <c r="D2563" s="4" t="s">
        <v>30</v>
      </c>
      <c r="E2563" s="4">
        <v>3.0</v>
      </c>
      <c r="F2563" s="4">
        <v>72.63</v>
      </c>
      <c r="G2563" s="4">
        <v>0.07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5"/>
        <v>40595</v>
      </c>
    </row>
    <row r="2564" ht="12.75" customHeight="1">
      <c r="A2564" s="4">
        <v>1062.0</v>
      </c>
      <c r="B2564" s="4">
        <v>7845.0</v>
      </c>
      <c r="C2564" s="5">
        <f t="shared" ref="C2564:C2565" si="1136">DATE(2012,12,31)-1114</f>
        <v>40160</v>
      </c>
      <c r="D2564" s="4" t="s">
        <v>78</v>
      </c>
      <c r="E2564" s="4">
        <v>22.0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ht="12.75" customHeight="1">
      <c r="A2565" s="4">
        <v>1063.0</v>
      </c>
      <c r="B2565" s="4">
        <v>7845.0</v>
      </c>
      <c r="C2565" s="5">
        <f t="shared" si="1136"/>
        <v>40160</v>
      </c>
      <c r="D2565" s="4" t="s">
        <v>78</v>
      </c>
      <c r="E2565" s="4">
        <v>45.0</v>
      </c>
      <c r="F2565" s="4">
        <v>2145.05</v>
      </c>
      <c r="G2565" s="4">
        <v>0.07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7">C2565+1</f>
        <v>40161</v>
      </c>
    </row>
    <row r="2566" ht="12.75" customHeight="1">
      <c r="A2566" s="4">
        <v>1092.0</v>
      </c>
      <c r="B2566" s="4">
        <v>8033.0</v>
      </c>
      <c r="C2566" s="5">
        <f>DATE(2012,12,31)-251</f>
        <v>41023</v>
      </c>
      <c r="D2566" s="4" t="s">
        <v>30</v>
      </c>
      <c r="E2566" s="4">
        <v>27.0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7"/>
        <v>41024</v>
      </c>
    </row>
    <row r="2567" ht="12.75" customHeight="1">
      <c r="A2567" s="4">
        <v>1150.0</v>
      </c>
      <c r="B2567" s="4">
        <v>8388.0</v>
      </c>
      <c r="C2567" s="5">
        <f t="shared" ref="C2567:C2569" si="1138">DATE(2012,12,31)-312</f>
        <v>40962</v>
      </c>
      <c r="D2567" s="4" t="s">
        <v>21</v>
      </c>
      <c r="E2567" s="4">
        <v>39.0</v>
      </c>
      <c r="F2567" s="4">
        <v>290.3</v>
      </c>
      <c r="G2567" s="4">
        <v>0.07</v>
      </c>
      <c r="H2567" s="4" t="s">
        <v>22</v>
      </c>
      <c r="I2567" s="6">
        <v>25.16</v>
      </c>
      <c r="J2567" s="4">
        <v>7.59</v>
      </c>
      <c r="K2567" s="4">
        <v>4.0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9">C2567+2</f>
        <v>40964</v>
      </c>
    </row>
    <row r="2568" ht="12.75" customHeight="1">
      <c r="A2568" s="4">
        <v>1151.0</v>
      </c>
      <c r="B2568" s="4">
        <v>8388.0</v>
      </c>
      <c r="C2568" s="5">
        <f t="shared" si="1138"/>
        <v>40962</v>
      </c>
      <c r="D2568" s="4" t="s">
        <v>21</v>
      </c>
      <c r="E2568" s="4">
        <v>37.0</v>
      </c>
      <c r="F2568" s="4">
        <v>434.11</v>
      </c>
      <c r="G2568" s="4">
        <v>0.02</v>
      </c>
      <c r="H2568" s="4" t="s">
        <v>22</v>
      </c>
      <c r="I2568" s="6">
        <v>24.854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9"/>
        <v>40964</v>
      </c>
    </row>
    <row r="2569" ht="12.75" customHeight="1">
      <c r="A2569" s="4">
        <v>1152.0</v>
      </c>
      <c r="B2569" s="4">
        <v>8388.0</v>
      </c>
      <c r="C2569" s="5">
        <f t="shared" si="1138"/>
        <v>40962</v>
      </c>
      <c r="D2569" s="4" t="s">
        <v>21</v>
      </c>
      <c r="E2569" s="4">
        <v>42.0</v>
      </c>
      <c r="F2569" s="4">
        <v>288.9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9"/>
        <v>40964</v>
      </c>
    </row>
    <row r="2570" ht="12.75" customHeight="1">
      <c r="A2570" s="4">
        <v>1334.0</v>
      </c>
      <c r="B2570" s="4">
        <v>9761.0</v>
      </c>
      <c r="C2570" s="5">
        <f t="shared" ref="C2570:C2571" si="1140">DATE(2012,12,31)-344</f>
        <v>40930</v>
      </c>
      <c r="D2570" s="4" t="s">
        <v>45</v>
      </c>
      <c r="E2570" s="4">
        <v>2.0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14.0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ht="12.75" customHeight="1">
      <c r="A2571" s="4">
        <v>1335.0</v>
      </c>
      <c r="B2571" s="4">
        <v>9761.0</v>
      </c>
      <c r="C2571" s="5">
        <f t="shared" si="1140"/>
        <v>40930</v>
      </c>
      <c r="D2571" s="4" t="s">
        <v>45</v>
      </c>
      <c r="E2571" s="4">
        <v>23.0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1">C2571+2</f>
        <v>40932</v>
      </c>
    </row>
    <row r="2572" ht="12.75" customHeight="1">
      <c r="A2572" s="4">
        <v>1354.0</v>
      </c>
      <c r="B2572" s="4">
        <v>9863.0</v>
      </c>
      <c r="C2572" s="5">
        <f>DATE(2012,12,31)-484</f>
        <v>40790</v>
      </c>
      <c r="D2572" s="4" t="s">
        <v>78</v>
      </c>
      <c r="E2572" s="4">
        <v>18.0</v>
      </c>
      <c r="F2572" s="4">
        <v>33.96</v>
      </c>
      <c r="G2572" s="4">
        <v>0.0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</v>
      </c>
      <c r="U2572" s="5">
        <f t="shared" si="1141"/>
        <v>40792</v>
      </c>
    </row>
    <row r="2573" ht="12.75" customHeight="1">
      <c r="A2573" s="4">
        <v>1432.0</v>
      </c>
      <c r="B2573" s="4">
        <v>10342.0</v>
      </c>
      <c r="C2573" s="5">
        <f t="shared" ref="C2573:C2576" si="1142">DATE(2012,12,31)-405</f>
        <v>40869</v>
      </c>
      <c r="D2573" s="4" t="s">
        <v>63</v>
      </c>
      <c r="E2573" s="4">
        <v>45.0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1"/>
        <v>40871</v>
      </c>
    </row>
    <row r="2574" ht="12.75" customHeight="1">
      <c r="A2574" s="4">
        <v>1433.0</v>
      </c>
      <c r="B2574" s="4">
        <v>10342.0</v>
      </c>
      <c r="C2574" s="5">
        <f t="shared" si="1142"/>
        <v>40869</v>
      </c>
      <c r="D2574" s="4" t="s">
        <v>63</v>
      </c>
      <c r="E2574" s="4">
        <v>38.0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ht="12.75" customHeight="1">
      <c r="A2575" s="4">
        <v>1434.0</v>
      </c>
      <c r="B2575" s="4">
        <v>10342.0</v>
      </c>
      <c r="C2575" s="5">
        <f t="shared" si="1142"/>
        <v>40869</v>
      </c>
      <c r="D2575" s="4" t="s">
        <v>63</v>
      </c>
      <c r="E2575" s="4">
        <v>38.0</v>
      </c>
      <c r="F2575" s="4">
        <v>1679.04</v>
      </c>
      <c r="G2575" s="4">
        <v>0.01</v>
      </c>
      <c r="H2575" s="4" t="s">
        <v>22</v>
      </c>
      <c r="I2575" s="6">
        <v>324.47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0.57</v>
      </c>
      <c r="U2575" s="5">
        <f t="shared" ref="U2575:U2576" si="1143">C2575+2</f>
        <v>40871</v>
      </c>
    </row>
    <row r="2576" ht="12.75" customHeight="1">
      <c r="A2576" s="4">
        <v>1435.0</v>
      </c>
      <c r="B2576" s="4">
        <v>10342.0</v>
      </c>
      <c r="C2576" s="5">
        <f t="shared" si="1142"/>
        <v>40869</v>
      </c>
      <c r="D2576" s="4" t="s">
        <v>63</v>
      </c>
      <c r="E2576" s="4">
        <v>2.0</v>
      </c>
      <c r="F2576" s="4">
        <v>2055.97</v>
      </c>
      <c r="G2576" s="4">
        <v>0.05</v>
      </c>
      <c r="H2576" s="4" t="s">
        <v>56</v>
      </c>
      <c r="I2576" s="6">
        <v>-2342.0052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3"/>
        <v>40871</v>
      </c>
    </row>
    <row r="2577" ht="12.75" customHeight="1">
      <c r="A2577" s="4">
        <v>1441.0</v>
      </c>
      <c r="B2577" s="4">
        <v>10434.0</v>
      </c>
      <c r="C2577" s="5">
        <f>DATE(2012,12,31)-1104</f>
        <v>40170</v>
      </c>
      <c r="D2577" s="4" t="s">
        <v>30</v>
      </c>
      <c r="E2577" s="4">
        <v>2.0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ht="12.75" customHeight="1">
      <c r="A2578" s="4">
        <v>1532.0</v>
      </c>
      <c r="B2578" s="4">
        <v>11040.0</v>
      </c>
      <c r="C2578" s="5">
        <f>DATE(2012,12,31)-435</f>
        <v>40839</v>
      </c>
      <c r="D2578" s="4" t="s">
        <v>45</v>
      </c>
      <c r="E2578" s="4">
        <v>44.0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ht="12.75" customHeight="1">
      <c r="A2579" s="4">
        <v>1566.0</v>
      </c>
      <c r="B2579" s="4">
        <v>11302.0</v>
      </c>
      <c r="C2579" s="5">
        <f>DATE(2012,12,31)-1401</f>
        <v>39873</v>
      </c>
      <c r="D2579" s="4" t="s">
        <v>21</v>
      </c>
      <c r="E2579" s="4">
        <v>10.0</v>
      </c>
      <c r="F2579" s="4">
        <v>866.66</v>
      </c>
      <c r="G2579" s="4">
        <v>0.09</v>
      </c>
      <c r="H2579" s="4" t="s">
        <v>31</v>
      </c>
      <c r="I2579" s="6">
        <v>35.29000000000005</v>
      </c>
      <c r="J2579" s="4">
        <v>90.97</v>
      </c>
      <c r="K2579" s="4">
        <v>14.0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ht="12.75" customHeight="1">
      <c r="A2580" s="4">
        <v>1577.0</v>
      </c>
      <c r="B2580" s="4">
        <v>11398.0</v>
      </c>
      <c r="C2580" s="5">
        <f t="shared" ref="C2580:C2581" si="1144">DATE(2012,12,31)-147</f>
        <v>41127</v>
      </c>
      <c r="D2580" s="4" t="s">
        <v>30</v>
      </c>
      <c r="E2580" s="4">
        <v>16.0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ht="12.75" customHeight="1">
      <c r="A2581" s="4">
        <v>1578.0</v>
      </c>
      <c r="B2581" s="4">
        <v>11398.0</v>
      </c>
      <c r="C2581" s="5">
        <f t="shared" si="1144"/>
        <v>41127</v>
      </c>
      <c r="D2581" s="4" t="s">
        <v>30</v>
      </c>
      <c r="E2581" s="4">
        <v>26.0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ht="12.75" customHeight="1">
      <c r="A2582" s="4">
        <v>1599.0</v>
      </c>
      <c r="B2582" s="4">
        <v>11584.0</v>
      </c>
      <c r="C2582" s="5">
        <f>DATE(2012,12,31)-1135</f>
        <v>40139</v>
      </c>
      <c r="D2582" s="4" t="s">
        <v>63</v>
      </c>
      <c r="E2582" s="4">
        <v>48.0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5">C2582+1</f>
        <v>40140</v>
      </c>
    </row>
    <row r="2583" ht="12.75" customHeight="1">
      <c r="A2583" s="4">
        <v>1607.0</v>
      </c>
      <c r="B2583" s="4">
        <v>11652.0</v>
      </c>
      <c r="C2583" s="5">
        <f t="shared" ref="C2583:C2586" si="1146">DATE(2012,12,31)-417</f>
        <v>40857</v>
      </c>
      <c r="D2583" s="4" t="s">
        <v>45</v>
      </c>
      <c r="E2583" s="4">
        <v>35.0</v>
      </c>
      <c r="F2583" s="4">
        <v>1154.14</v>
      </c>
      <c r="G2583" s="4">
        <v>0.07</v>
      </c>
      <c r="H2583" s="4" t="s">
        <v>22</v>
      </c>
      <c r="I2583" s="6">
        <v>-36.0</v>
      </c>
      <c r="J2583" s="4">
        <v>32.98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5"/>
        <v>40858</v>
      </c>
    </row>
    <row r="2584" ht="12.75" customHeight="1">
      <c r="A2584" s="4">
        <v>1608.0</v>
      </c>
      <c r="B2584" s="4">
        <v>11652.0</v>
      </c>
      <c r="C2584" s="5">
        <f t="shared" si="1146"/>
        <v>40857</v>
      </c>
      <c r="D2584" s="4" t="s">
        <v>45</v>
      </c>
      <c r="E2584" s="4">
        <v>37.0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5"/>
        <v>40858</v>
      </c>
    </row>
    <row r="2585" ht="12.75" customHeight="1">
      <c r="A2585" s="4">
        <v>1609.0</v>
      </c>
      <c r="B2585" s="4">
        <v>11652.0</v>
      </c>
      <c r="C2585" s="5">
        <f t="shared" si="1146"/>
        <v>40857</v>
      </c>
      <c r="D2585" s="4" t="s">
        <v>45</v>
      </c>
      <c r="E2585" s="4">
        <v>1.0</v>
      </c>
      <c r="F2585" s="4">
        <v>61.4635</v>
      </c>
      <c r="G2585" s="4">
        <v>0.05</v>
      </c>
      <c r="H2585" s="4" t="s">
        <v>22</v>
      </c>
      <c r="I2585" s="6">
        <v>-261.349</v>
      </c>
      <c r="J2585" s="4">
        <v>65.99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</v>
      </c>
      <c r="U2585" s="5">
        <f t="shared" ref="U2585:U2586" si="1147">C2585+2</f>
        <v>40859</v>
      </c>
    </row>
    <row r="2586" ht="12.75" customHeight="1">
      <c r="A2586" s="4">
        <v>1610.0</v>
      </c>
      <c r="B2586" s="4">
        <v>11652.0</v>
      </c>
      <c r="C2586" s="5">
        <f t="shared" si="1146"/>
        <v>40857</v>
      </c>
      <c r="D2586" s="4" t="s">
        <v>45</v>
      </c>
      <c r="E2586" s="4">
        <v>25.0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7"/>
        <v>40859</v>
      </c>
    </row>
    <row r="2587" ht="12.75" customHeight="1">
      <c r="A2587" s="4">
        <v>1615.0</v>
      </c>
      <c r="B2587" s="4">
        <v>11686.0</v>
      </c>
      <c r="C2587" s="5">
        <f>DATE(2012,12,31)-1434</f>
        <v>39840</v>
      </c>
      <c r="D2587" s="4" t="s">
        <v>45</v>
      </c>
      <c r="E2587" s="4">
        <v>38.0</v>
      </c>
      <c r="F2587" s="4">
        <v>6121.1984999999995</v>
      </c>
      <c r="G2587" s="4">
        <v>0.08</v>
      </c>
      <c r="H2587" s="4" t="s">
        <v>22</v>
      </c>
      <c r="I2587" s="6">
        <v>1312.344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ht="12.75" customHeight="1">
      <c r="A2588" s="4">
        <v>1940.0</v>
      </c>
      <c r="B2588" s="4">
        <v>13895.0</v>
      </c>
      <c r="C2588" s="5">
        <f>DATE(2012,12,31)-772</f>
        <v>40502</v>
      </c>
      <c r="D2588" s="4" t="s">
        <v>30</v>
      </c>
      <c r="E2588" s="4">
        <v>44.0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9.37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</v>
      </c>
      <c r="U2588" s="5">
        <f>C2588+0</f>
        <v>40502</v>
      </c>
    </row>
    <row r="2589" ht="12.75" customHeight="1">
      <c r="A2589" s="4">
        <v>2072.0</v>
      </c>
      <c r="B2589" s="4">
        <v>14820.0</v>
      </c>
      <c r="C2589" s="5">
        <f>DATE(2012,12,31)-357</f>
        <v>40917</v>
      </c>
      <c r="D2589" s="4" t="s">
        <v>30</v>
      </c>
      <c r="E2589" s="4">
        <v>39.0</v>
      </c>
      <c r="F2589" s="4">
        <v>278.902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ht="12.75" customHeight="1">
      <c r="A2590" s="4">
        <v>2127.0</v>
      </c>
      <c r="B2590" s="4">
        <v>15170.0</v>
      </c>
      <c r="C2590" s="5">
        <f>DATE(2012,12,31)-1384</f>
        <v>39890</v>
      </c>
      <c r="D2590" s="4" t="s">
        <v>78</v>
      </c>
      <c r="E2590" s="4">
        <v>19.0</v>
      </c>
      <c r="F2590" s="4">
        <v>356.4645</v>
      </c>
      <c r="G2590" s="4">
        <v>0.01</v>
      </c>
      <c r="H2590" s="4" t="s">
        <v>22</v>
      </c>
      <c r="I2590" s="6">
        <v>-9.107999999999999</v>
      </c>
      <c r="J2590" s="4">
        <v>20.99</v>
      </c>
      <c r="K2590" s="4">
        <v>4.81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0.58</v>
      </c>
      <c r="U2590" s="5">
        <f>C2590+0</f>
        <v>39890</v>
      </c>
    </row>
    <row r="2591" ht="12.75" customHeight="1">
      <c r="A2591" s="4">
        <v>2190.0</v>
      </c>
      <c r="B2591" s="4">
        <v>15780.0</v>
      </c>
      <c r="C2591" s="5">
        <f>DATE(2012,12,31)-628</f>
        <v>40646</v>
      </c>
      <c r="D2591" s="4" t="s">
        <v>78</v>
      </c>
      <c r="E2591" s="4">
        <v>19.0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ht="12.75" customHeight="1">
      <c r="A2592" s="4">
        <v>2225.0</v>
      </c>
      <c r="B2592" s="4">
        <v>16098.0</v>
      </c>
      <c r="C2592" s="5">
        <f>DATE(2012,12,31)-163</f>
        <v>41111</v>
      </c>
      <c r="D2592" s="4" t="s">
        <v>21</v>
      </c>
      <c r="E2592" s="4">
        <v>31.0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ht="12.75" customHeight="1">
      <c r="A2593" s="4">
        <v>2229.0</v>
      </c>
      <c r="B2593" s="4">
        <v>16103.0</v>
      </c>
      <c r="C2593" s="5">
        <f>DATE(2012,12,31)-169</f>
        <v>41105</v>
      </c>
      <c r="D2593" s="4" t="s">
        <v>45</v>
      </c>
      <c r="E2593" s="4">
        <v>31.0</v>
      </c>
      <c r="F2593" s="4">
        <v>217.14</v>
      </c>
      <c r="G2593" s="4">
        <v>0.0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8">C2593+2</f>
        <v>41107</v>
      </c>
    </row>
    <row r="2594" ht="12.75" customHeight="1">
      <c r="A2594" s="4">
        <v>2303.0</v>
      </c>
      <c r="B2594" s="4">
        <v>16610.0</v>
      </c>
      <c r="C2594" s="5">
        <f>DATE(2012,12,31)-1178</f>
        <v>40096</v>
      </c>
      <c r="D2594" s="4" t="s">
        <v>30</v>
      </c>
      <c r="E2594" s="4">
        <v>19.0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8"/>
        <v>40098</v>
      </c>
    </row>
    <row r="2595" ht="12.75" customHeight="1">
      <c r="A2595" s="4">
        <v>2596.0</v>
      </c>
      <c r="B2595" s="4">
        <v>18757.0</v>
      </c>
      <c r="C2595" s="5">
        <f t="shared" ref="C2595:C2596" si="1149">DATE(2012,12,31)-223</f>
        <v>41051</v>
      </c>
      <c r="D2595" s="4" t="s">
        <v>21</v>
      </c>
      <c r="E2595" s="4">
        <v>9.0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8"/>
        <v>41053</v>
      </c>
    </row>
    <row r="2596" ht="12.75" customHeight="1">
      <c r="A2596" s="4">
        <v>2597.0</v>
      </c>
      <c r="B2596" s="4">
        <v>18757.0</v>
      </c>
      <c r="C2596" s="5">
        <f t="shared" si="1149"/>
        <v>41051</v>
      </c>
      <c r="D2596" s="4" t="s">
        <v>21</v>
      </c>
      <c r="E2596" s="4">
        <v>5.0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ht="12.75" customHeight="1">
      <c r="A2597" s="4">
        <v>2687.0</v>
      </c>
      <c r="B2597" s="4">
        <v>19431.0</v>
      </c>
      <c r="C2597" s="5">
        <f>DATE(2012,12,31)-1318</f>
        <v>39956</v>
      </c>
      <c r="D2597" s="4" t="s">
        <v>45</v>
      </c>
      <c r="E2597" s="4">
        <v>4.0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0.57</v>
      </c>
      <c r="U2597" s="5">
        <f>C2597+2</f>
        <v>39958</v>
      </c>
    </row>
    <row r="2598" ht="12.75" customHeight="1">
      <c r="A2598" s="4">
        <v>2712.0</v>
      </c>
      <c r="B2598" s="4">
        <v>19584.0</v>
      </c>
      <c r="C2598" s="5">
        <f>DATE(2012,12,31)-1355</f>
        <v>39919</v>
      </c>
      <c r="D2598" s="4" t="s">
        <v>78</v>
      </c>
      <c r="E2598" s="4">
        <v>6.0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0.57</v>
      </c>
      <c r="U2598" s="5">
        <f>C2598+1</f>
        <v>39920</v>
      </c>
    </row>
    <row r="2599" ht="12.75" customHeight="1">
      <c r="A2599" s="4">
        <v>2810.0</v>
      </c>
      <c r="B2599" s="4">
        <v>20262.0</v>
      </c>
      <c r="C2599" s="5">
        <f>DATE(2012,12,31)-1101</f>
        <v>40173</v>
      </c>
      <c r="D2599" s="4" t="s">
        <v>45</v>
      </c>
      <c r="E2599" s="4">
        <v>27.0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ht="12.75" customHeight="1">
      <c r="A2600" s="4">
        <v>2852.0</v>
      </c>
      <c r="B2600" s="4">
        <v>20545.0</v>
      </c>
      <c r="C2600" s="5">
        <f t="shared" ref="C2600:C2602" si="1150">DATE(2012,12,31)-814</f>
        <v>40460</v>
      </c>
      <c r="D2600" s="4" t="s">
        <v>45</v>
      </c>
      <c r="E2600" s="4">
        <v>1.0</v>
      </c>
      <c r="F2600" s="4">
        <v>361.94</v>
      </c>
      <c r="G2600" s="4">
        <v>0.05</v>
      </c>
      <c r="H2600" s="4" t="s">
        <v>31</v>
      </c>
      <c r="I2600" s="6">
        <v>-163.58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ht="12.75" customHeight="1">
      <c r="A2601" s="4">
        <v>2853.0</v>
      </c>
      <c r="B2601" s="4">
        <v>20545.0</v>
      </c>
      <c r="C2601" s="5">
        <f t="shared" si="1150"/>
        <v>40460</v>
      </c>
      <c r="D2601" s="4" t="s">
        <v>45</v>
      </c>
      <c r="E2601" s="4">
        <v>31.0</v>
      </c>
      <c r="F2601" s="4">
        <v>1276.04</v>
      </c>
      <c r="G2601" s="4">
        <v>0.02</v>
      </c>
      <c r="H2601" s="4" t="s">
        <v>22</v>
      </c>
      <c r="I2601" s="6">
        <v>554.95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1">C2601+2</f>
        <v>40462</v>
      </c>
    </row>
    <row r="2602" ht="12.75" customHeight="1">
      <c r="A2602" s="4">
        <v>2854.0</v>
      </c>
      <c r="B2602" s="4">
        <v>20545.0</v>
      </c>
      <c r="C2602" s="5">
        <f t="shared" si="1150"/>
        <v>40460</v>
      </c>
      <c r="D2602" s="4" t="s">
        <v>45</v>
      </c>
      <c r="E2602" s="4">
        <v>40.0</v>
      </c>
      <c r="F2602" s="4">
        <v>2894.68</v>
      </c>
      <c r="G2602" s="4">
        <v>0.02</v>
      </c>
      <c r="H2602" s="4" t="s">
        <v>22</v>
      </c>
      <c r="I2602" s="6">
        <v>-1754.388</v>
      </c>
      <c r="J2602" s="4">
        <v>71.37</v>
      </c>
      <c r="K2602" s="4">
        <v>69.0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1"/>
        <v>40462</v>
      </c>
    </row>
    <row r="2603" ht="12.75" customHeight="1">
      <c r="A2603" s="4">
        <v>2856.0</v>
      </c>
      <c r="B2603" s="4">
        <v>20577.0</v>
      </c>
      <c r="C2603" s="5">
        <f>DATE(2012,12,31)-1056</f>
        <v>40218</v>
      </c>
      <c r="D2603" s="4" t="s">
        <v>78</v>
      </c>
      <c r="E2603" s="4">
        <v>15.0</v>
      </c>
      <c r="F2603" s="4">
        <v>611.68</v>
      </c>
      <c r="G2603" s="4">
        <v>0.05</v>
      </c>
      <c r="H2603" s="4" t="s">
        <v>22</v>
      </c>
      <c r="I2603" s="6">
        <v>134.7505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1"/>
        <v>40220</v>
      </c>
    </row>
    <row r="2604" ht="12.75" customHeight="1">
      <c r="A2604" s="4">
        <v>2881.0</v>
      </c>
      <c r="B2604" s="4">
        <v>20804.0</v>
      </c>
      <c r="C2604" s="5">
        <f>DATE(2012,12,31)-401</f>
        <v>40873</v>
      </c>
      <c r="D2604" s="4" t="s">
        <v>21</v>
      </c>
      <c r="E2604" s="4">
        <v>13.0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</v>
      </c>
      <c r="U2604" s="5">
        <f>C2604+7</f>
        <v>40880</v>
      </c>
    </row>
    <row r="2605" ht="12.75" customHeight="1">
      <c r="A2605" s="4">
        <v>2960.0</v>
      </c>
      <c r="B2605" s="4">
        <v>21414.0</v>
      </c>
      <c r="C2605" s="5">
        <f t="shared" ref="C2605:C2607" si="1152">DATE(2012,12,31)-607</f>
        <v>40667</v>
      </c>
      <c r="D2605" s="4" t="s">
        <v>78</v>
      </c>
      <c r="E2605" s="4">
        <v>34.0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3">C2605+2</f>
        <v>40669</v>
      </c>
    </row>
    <row r="2606" ht="12.75" customHeight="1">
      <c r="A2606" s="4">
        <v>2961.0</v>
      </c>
      <c r="B2606" s="4">
        <v>21414.0</v>
      </c>
      <c r="C2606" s="5">
        <f t="shared" si="1152"/>
        <v>40667</v>
      </c>
      <c r="D2606" s="4" t="s">
        <v>78</v>
      </c>
      <c r="E2606" s="4">
        <v>46.0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35.0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3"/>
        <v>40669</v>
      </c>
    </row>
    <row r="2607" ht="12.75" customHeight="1">
      <c r="A2607" s="4">
        <v>2962.0</v>
      </c>
      <c r="B2607" s="4">
        <v>21414.0</v>
      </c>
      <c r="C2607" s="5">
        <f t="shared" si="1152"/>
        <v>40667</v>
      </c>
      <c r="D2607" s="4" t="s">
        <v>78</v>
      </c>
      <c r="E2607" s="4">
        <v>33.0</v>
      </c>
      <c r="F2607" s="4">
        <v>3491.613</v>
      </c>
      <c r="G2607" s="4">
        <v>0.05</v>
      </c>
      <c r="H2607" s="4" t="s">
        <v>22</v>
      </c>
      <c r="I2607" s="6">
        <v>717.696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ht="12.75" customHeight="1">
      <c r="A2608" s="4">
        <v>2969.0</v>
      </c>
      <c r="B2608" s="4">
        <v>21447.0</v>
      </c>
      <c r="C2608" s="5">
        <f>DATE(2012,12,31)-942</f>
        <v>40332</v>
      </c>
      <c r="D2608" s="4" t="s">
        <v>45</v>
      </c>
      <c r="E2608" s="4">
        <v>15.0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0.57</v>
      </c>
      <c r="U2608" s="5">
        <f>C2608+2</f>
        <v>40334</v>
      </c>
    </row>
    <row r="2609" ht="12.75" customHeight="1">
      <c r="A2609" s="4">
        <v>2976.0</v>
      </c>
      <c r="B2609" s="4">
        <v>21479.0</v>
      </c>
      <c r="C2609" s="5">
        <f>DATE(2012,12,31)-1221</f>
        <v>40053</v>
      </c>
      <c r="D2609" s="4" t="s">
        <v>63</v>
      </c>
      <c r="E2609" s="4">
        <v>41.0</v>
      </c>
      <c r="F2609" s="4">
        <v>291.16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ht="12.75" customHeight="1">
      <c r="A2610" s="4">
        <v>3096.0</v>
      </c>
      <c r="B2610" s="4">
        <v>22208.0</v>
      </c>
      <c r="C2610" s="5">
        <f t="shared" ref="C2610:C2611" si="1154">DATE(2012,12,31)-1175</f>
        <v>40099</v>
      </c>
      <c r="D2610" s="4" t="s">
        <v>30</v>
      </c>
      <c r="E2610" s="4">
        <v>37.0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4.0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5">C2610+2</f>
        <v>40101</v>
      </c>
    </row>
    <row r="2611" ht="12.75" customHeight="1">
      <c r="A2611" s="4">
        <v>3097.0</v>
      </c>
      <c r="B2611" s="4">
        <v>22208.0</v>
      </c>
      <c r="C2611" s="5">
        <f t="shared" si="1154"/>
        <v>40099</v>
      </c>
      <c r="D2611" s="4" t="s">
        <v>30</v>
      </c>
      <c r="E2611" s="4">
        <v>50.0</v>
      </c>
      <c r="F2611" s="4">
        <v>5271.045499999999</v>
      </c>
      <c r="G2611" s="4">
        <v>0.08</v>
      </c>
      <c r="H2611" s="4" t="s">
        <v>22</v>
      </c>
      <c r="I2611" s="6">
        <v>1379.763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0.58</v>
      </c>
      <c r="U2611" s="5">
        <f t="shared" si="1155"/>
        <v>40101</v>
      </c>
    </row>
    <row r="2612" ht="12.75" customHeight="1">
      <c r="A2612" s="4">
        <v>3106.0</v>
      </c>
      <c r="B2612" s="4">
        <v>22279.0</v>
      </c>
      <c r="C2612" s="5">
        <f>DATE(2012,12,31)-1105</f>
        <v>40169</v>
      </c>
      <c r="D2612" s="4" t="s">
        <v>45</v>
      </c>
      <c r="E2612" s="4">
        <v>43.0</v>
      </c>
      <c r="F2612" s="4">
        <v>2463.6</v>
      </c>
      <c r="G2612" s="4">
        <v>0.03</v>
      </c>
      <c r="H2612" s="4" t="s">
        <v>22</v>
      </c>
      <c r="I2612" s="6">
        <v>1040.65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ht="12.75" customHeight="1">
      <c r="A2613" s="4">
        <v>3231.0</v>
      </c>
      <c r="B2613" s="4">
        <v>23174.0</v>
      </c>
      <c r="C2613" s="5">
        <f t="shared" ref="C2613:C2614" si="1156">DATE(2012,12,31)-158</f>
        <v>41116</v>
      </c>
      <c r="D2613" s="4" t="s">
        <v>21</v>
      </c>
      <c r="E2613" s="4">
        <v>16.0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ht="12.75" customHeight="1">
      <c r="A2614" s="4">
        <v>3232.0</v>
      </c>
      <c r="B2614" s="4">
        <v>23174.0</v>
      </c>
      <c r="C2614" s="5">
        <f t="shared" si="1156"/>
        <v>41116</v>
      </c>
      <c r="D2614" s="4" t="s">
        <v>21</v>
      </c>
      <c r="E2614" s="4">
        <v>8.0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16.74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ht="12.75" customHeight="1">
      <c r="A2615" s="4">
        <v>3259.0</v>
      </c>
      <c r="B2615" s="4">
        <v>23333.0</v>
      </c>
      <c r="C2615" s="5">
        <f t="shared" ref="C2615:C2617" si="1157">DATE(2012,12,31)-1244</f>
        <v>40030</v>
      </c>
      <c r="D2615" s="4" t="s">
        <v>63</v>
      </c>
      <c r="E2615" s="4">
        <v>44.0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ht="12.75" customHeight="1">
      <c r="A2616" s="4">
        <v>3260.0</v>
      </c>
      <c r="B2616" s="4">
        <v>23333.0</v>
      </c>
      <c r="C2616" s="5">
        <f t="shared" si="1157"/>
        <v>40030</v>
      </c>
      <c r="D2616" s="4" t="s">
        <v>63</v>
      </c>
      <c r="E2616" s="4">
        <v>32.0</v>
      </c>
      <c r="F2616" s="4">
        <v>196.84</v>
      </c>
      <c r="G2616" s="4">
        <v>0.04</v>
      </c>
      <c r="H2616" s="4" t="s">
        <v>22</v>
      </c>
      <c r="I2616" s="6">
        <v>-69.29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ht="12.75" customHeight="1">
      <c r="A2617" s="4">
        <v>3261.0</v>
      </c>
      <c r="B2617" s="4">
        <v>23333.0</v>
      </c>
      <c r="C2617" s="5">
        <f t="shared" si="1157"/>
        <v>40030</v>
      </c>
      <c r="D2617" s="4" t="s">
        <v>63</v>
      </c>
      <c r="E2617" s="4">
        <v>16.0</v>
      </c>
      <c r="F2617" s="4">
        <v>886.89</v>
      </c>
      <c r="G2617" s="4">
        <v>0.03</v>
      </c>
      <c r="H2617" s="4" t="s">
        <v>22</v>
      </c>
      <c r="I2617" s="6">
        <v>-23.826</v>
      </c>
      <c r="J2617" s="4">
        <v>65.99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</v>
      </c>
      <c r="U2617" s="5">
        <f t="shared" ref="U2617:U2618" si="1158">C2617+1</f>
        <v>40031</v>
      </c>
    </row>
    <row r="2618" ht="12.75" customHeight="1">
      <c r="A2618" s="4">
        <v>3456.0</v>
      </c>
      <c r="B2618" s="4">
        <v>24640.0</v>
      </c>
      <c r="C2618" s="5">
        <f>DATE(2012,12,31)-702</f>
        <v>40572</v>
      </c>
      <c r="D2618" s="4" t="s">
        <v>63</v>
      </c>
      <c r="E2618" s="4">
        <v>12.0</v>
      </c>
      <c r="F2618" s="4">
        <v>1379.98</v>
      </c>
      <c r="G2618" s="4">
        <v>0.06</v>
      </c>
      <c r="H2618" s="4" t="s">
        <v>31</v>
      </c>
      <c r="I2618" s="6">
        <v>-151.73</v>
      </c>
      <c r="J2618" s="4">
        <v>113.98</v>
      </c>
      <c r="K2618" s="4">
        <v>30.0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8"/>
        <v>40573</v>
      </c>
    </row>
    <row r="2619" ht="12.75" customHeight="1">
      <c r="A2619" s="4">
        <v>3516.0</v>
      </c>
      <c r="B2619" s="4">
        <v>25056.0</v>
      </c>
      <c r="C2619" s="5">
        <f>DATE(2012,12,31)-832</f>
        <v>40442</v>
      </c>
      <c r="D2619" s="4" t="s">
        <v>45</v>
      </c>
      <c r="E2619" s="4">
        <v>41.0</v>
      </c>
      <c r="F2619" s="4">
        <v>295.12</v>
      </c>
      <c r="G2619" s="4">
        <v>0.0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9">C2619+2</f>
        <v>40444</v>
      </c>
    </row>
    <row r="2620" ht="12.75" customHeight="1">
      <c r="A2620" s="4">
        <v>3665.0</v>
      </c>
      <c r="B2620" s="4">
        <v>26244.0</v>
      </c>
      <c r="C2620" s="5">
        <f>DATE(2012,12,31)-881</f>
        <v>40393</v>
      </c>
      <c r="D2620" s="4" t="s">
        <v>30</v>
      </c>
      <c r="E2620" s="4">
        <v>16.0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9"/>
        <v>40395</v>
      </c>
    </row>
    <row r="2621" ht="12.75" customHeight="1">
      <c r="A2621" s="4">
        <v>3816.0</v>
      </c>
      <c r="B2621" s="4">
        <v>27201.0</v>
      </c>
      <c r="C2621" s="5">
        <f t="shared" ref="C2621:C2622" si="1160">DATE(2012,12,31)-159</f>
        <v>41115</v>
      </c>
      <c r="D2621" s="4" t="s">
        <v>30</v>
      </c>
      <c r="E2621" s="4">
        <v>10.0</v>
      </c>
      <c r="F2621" s="4">
        <v>5056.89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26.0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1">C2621+0</f>
        <v>41115</v>
      </c>
    </row>
    <row r="2622" ht="12.75" customHeight="1">
      <c r="A2622" s="4">
        <v>3817.0</v>
      </c>
      <c r="B2622" s="4">
        <v>27201.0</v>
      </c>
      <c r="C2622" s="5">
        <f t="shared" si="1160"/>
        <v>41115</v>
      </c>
      <c r="D2622" s="4" t="s">
        <v>30</v>
      </c>
      <c r="E2622" s="4">
        <v>45.0</v>
      </c>
      <c r="F2622" s="4">
        <v>3500.1</v>
      </c>
      <c r="G2622" s="4">
        <v>0.01</v>
      </c>
      <c r="H2622" s="4" t="s">
        <v>31</v>
      </c>
      <c r="I2622" s="6">
        <v>-2661.318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1"/>
        <v>41115</v>
      </c>
    </row>
    <row r="2623" ht="12.75" customHeight="1">
      <c r="A2623" s="4">
        <v>3897.0</v>
      </c>
      <c r="B2623" s="4">
        <v>27808.0</v>
      </c>
      <c r="C2623" s="5">
        <f>DATE(2012,12,31)-1070</f>
        <v>40204</v>
      </c>
      <c r="D2623" s="4" t="s">
        <v>21</v>
      </c>
      <c r="E2623" s="4">
        <v>9.0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ht="12.75" customHeight="1">
      <c r="A2624" s="4">
        <v>4173.0</v>
      </c>
      <c r="B2624" s="4">
        <v>29573.0</v>
      </c>
      <c r="C2624" s="5">
        <f>DATE(2012,12,31)-350</f>
        <v>40924</v>
      </c>
      <c r="D2624" s="4" t="s">
        <v>78</v>
      </c>
      <c r="E2624" s="4">
        <v>43.0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9.54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2">C2624+2</f>
        <v>40926</v>
      </c>
    </row>
    <row r="2625" ht="12.75" customHeight="1">
      <c r="A2625" s="4">
        <v>4203.0</v>
      </c>
      <c r="B2625" s="4">
        <v>29862.0</v>
      </c>
      <c r="C2625" s="5">
        <f>DATE(2012,12,31)-561</f>
        <v>40713</v>
      </c>
      <c r="D2625" s="4" t="s">
        <v>63</v>
      </c>
      <c r="E2625" s="4">
        <v>34.0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2"/>
        <v>40715</v>
      </c>
    </row>
    <row r="2626" ht="12.75" customHeight="1">
      <c r="A2626" s="4">
        <v>4276.0</v>
      </c>
      <c r="B2626" s="4">
        <v>30433.0</v>
      </c>
      <c r="C2626" s="5">
        <f>DATE(2012,12,31)-936</f>
        <v>40338</v>
      </c>
      <c r="D2626" s="4" t="s">
        <v>63</v>
      </c>
      <c r="E2626" s="4">
        <v>17.0</v>
      </c>
      <c r="F2626" s="4">
        <v>253.38</v>
      </c>
      <c r="G2626" s="4">
        <v>0.0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</v>
      </c>
      <c r="U2626" s="5">
        <f>C2626+0</f>
        <v>40338</v>
      </c>
    </row>
    <row r="2627" ht="12.75" customHeight="1">
      <c r="A2627" s="4">
        <v>4284.0</v>
      </c>
      <c r="B2627" s="4">
        <v>30532.0</v>
      </c>
      <c r="C2627" s="5">
        <f t="shared" ref="C2627:C2630" si="1163">DATE(2012,12,31)-401</f>
        <v>40873</v>
      </c>
      <c r="D2627" s="4" t="s">
        <v>30</v>
      </c>
      <c r="E2627" s="4">
        <v>28.0</v>
      </c>
      <c r="F2627" s="4">
        <v>431.37</v>
      </c>
      <c r="G2627" s="4">
        <v>0.03</v>
      </c>
      <c r="H2627" s="4" t="s">
        <v>22</v>
      </c>
      <c r="I2627" s="6">
        <v>-28.6695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4">C2627+1</f>
        <v>40874</v>
      </c>
    </row>
    <row r="2628" ht="12.75" customHeight="1">
      <c r="A2628" s="4">
        <v>4285.0</v>
      </c>
      <c r="B2628" s="4">
        <v>30532.0</v>
      </c>
      <c r="C2628" s="5">
        <f t="shared" si="1163"/>
        <v>40873</v>
      </c>
      <c r="D2628" s="4" t="s">
        <v>30</v>
      </c>
      <c r="E2628" s="4">
        <v>23.0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4"/>
        <v>40874</v>
      </c>
    </row>
    <row r="2629" ht="12.75" customHeight="1">
      <c r="A2629" s="4">
        <v>4286.0</v>
      </c>
      <c r="B2629" s="4">
        <v>30532.0</v>
      </c>
      <c r="C2629" s="5">
        <f t="shared" si="1163"/>
        <v>40873</v>
      </c>
      <c r="D2629" s="4" t="s">
        <v>30</v>
      </c>
      <c r="E2629" s="4">
        <v>45.0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5">C2629+2</f>
        <v>40875</v>
      </c>
    </row>
    <row r="2630" ht="12.75" customHeight="1">
      <c r="A2630" s="4">
        <v>4287.0</v>
      </c>
      <c r="B2630" s="4">
        <v>30532.0</v>
      </c>
      <c r="C2630" s="5">
        <f t="shared" si="1163"/>
        <v>40873</v>
      </c>
      <c r="D2630" s="4" t="s">
        <v>30</v>
      </c>
      <c r="E2630" s="4">
        <v>9.0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5"/>
        <v>40875</v>
      </c>
    </row>
    <row r="2631" ht="12.75" customHeight="1">
      <c r="A2631" s="4">
        <v>4297.0</v>
      </c>
      <c r="B2631" s="4">
        <v>30597.0</v>
      </c>
      <c r="C2631" s="5">
        <f t="shared" ref="C2631:C2632" si="1166">DATE(2012,12,31)-148</f>
        <v>41126</v>
      </c>
      <c r="D2631" s="4" t="s">
        <v>30</v>
      </c>
      <c r="E2631" s="4">
        <v>18.0</v>
      </c>
      <c r="F2631" s="4">
        <v>93.02</v>
      </c>
      <c r="G2631" s="4">
        <v>0.07</v>
      </c>
      <c r="H2631" s="4" t="s">
        <v>22</v>
      </c>
      <c r="I2631" s="6">
        <v>20.01</v>
      </c>
      <c r="J2631" s="4">
        <v>5.08</v>
      </c>
      <c r="K2631" s="4">
        <v>2.03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5"/>
        <v>41128</v>
      </c>
    </row>
    <row r="2632" ht="12.75" customHeight="1">
      <c r="A2632" s="4">
        <v>4298.0</v>
      </c>
      <c r="B2632" s="4">
        <v>30597.0</v>
      </c>
      <c r="C2632" s="5">
        <f t="shared" si="1166"/>
        <v>41126</v>
      </c>
      <c r="D2632" s="4" t="s">
        <v>30</v>
      </c>
      <c r="E2632" s="4">
        <v>42.0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ht="12.75" customHeight="1">
      <c r="A2633" s="4">
        <v>4349.0</v>
      </c>
      <c r="B2633" s="4">
        <v>30981.0</v>
      </c>
      <c r="C2633" s="5">
        <f t="shared" ref="C2633:C2634" si="1167">DATE(2012,12,31)-685</f>
        <v>40589</v>
      </c>
      <c r="D2633" s="4" t="s">
        <v>21</v>
      </c>
      <c r="E2633" s="4">
        <v>29.0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ht="12.75" customHeight="1">
      <c r="A2634" s="4">
        <v>4350.0</v>
      </c>
      <c r="B2634" s="4">
        <v>30981.0</v>
      </c>
      <c r="C2634" s="5">
        <f t="shared" si="1167"/>
        <v>40589</v>
      </c>
      <c r="D2634" s="4" t="s">
        <v>21</v>
      </c>
      <c r="E2634" s="4">
        <v>22.0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30.0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8">C2634+2</f>
        <v>40591</v>
      </c>
    </row>
    <row r="2635" ht="12.75" customHeight="1">
      <c r="A2635" s="4">
        <v>4455.0</v>
      </c>
      <c r="B2635" s="4">
        <v>31751.0</v>
      </c>
      <c r="C2635" s="5">
        <f>DATE(2012,12,31)-585</f>
        <v>40689</v>
      </c>
      <c r="D2635" s="4" t="s">
        <v>30</v>
      </c>
      <c r="E2635" s="4">
        <v>31.0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8"/>
        <v>40691</v>
      </c>
    </row>
    <row r="2636" ht="12.75" customHeight="1">
      <c r="A2636" s="4">
        <v>4473.0</v>
      </c>
      <c r="B2636" s="4">
        <v>31873.0</v>
      </c>
      <c r="C2636" s="5">
        <f t="shared" ref="C2636:C2639" si="1169">DATE(2012,12,31)-1149</f>
        <v>40125</v>
      </c>
      <c r="D2636" s="4" t="s">
        <v>21</v>
      </c>
      <c r="E2636" s="4">
        <v>2.0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ht="12.75" customHeight="1">
      <c r="A2637" s="4">
        <v>4474.0</v>
      </c>
      <c r="B2637" s="4">
        <v>31873.0</v>
      </c>
      <c r="C2637" s="5">
        <f t="shared" si="1169"/>
        <v>40125</v>
      </c>
      <c r="D2637" s="4" t="s">
        <v>21</v>
      </c>
      <c r="E2637" s="4">
        <v>14.0</v>
      </c>
      <c r="F2637" s="4">
        <v>2465.5015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70">C2637+7</f>
        <v>40132</v>
      </c>
    </row>
    <row r="2638" ht="12.75" customHeight="1">
      <c r="A2638" s="4">
        <v>4475.0</v>
      </c>
      <c r="B2638" s="4">
        <v>31873.0</v>
      </c>
      <c r="C2638" s="5">
        <f t="shared" si="1169"/>
        <v>40125</v>
      </c>
      <c r="D2638" s="4" t="s">
        <v>21</v>
      </c>
      <c r="E2638" s="4">
        <v>50.0</v>
      </c>
      <c r="F2638" s="4">
        <v>8558.4715</v>
      </c>
      <c r="G2638" s="4">
        <v>0.06</v>
      </c>
      <c r="H2638" s="4" t="s">
        <v>22</v>
      </c>
      <c r="I2638" s="6">
        <v>2539.458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</v>
      </c>
      <c r="U2638" s="5">
        <f t="shared" si="1170"/>
        <v>40132</v>
      </c>
    </row>
    <row r="2639" ht="12.75" customHeight="1">
      <c r="A2639" s="4">
        <v>4476.0</v>
      </c>
      <c r="B2639" s="4">
        <v>31873.0</v>
      </c>
      <c r="C2639" s="5">
        <f t="shared" si="1169"/>
        <v>40125</v>
      </c>
      <c r="D2639" s="4" t="s">
        <v>21</v>
      </c>
      <c r="E2639" s="4">
        <v>42.0</v>
      </c>
      <c r="F2639" s="4">
        <v>236.89</v>
      </c>
      <c r="G2639" s="4">
        <v>0.0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70"/>
        <v>40132</v>
      </c>
    </row>
    <row r="2640" ht="12.75" customHeight="1">
      <c r="A2640" s="4">
        <v>4492.0</v>
      </c>
      <c r="B2640" s="4">
        <v>32000.0</v>
      </c>
      <c r="C2640" s="5">
        <f t="shared" ref="C2640:C2641" si="1171">DATE(2012,12,31)-109</f>
        <v>41165</v>
      </c>
      <c r="D2640" s="4" t="s">
        <v>21</v>
      </c>
      <c r="E2640" s="4">
        <v>49.0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ht="12.75" customHeight="1">
      <c r="A2641" s="4">
        <v>4493.0</v>
      </c>
      <c r="B2641" s="4">
        <v>32000.0</v>
      </c>
      <c r="C2641" s="5">
        <f t="shared" si="1171"/>
        <v>41165</v>
      </c>
      <c r="D2641" s="4" t="s">
        <v>21</v>
      </c>
      <c r="E2641" s="4">
        <v>26.0</v>
      </c>
      <c r="F2641" s="4">
        <v>15168.82</v>
      </c>
      <c r="G2641" s="4">
        <v>0.02</v>
      </c>
      <c r="H2641" s="4" t="s">
        <v>31</v>
      </c>
      <c r="I2641" s="6">
        <v>-1096.776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ht="12.75" customHeight="1">
      <c r="A2642" s="4">
        <v>4597.0</v>
      </c>
      <c r="B2642" s="4">
        <v>32737.0</v>
      </c>
      <c r="C2642" s="5">
        <f>DATE(2012,12,31)-1160</f>
        <v>40114</v>
      </c>
      <c r="D2642" s="4" t="s">
        <v>30</v>
      </c>
      <c r="E2642" s="4">
        <v>14.0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ht="12.75" customHeight="1">
      <c r="A2643" s="4">
        <v>4918.0</v>
      </c>
      <c r="B2643" s="4">
        <v>35012.0</v>
      </c>
      <c r="C2643" s="5">
        <f t="shared" ref="C2643:C2644" si="1172">DATE(2012,12,31)-206</f>
        <v>41068</v>
      </c>
      <c r="D2643" s="4" t="s">
        <v>63</v>
      </c>
      <c r="E2643" s="4">
        <v>10.0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0.58</v>
      </c>
      <c r="U2643" s="5">
        <f>C2643+0</f>
        <v>41068</v>
      </c>
    </row>
    <row r="2644" ht="12.75" customHeight="1">
      <c r="A2644" s="4">
        <v>4919.0</v>
      </c>
      <c r="B2644" s="4">
        <v>35012.0</v>
      </c>
      <c r="C2644" s="5">
        <f t="shared" si="1172"/>
        <v>41068</v>
      </c>
      <c r="D2644" s="4" t="s">
        <v>63</v>
      </c>
      <c r="E2644" s="4">
        <v>11.0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</v>
      </c>
      <c r="U2644" s="5">
        <f t="shared" ref="U2644:U2645" si="1173">C2644+1</f>
        <v>41069</v>
      </c>
    </row>
    <row r="2645" ht="12.75" customHeight="1">
      <c r="A2645" s="4">
        <v>4922.0</v>
      </c>
      <c r="B2645" s="4">
        <v>35042.0</v>
      </c>
      <c r="C2645" s="5">
        <f>DATE(2012,12,31)-760</f>
        <v>40514</v>
      </c>
      <c r="D2645" s="4" t="s">
        <v>45</v>
      </c>
      <c r="E2645" s="4">
        <v>23.0</v>
      </c>
      <c r="F2645" s="4">
        <v>1196.86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3"/>
        <v>40515</v>
      </c>
    </row>
    <row r="2646" ht="12.75" customHeight="1">
      <c r="A2646" s="4">
        <v>5009.0</v>
      </c>
      <c r="B2646" s="4">
        <v>35713.0</v>
      </c>
      <c r="C2646" s="5">
        <f>DATE(2012,12,31)-75</f>
        <v>41199</v>
      </c>
      <c r="D2646" s="4" t="s">
        <v>63</v>
      </c>
      <c r="E2646" s="4">
        <v>49.0</v>
      </c>
      <c r="F2646" s="4">
        <v>1355.47</v>
      </c>
      <c r="G2646" s="4">
        <v>0.04</v>
      </c>
      <c r="H2646" s="4" t="s">
        <v>22</v>
      </c>
      <c r="I2646" s="6">
        <v>590.0445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ht="12.75" customHeight="1">
      <c r="A2647" s="4">
        <v>5082.0</v>
      </c>
      <c r="B2647" s="4">
        <v>36229.0</v>
      </c>
      <c r="C2647" s="5">
        <f t="shared" ref="C2647:C2648" si="1174">DATE(2012,12,31)-101</f>
        <v>41173</v>
      </c>
      <c r="D2647" s="4" t="s">
        <v>45</v>
      </c>
      <c r="E2647" s="4">
        <v>12.0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ht="12.75" customHeight="1">
      <c r="A2648" s="4">
        <v>5083.0</v>
      </c>
      <c r="B2648" s="4">
        <v>36229.0</v>
      </c>
      <c r="C2648" s="5">
        <f t="shared" si="1174"/>
        <v>41173</v>
      </c>
      <c r="D2648" s="4" t="s">
        <v>45</v>
      </c>
      <c r="E2648" s="4">
        <v>24.0</v>
      </c>
      <c r="F2648" s="4">
        <v>3590.33</v>
      </c>
      <c r="G2648" s="4">
        <v>0.01</v>
      </c>
      <c r="H2648" s="4" t="s">
        <v>31</v>
      </c>
      <c r="I2648" s="6">
        <v>-31.725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ht="12.75" customHeight="1">
      <c r="A2649" s="4">
        <v>5199.0</v>
      </c>
      <c r="B2649" s="4">
        <v>36933.0</v>
      </c>
      <c r="C2649" s="5">
        <f>DATE(2012,12,31)-538</f>
        <v>40736</v>
      </c>
      <c r="D2649" s="4" t="s">
        <v>30</v>
      </c>
      <c r="E2649" s="4">
        <v>32.0</v>
      </c>
      <c r="F2649" s="4">
        <v>115.81</v>
      </c>
      <c r="G2649" s="4">
        <v>0.07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ht="12.75" customHeight="1">
      <c r="A2650" s="4">
        <v>5219.0</v>
      </c>
      <c r="B2650" s="4">
        <v>37152.0</v>
      </c>
      <c r="C2650" s="5">
        <f t="shared" ref="C2650:C2651" si="1175">DATE(2012,12,31)-589</f>
        <v>40685</v>
      </c>
      <c r="D2650" s="4" t="s">
        <v>63</v>
      </c>
      <c r="E2650" s="4">
        <v>39.0</v>
      </c>
      <c r="F2650" s="4">
        <v>4647.69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30.0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6">C2650+2</f>
        <v>40687</v>
      </c>
    </row>
    <row r="2651" ht="12.75" customHeight="1">
      <c r="A2651" s="4">
        <v>5220.0</v>
      </c>
      <c r="B2651" s="4">
        <v>37152.0</v>
      </c>
      <c r="C2651" s="5">
        <f t="shared" si="1175"/>
        <v>40685</v>
      </c>
      <c r="D2651" s="4" t="s">
        <v>63</v>
      </c>
      <c r="E2651" s="4">
        <v>45.0</v>
      </c>
      <c r="F2651" s="4">
        <v>2503.3265</v>
      </c>
      <c r="G2651" s="4">
        <v>0.04</v>
      </c>
      <c r="H2651" s="4" t="s">
        <v>22</v>
      </c>
      <c r="I2651" s="6">
        <v>447.12</v>
      </c>
      <c r="J2651" s="4">
        <v>65.99</v>
      </c>
      <c r="K2651" s="4">
        <v>8.8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0.58</v>
      </c>
      <c r="U2651" s="5">
        <f t="shared" si="1176"/>
        <v>40687</v>
      </c>
    </row>
    <row r="2652" ht="12.75" customHeight="1">
      <c r="A2652" s="4">
        <v>5228.0</v>
      </c>
      <c r="B2652" s="4">
        <v>37223.0</v>
      </c>
      <c r="C2652" s="5">
        <f t="shared" ref="C2652:C2654" si="1177">DATE(2012,12,31)-417</f>
        <v>40857</v>
      </c>
      <c r="D2652" s="4" t="s">
        <v>21</v>
      </c>
      <c r="E2652" s="4">
        <v>21.0</v>
      </c>
      <c r="F2652" s="4">
        <v>2731.73</v>
      </c>
      <c r="G2652" s="4">
        <v>0.07</v>
      </c>
      <c r="H2652" s="4" t="s">
        <v>56</v>
      </c>
      <c r="I2652" s="6">
        <v>310.59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0.58</v>
      </c>
      <c r="U2652" s="5">
        <f>C2652+4</f>
        <v>40861</v>
      </c>
    </row>
    <row r="2653" ht="12.75" customHeight="1">
      <c r="A2653" s="4">
        <v>5229.0</v>
      </c>
      <c r="B2653" s="4">
        <v>37223.0</v>
      </c>
      <c r="C2653" s="5">
        <f t="shared" si="1177"/>
        <v>40857</v>
      </c>
      <c r="D2653" s="4" t="s">
        <v>21</v>
      </c>
      <c r="E2653" s="4">
        <v>40.0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ht="12.75" customHeight="1">
      <c r="A2654" s="4">
        <v>5230.0</v>
      </c>
      <c r="B2654" s="4">
        <v>37223.0</v>
      </c>
      <c r="C2654" s="5">
        <f t="shared" si="1177"/>
        <v>40857</v>
      </c>
      <c r="D2654" s="4" t="s">
        <v>21</v>
      </c>
      <c r="E2654" s="4">
        <v>38.0</v>
      </c>
      <c r="F2654" s="4">
        <v>5176.27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35.0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ht="12.75" customHeight="1">
      <c r="A2655" s="4">
        <v>5237.0</v>
      </c>
      <c r="B2655" s="4">
        <v>37254.0</v>
      </c>
      <c r="C2655" s="5">
        <f>DATE(2012,12,31)-1200</f>
        <v>40074</v>
      </c>
      <c r="D2655" s="4" t="s">
        <v>30</v>
      </c>
      <c r="E2655" s="4">
        <v>28.0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8">C2655+1</f>
        <v>40075</v>
      </c>
    </row>
    <row r="2656" ht="12.75" customHeight="1">
      <c r="A2656" s="4">
        <v>5260.0</v>
      </c>
      <c r="B2656" s="4">
        <v>37441.0</v>
      </c>
      <c r="C2656" s="5">
        <f t="shared" ref="C2656:C2657" si="1179">DATE(2012,12,31)-1406</f>
        <v>39868</v>
      </c>
      <c r="D2656" s="4" t="s">
        <v>78</v>
      </c>
      <c r="E2656" s="4">
        <v>46.0</v>
      </c>
      <c r="F2656" s="4">
        <v>14740.51</v>
      </c>
      <c r="G2656" s="4">
        <v>0.0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</v>
      </c>
      <c r="U2656" s="5">
        <f t="shared" si="1178"/>
        <v>39869</v>
      </c>
    </row>
    <row r="2657" ht="12.75" customHeight="1">
      <c r="A2657" s="4">
        <v>5261.0</v>
      </c>
      <c r="B2657" s="4">
        <v>37441.0</v>
      </c>
      <c r="C2657" s="5">
        <f t="shared" si="1179"/>
        <v>39868</v>
      </c>
      <c r="D2657" s="4" t="s">
        <v>78</v>
      </c>
      <c r="E2657" s="4">
        <v>1.0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0.58</v>
      </c>
      <c r="U2657" s="5">
        <f t="shared" ref="U2657:U2659" si="1180">C2657+2</f>
        <v>39870</v>
      </c>
    </row>
    <row r="2658" ht="12.75" customHeight="1">
      <c r="A2658" s="4">
        <v>5359.0</v>
      </c>
      <c r="B2658" s="4">
        <v>38084.0</v>
      </c>
      <c r="C2658" s="5">
        <f t="shared" ref="C2658:C2659" si="1181">DATE(2012,12,31)-1382</f>
        <v>39892</v>
      </c>
      <c r="D2658" s="4" t="s">
        <v>45</v>
      </c>
      <c r="E2658" s="4">
        <v>11.0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80"/>
        <v>39894</v>
      </c>
    </row>
    <row r="2659" ht="12.75" customHeight="1">
      <c r="A2659" s="4">
        <v>5360.0</v>
      </c>
      <c r="B2659" s="4">
        <v>38084.0</v>
      </c>
      <c r="C2659" s="5">
        <f t="shared" si="1181"/>
        <v>39892</v>
      </c>
      <c r="D2659" s="4" t="s">
        <v>45</v>
      </c>
      <c r="E2659" s="4">
        <v>33.0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80"/>
        <v>39894</v>
      </c>
    </row>
    <row r="2660" ht="12.75" customHeight="1">
      <c r="A2660" s="4">
        <v>5527.0</v>
      </c>
      <c r="B2660" s="4">
        <v>39168.0</v>
      </c>
      <c r="C2660" s="5">
        <f t="shared" ref="C2660:C2662" si="1182">DATE(2012,12,31)-228</f>
        <v>41046</v>
      </c>
      <c r="D2660" s="4" t="s">
        <v>30</v>
      </c>
      <c r="E2660" s="4">
        <v>22.0</v>
      </c>
      <c r="F2660" s="4">
        <v>809.91</v>
      </c>
      <c r="G2660" s="4">
        <v>0.07</v>
      </c>
      <c r="H2660" s="4" t="s">
        <v>22</v>
      </c>
      <c r="I2660" s="6">
        <v>321.674</v>
      </c>
      <c r="J2660" s="4">
        <v>37.7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ht="12.75" customHeight="1">
      <c r="A2661" s="4">
        <v>5528.0</v>
      </c>
      <c r="B2661" s="4">
        <v>39168.0</v>
      </c>
      <c r="C2661" s="5">
        <f t="shared" si="1182"/>
        <v>41046</v>
      </c>
      <c r="D2661" s="4" t="s">
        <v>30</v>
      </c>
      <c r="E2661" s="4">
        <v>50.0</v>
      </c>
      <c r="F2661" s="4">
        <v>1027.66</v>
      </c>
      <c r="G2661" s="4">
        <v>0.0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3">C2661+2</f>
        <v>41048</v>
      </c>
    </row>
    <row r="2662" ht="12.75" customHeight="1">
      <c r="A2662" s="4">
        <v>5529.0</v>
      </c>
      <c r="B2662" s="4">
        <v>39168.0</v>
      </c>
      <c r="C2662" s="5">
        <f t="shared" si="1182"/>
        <v>41046</v>
      </c>
      <c r="D2662" s="4" t="s">
        <v>30</v>
      </c>
      <c r="E2662" s="4">
        <v>30.0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3"/>
        <v>41048</v>
      </c>
    </row>
    <row r="2663" ht="12.75" customHeight="1">
      <c r="A2663" s="4">
        <v>5555.0</v>
      </c>
      <c r="B2663" s="4">
        <v>39333.0</v>
      </c>
      <c r="C2663" s="5">
        <f t="shared" ref="C2663:C2664" si="1184">DATE(2012,12,31)-1048</f>
        <v>40226</v>
      </c>
      <c r="D2663" s="4" t="s">
        <v>78</v>
      </c>
      <c r="E2663" s="4">
        <v>31.0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</v>
      </c>
      <c r="U2663" s="5">
        <f t="shared" si="1183"/>
        <v>40228</v>
      </c>
    </row>
    <row r="2664" ht="12.75" customHeight="1">
      <c r="A2664" s="4">
        <v>5556.0</v>
      </c>
      <c r="B2664" s="4">
        <v>39333.0</v>
      </c>
      <c r="C2664" s="5">
        <f t="shared" si="1184"/>
        <v>40226</v>
      </c>
      <c r="D2664" s="4" t="s">
        <v>78</v>
      </c>
      <c r="E2664" s="4">
        <v>18.0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ht="12.75" customHeight="1">
      <c r="A2665" s="4">
        <v>5583.0</v>
      </c>
      <c r="B2665" s="4">
        <v>39589.0</v>
      </c>
      <c r="C2665" s="5">
        <f t="shared" ref="C2665:C2666" si="1185">DATE(2012,12,31)-1247</f>
        <v>40027</v>
      </c>
      <c r="D2665" s="4" t="s">
        <v>78</v>
      </c>
      <c r="E2665" s="4">
        <v>42.0</v>
      </c>
      <c r="F2665" s="4">
        <v>577.42</v>
      </c>
      <c r="G2665" s="4">
        <v>0.0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ht="12.75" customHeight="1">
      <c r="A2666" s="4">
        <v>5584.0</v>
      </c>
      <c r="B2666" s="4">
        <v>39589.0</v>
      </c>
      <c r="C2666" s="5">
        <f t="shared" si="1185"/>
        <v>40027</v>
      </c>
      <c r="D2666" s="4" t="s">
        <v>78</v>
      </c>
      <c r="E2666" s="4">
        <v>20.0</v>
      </c>
      <c r="F2666" s="4">
        <v>95.08</v>
      </c>
      <c r="G2666" s="4">
        <v>0.06</v>
      </c>
      <c r="H2666" s="4" t="s">
        <v>22</v>
      </c>
      <c r="I2666" s="6">
        <v>39.91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ht="12.75" customHeight="1">
      <c r="A2667" s="4">
        <v>5640.0</v>
      </c>
      <c r="B2667" s="4">
        <v>39906.0</v>
      </c>
      <c r="C2667" s="5">
        <f>DATE(2012,12,31)-1385</f>
        <v>39889</v>
      </c>
      <c r="D2667" s="4" t="s">
        <v>63</v>
      </c>
      <c r="E2667" s="4">
        <v>25.0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ht="12.75" customHeight="1">
      <c r="A2668" s="4">
        <v>5666.0</v>
      </c>
      <c r="B2668" s="4">
        <v>40097.0</v>
      </c>
      <c r="C2668" s="5">
        <f>DATE(2012,12,31)-1452</f>
        <v>39822</v>
      </c>
      <c r="D2668" s="4" t="s">
        <v>21</v>
      </c>
      <c r="E2668" s="4">
        <v>47.0</v>
      </c>
      <c r="F2668" s="4">
        <v>117.88</v>
      </c>
      <c r="G2668" s="4">
        <v>0.1</v>
      </c>
      <c r="H2668" s="4" t="s">
        <v>22</v>
      </c>
      <c r="I2668" s="6">
        <v>-71.0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0.58</v>
      </c>
      <c r="U2668" s="5">
        <f>C2668+5</f>
        <v>39827</v>
      </c>
    </row>
    <row r="2669" ht="12.75" customHeight="1">
      <c r="A2669" s="4">
        <v>5685.0</v>
      </c>
      <c r="B2669" s="4">
        <v>40193.0</v>
      </c>
      <c r="C2669" s="5">
        <f>DATE(2012,12,31)-120</f>
        <v>41154</v>
      </c>
      <c r="D2669" s="4" t="s">
        <v>30</v>
      </c>
      <c r="E2669" s="4">
        <v>34.0</v>
      </c>
      <c r="F2669" s="4">
        <v>3130.2015</v>
      </c>
      <c r="G2669" s="4">
        <v>0.07</v>
      </c>
      <c r="H2669" s="4" t="s">
        <v>56</v>
      </c>
      <c r="I2669" s="6">
        <v>692.775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0.57</v>
      </c>
      <c r="U2669" s="5">
        <f>C2669+0</f>
        <v>41154</v>
      </c>
    </row>
    <row r="2670" ht="12.75" customHeight="1">
      <c r="A2670" s="4">
        <v>5693.0</v>
      </c>
      <c r="B2670" s="4">
        <v>40258.0</v>
      </c>
      <c r="C2670" s="5">
        <f t="shared" ref="C2670:C2671" si="1186">DATE(2012,12,31)-1362</f>
        <v>39912</v>
      </c>
      <c r="D2670" s="4" t="s">
        <v>45</v>
      </c>
      <c r="E2670" s="4">
        <v>31.0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ht="12.75" customHeight="1">
      <c r="A2671" s="4">
        <v>5694.0</v>
      </c>
      <c r="B2671" s="4">
        <v>40258.0</v>
      </c>
      <c r="C2671" s="5">
        <f t="shared" si="1186"/>
        <v>39912</v>
      </c>
      <c r="D2671" s="4" t="s">
        <v>45</v>
      </c>
      <c r="E2671" s="4">
        <v>29.0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ht="12.75" customHeight="1">
      <c r="A2672" s="4">
        <v>5721.0</v>
      </c>
      <c r="B2672" s="4">
        <v>40544.0</v>
      </c>
      <c r="C2672" s="5">
        <f>DATE(2012,12,31)-1365</f>
        <v>39909</v>
      </c>
      <c r="D2672" s="4" t="s">
        <v>21</v>
      </c>
      <c r="E2672" s="4">
        <v>39.0</v>
      </c>
      <c r="F2672" s="4">
        <v>2413.53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7">C2672+2</f>
        <v>39911</v>
      </c>
    </row>
    <row r="2673" ht="12.75" customHeight="1">
      <c r="A2673" s="4">
        <v>5887.0</v>
      </c>
      <c r="B2673" s="4">
        <v>41765.0</v>
      </c>
      <c r="C2673" s="5">
        <f>DATE(2012,12,31)-1118</f>
        <v>40156</v>
      </c>
      <c r="D2673" s="4" t="s">
        <v>63</v>
      </c>
      <c r="E2673" s="4">
        <v>41.0</v>
      </c>
      <c r="F2673" s="4">
        <v>204.99</v>
      </c>
      <c r="G2673" s="4">
        <v>0.03</v>
      </c>
      <c r="H2673" s="4" t="s">
        <v>22</v>
      </c>
      <c r="I2673" s="6">
        <v>-95.9905</v>
      </c>
      <c r="J2673" s="4">
        <v>4.98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7"/>
        <v>40158</v>
      </c>
    </row>
    <row r="2674" ht="12.75" customHeight="1">
      <c r="A2674" s="4">
        <v>5949.0</v>
      </c>
      <c r="B2674" s="4">
        <v>42242.0</v>
      </c>
      <c r="C2674" s="5">
        <f t="shared" ref="C2674:C2676" si="1188">DATE(2012,12,31)-1370</f>
        <v>39904</v>
      </c>
      <c r="D2674" s="4" t="s">
        <v>45</v>
      </c>
      <c r="E2674" s="4">
        <v>23.0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9">C2674+1</f>
        <v>39905</v>
      </c>
    </row>
    <row r="2675" ht="12.75" customHeight="1">
      <c r="A2675" s="4">
        <v>5950.0</v>
      </c>
      <c r="B2675" s="4">
        <v>42242.0</v>
      </c>
      <c r="C2675" s="5">
        <f t="shared" si="1188"/>
        <v>39904</v>
      </c>
      <c r="D2675" s="4" t="s">
        <v>45</v>
      </c>
      <c r="E2675" s="4">
        <v>15.0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9"/>
        <v>39905</v>
      </c>
    </row>
    <row r="2676" ht="12.75" customHeight="1">
      <c r="A2676" s="4">
        <v>5951.0</v>
      </c>
      <c r="B2676" s="4">
        <v>42242.0</v>
      </c>
      <c r="C2676" s="5">
        <f t="shared" si="1188"/>
        <v>39904</v>
      </c>
      <c r="D2676" s="4" t="s">
        <v>45</v>
      </c>
      <c r="E2676" s="4">
        <v>23.0</v>
      </c>
      <c r="F2676" s="4">
        <v>2287.1</v>
      </c>
      <c r="G2676" s="4">
        <v>0.07</v>
      </c>
      <c r="H2676" s="4" t="s">
        <v>22</v>
      </c>
      <c r="I2676" s="6">
        <v>231.49</v>
      </c>
      <c r="J2676" s="4">
        <v>99.99</v>
      </c>
      <c r="K2676" s="4">
        <v>19.99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9"/>
        <v>39905</v>
      </c>
    </row>
    <row r="2677" ht="12.75" customHeight="1">
      <c r="A2677" s="4">
        <v>5974.0</v>
      </c>
      <c r="B2677" s="4">
        <v>42369.0</v>
      </c>
      <c r="C2677" s="5">
        <f>DATE(2012,12,31)-879</f>
        <v>40395</v>
      </c>
      <c r="D2677" s="4" t="s">
        <v>78</v>
      </c>
      <c r="E2677" s="4">
        <v>44.0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9"/>
        <v>40396</v>
      </c>
    </row>
    <row r="2678" ht="12.75" customHeight="1">
      <c r="A2678" s="4">
        <v>6022.0</v>
      </c>
      <c r="B2678" s="4">
        <v>42690.0</v>
      </c>
      <c r="C2678" s="5">
        <f t="shared" ref="C2678:C2679" si="1190">DATE(2012,12,31)-825</f>
        <v>40449</v>
      </c>
      <c r="D2678" s="4" t="s">
        <v>21</v>
      </c>
      <c r="E2678" s="4">
        <v>44.0</v>
      </c>
      <c r="F2678" s="4">
        <v>18697.24</v>
      </c>
      <c r="G2678" s="4">
        <v>0.02</v>
      </c>
      <c r="H2678" s="4" t="s">
        <v>22</v>
      </c>
      <c r="I2678" s="6">
        <v>8918.735499999999</v>
      </c>
      <c r="J2678" s="4">
        <v>420.98</v>
      </c>
      <c r="K2678" s="4">
        <v>19.99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1">C2678+4</f>
        <v>40453</v>
      </c>
    </row>
    <row r="2679" ht="12.75" customHeight="1">
      <c r="A2679" s="4">
        <v>6023.0</v>
      </c>
      <c r="B2679" s="4">
        <v>42690.0</v>
      </c>
      <c r="C2679" s="5">
        <f t="shared" si="1190"/>
        <v>40449</v>
      </c>
      <c r="D2679" s="4" t="s">
        <v>21</v>
      </c>
      <c r="E2679" s="4">
        <v>48.0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16.74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1"/>
        <v>40453</v>
      </c>
    </row>
    <row r="2680" ht="12.75" customHeight="1">
      <c r="A2680" s="4">
        <v>6369.0</v>
      </c>
      <c r="B2680" s="4">
        <v>45184.0</v>
      </c>
      <c r="C2680" s="5">
        <f t="shared" ref="C2680:C2681" si="1192">DATE(2012,12,31)-928</f>
        <v>40346</v>
      </c>
      <c r="D2680" s="4" t="s">
        <v>21</v>
      </c>
      <c r="E2680" s="4">
        <v>25.0</v>
      </c>
      <c r="F2680" s="4">
        <v>14647.26</v>
      </c>
      <c r="G2680" s="4">
        <v>0.07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ht="12.75" customHeight="1">
      <c r="A2681" s="4">
        <v>6370.0</v>
      </c>
      <c r="B2681" s="4">
        <v>45184.0</v>
      </c>
      <c r="C2681" s="5">
        <f t="shared" si="1192"/>
        <v>40346</v>
      </c>
      <c r="D2681" s="4" t="s">
        <v>21</v>
      </c>
      <c r="E2681" s="4">
        <v>10.0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ht="12.75" customHeight="1">
      <c r="A2682" s="4">
        <v>6421.0</v>
      </c>
      <c r="B2682" s="4">
        <v>45632.0</v>
      </c>
      <c r="C2682" s="5">
        <f>DATE(2012,12,31)-966</f>
        <v>40308</v>
      </c>
      <c r="D2682" s="4" t="s">
        <v>45</v>
      </c>
      <c r="E2682" s="4">
        <v>50.0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3">C2682+1</f>
        <v>40309</v>
      </c>
    </row>
    <row r="2683" ht="12.75" customHeight="1">
      <c r="A2683" s="4">
        <v>6499.0</v>
      </c>
      <c r="B2683" s="4">
        <v>46276.0</v>
      </c>
      <c r="C2683" s="5">
        <f t="shared" ref="C2683:C2684" si="1194">DATE(2012,12,31)-22</f>
        <v>41252</v>
      </c>
      <c r="D2683" s="4" t="s">
        <v>78</v>
      </c>
      <c r="E2683" s="4">
        <v>4.0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3"/>
        <v>41253</v>
      </c>
    </row>
    <row r="2684" ht="12.75" customHeight="1">
      <c r="A2684" s="4">
        <v>6500.0</v>
      </c>
      <c r="B2684" s="4">
        <v>46276.0</v>
      </c>
      <c r="C2684" s="5">
        <f t="shared" si="1194"/>
        <v>41252</v>
      </c>
      <c r="D2684" s="4" t="s">
        <v>78</v>
      </c>
      <c r="E2684" s="4">
        <v>23.0</v>
      </c>
      <c r="F2684" s="4">
        <v>16743.76</v>
      </c>
      <c r="G2684" s="4">
        <v>0.0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ht="12.75" customHeight="1">
      <c r="A2685" s="4">
        <v>6551.0</v>
      </c>
      <c r="B2685" s="4">
        <v>46566.0</v>
      </c>
      <c r="C2685" s="5">
        <f>DATE(2012,12,31)-266</f>
        <v>41008</v>
      </c>
      <c r="D2685" s="4" t="s">
        <v>63</v>
      </c>
      <c r="E2685" s="4">
        <v>49.0</v>
      </c>
      <c r="F2685" s="4">
        <v>1534.7</v>
      </c>
      <c r="G2685" s="4">
        <v>0.07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5">C2685+1</f>
        <v>41009</v>
      </c>
    </row>
    <row r="2686" ht="12.75" customHeight="1">
      <c r="A2686" s="4">
        <v>6770.0</v>
      </c>
      <c r="B2686" s="4">
        <v>48198.0</v>
      </c>
      <c r="C2686" s="5">
        <f t="shared" ref="C2686:C2687" si="1196">DATE(2012,12,31)-1137</f>
        <v>40137</v>
      </c>
      <c r="D2686" s="4" t="s">
        <v>78</v>
      </c>
      <c r="E2686" s="4">
        <v>7.0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</v>
      </c>
      <c r="U2686" s="5">
        <f t="shared" si="1195"/>
        <v>40138</v>
      </c>
    </row>
    <row r="2687" ht="12.75" customHeight="1">
      <c r="A2687" s="4">
        <v>6771.0</v>
      </c>
      <c r="B2687" s="4">
        <v>48198.0</v>
      </c>
      <c r="C2687" s="5">
        <f t="shared" si="1196"/>
        <v>40137</v>
      </c>
      <c r="D2687" s="4" t="s">
        <v>78</v>
      </c>
      <c r="E2687" s="4">
        <v>45.0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0.57</v>
      </c>
      <c r="U2687" s="5">
        <f>C2687+2</f>
        <v>40139</v>
      </c>
    </row>
    <row r="2688" ht="12.75" customHeight="1">
      <c r="A2688" s="4">
        <v>6802.0</v>
      </c>
      <c r="B2688" s="4">
        <v>48453.0</v>
      </c>
      <c r="C2688" s="5">
        <f>DATE(2012,12,31)-1254</f>
        <v>40020</v>
      </c>
      <c r="D2688" s="4" t="s">
        <v>63</v>
      </c>
      <c r="E2688" s="4">
        <v>50.0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ht="12.75" customHeight="1">
      <c r="A2689" s="4">
        <v>6817.0</v>
      </c>
      <c r="B2689" s="4">
        <v>48518.0</v>
      </c>
      <c r="C2689" s="5">
        <f>DATE(2012,12,31)-1369</f>
        <v>39905</v>
      </c>
      <c r="D2689" s="4" t="s">
        <v>63</v>
      </c>
      <c r="E2689" s="4">
        <v>17.0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ht="12.75" customHeight="1">
      <c r="A2690" s="4">
        <v>6919.0</v>
      </c>
      <c r="B2690" s="4">
        <v>49349.0</v>
      </c>
      <c r="C2690" s="5">
        <f t="shared" ref="C2690:C2691" si="1197">DATE(2012,12,31)-579</f>
        <v>40695</v>
      </c>
      <c r="D2690" s="4" t="s">
        <v>30</v>
      </c>
      <c r="E2690" s="4">
        <v>11.0</v>
      </c>
      <c r="F2690" s="4">
        <v>123.34</v>
      </c>
      <c r="G2690" s="4">
        <v>0.07</v>
      </c>
      <c r="H2690" s="4" t="s">
        <v>22</v>
      </c>
      <c r="I2690" s="6">
        <v>0.6400000000000006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ht="12.75" customHeight="1">
      <c r="A2691" s="4">
        <v>6920.0</v>
      </c>
      <c r="B2691" s="4">
        <v>49349.0</v>
      </c>
      <c r="C2691" s="5">
        <f t="shared" si="1197"/>
        <v>40695</v>
      </c>
      <c r="D2691" s="4" t="s">
        <v>30</v>
      </c>
      <c r="E2691" s="4">
        <v>23.0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60.0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ht="12.75" customHeight="1">
      <c r="A2692" s="4">
        <v>6952.0</v>
      </c>
      <c r="B2692" s="4">
        <v>49668.0</v>
      </c>
      <c r="C2692" s="5">
        <f>DATE(2012,12,31)-1125</f>
        <v>40149</v>
      </c>
      <c r="D2692" s="4" t="s">
        <v>21</v>
      </c>
      <c r="E2692" s="4">
        <v>25.0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8">C2692+7</f>
        <v>40156</v>
      </c>
    </row>
    <row r="2693" ht="12.75" customHeight="1">
      <c r="A2693" s="4">
        <v>7050.0</v>
      </c>
      <c r="B2693" s="4">
        <v>50309.0</v>
      </c>
      <c r="C2693" s="5">
        <f>DATE(2012,12,31)-657</f>
        <v>40617</v>
      </c>
      <c r="D2693" s="4" t="s">
        <v>21</v>
      </c>
      <c r="E2693" s="4">
        <v>36.0</v>
      </c>
      <c r="F2693" s="4">
        <v>243.18</v>
      </c>
      <c r="G2693" s="4">
        <v>0.08</v>
      </c>
      <c r="H2693" s="4" t="s">
        <v>22</v>
      </c>
      <c r="I2693" s="6">
        <v>-314.22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8"/>
        <v>40624</v>
      </c>
    </row>
    <row r="2694" ht="12.75" customHeight="1">
      <c r="A2694" s="4">
        <v>7349.0</v>
      </c>
      <c r="B2694" s="4">
        <v>52327.0</v>
      </c>
      <c r="C2694" s="5">
        <f t="shared" ref="C2694:C2695" si="1199">DATE(2012,12,31)-377</f>
        <v>40897</v>
      </c>
      <c r="D2694" s="4" t="s">
        <v>63</v>
      </c>
      <c r="E2694" s="4">
        <v>27.0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152.48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ht="12.75" customHeight="1">
      <c r="A2695" s="4">
        <v>7350.0</v>
      </c>
      <c r="B2695" s="4">
        <v>52327.0</v>
      </c>
      <c r="C2695" s="5">
        <f t="shared" si="1199"/>
        <v>40897</v>
      </c>
      <c r="D2695" s="4" t="s">
        <v>63</v>
      </c>
      <c r="E2695" s="4">
        <v>5.0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ht="12.75" customHeight="1">
      <c r="A2696" s="4">
        <v>7369.0</v>
      </c>
      <c r="B2696" s="4">
        <v>52516.0</v>
      </c>
      <c r="C2696" s="5">
        <f t="shared" ref="C2696:C2697" si="1200">DATE(2012,12,31)-361</f>
        <v>40913</v>
      </c>
      <c r="D2696" s="4" t="s">
        <v>30</v>
      </c>
      <c r="E2696" s="4">
        <v>50.0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ht="12.75" customHeight="1">
      <c r="A2697" s="4">
        <v>7370.0</v>
      </c>
      <c r="B2697" s="4">
        <v>52516.0</v>
      </c>
      <c r="C2697" s="5">
        <f t="shared" si="1200"/>
        <v>40913</v>
      </c>
      <c r="D2697" s="4" t="s">
        <v>30</v>
      </c>
      <c r="E2697" s="4">
        <v>19.0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ht="12.75" customHeight="1">
      <c r="A2698" s="4">
        <v>7402.0</v>
      </c>
      <c r="B2698" s="4">
        <v>52800.0</v>
      </c>
      <c r="C2698" s="5">
        <f>DATE(2012,12,31)-813</f>
        <v>40461</v>
      </c>
      <c r="D2698" s="4" t="s">
        <v>45</v>
      </c>
      <c r="E2698" s="4">
        <v>13.0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1">C2698+1</f>
        <v>40462</v>
      </c>
    </row>
    <row r="2699" ht="12.75" customHeight="1">
      <c r="A2699" s="4">
        <v>7508.0</v>
      </c>
      <c r="B2699" s="4">
        <v>53574.0</v>
      </c>
      <c r="C2699" s="5">
        <f>DATE(2012,12,31)-266</f>
        <v>41008</v>
      </c>
      <c r="D2699" s="4" t="s">
        <v>63</v>
      </c>
      <c r="E2699" s="4">
        <v>8.0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35.0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1"/>
        <v>41009</v>
      </c>
    </row>
    <row r="2700" ht="12.75" customHeight="1">
      <c r="A2700" s="4">
        <v>7552.0</v>
      </c>
      <c r="B2700" s="4">
        <v>54023.0</v>
      </c>
      <c r="C2700" s="5">
        <f>DATE(2012,12,31)-162</f>
        <v>41112</v>
      </c>
      <c r="D2700" s="4" t="s">
        <v>45</v>
      </c>
      <c r="E2700" s="4">
        <v>45.0</v>
      </c>
      <c r="F2700" s="4">
        <v>405.6</v>
      </c>
      <c r="G2700" s="4">
        <v>0.07</v>
      </c>
      <c r="H2700" s="4" t="s">
        <v>22</v>
      </c>
      <c r="I2700" s="6">
        <v>-8.590499999999999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1"/>
        <v>41113</v>
      </c>
    </row>
    <row r="2701" ht="12.75" customHeight="1">
      <c r="A2701" s="4">
        <v>7709.0</v>
      </c>
      <c r="B2701" s="4">
        <v>55265.0</v>
      </c>
      <c r="C2701" s="5">
        <f>DATE(2012,12,31)-1195</f>
        <v>40079</v>
      </c>
      <c r="D2701" s="4" t="s">
        <v>21</v>
      </c>
      <c r="E2701" s="4">
        <v>39.0</v>
      </c>
      <c r="F2701" s="4">
        <v>706.3925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ht="12.75" customHeight="1">
      <c r="A2702" s="4">
        <v>7737.0</v>
      </c>
      <c r="B2702" s="4">
        <v>55398.0</v>
      </c>
      <c r="C2702" s="5">
        <f>DATE(2012,12,31)-1076</f>
        <v>40198</v>
      </c>
      <c r="D2702" s="4" t="s">
        <v>63</v>
      </c>
      <c r="E2702" s="4">
        <v>24.0</v>
      </c>
      <c r="F2702" s="4">
        <v>154.99</v>
      </c>
      <c r="G2702" s="4">
        <v>0.07</v>
      </c>
      <c r="H2702" s="4" t="s">
        <v>22</v>
      </c>
      <c r="I2702" s="6">
        <v>-1085.52</v>
      </c>
      <c r="J2702" s="4">
        <v>4.48</v>
      </c>
      <c r="K2702" s="4">
        <v>49.0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2">C2702+2</f>
        <v>40200</v>
      </c>
    </row>
    <row r="2703" ht="12.75" customHeight="1">
      <c r="A2703" s="4">
        <v>7745.0</v>
      </c>
      <c r="B2703" s="4">
        <v>55458.0</v>
      </c>
      <c r="C2703" s="5">
        <f t="shared" ref="C2703:C2704" si="1203">DATE(2012,12,31)-290</f>
        <v>40984</v>
      </c>
      <c r="D2703" s="4" t="s">
        <v>30</v>
      </c>
      <c r="E2703" s="4">
        <v>32.0</v>
      </c>
      <c r="F2703" s="4">
        <v>115.78</v>
      </c>
      <c r="G2703" s="4">
        <v>0.07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2"/>
        <v>40986</v>
      </c>
    </row>
    <row r="2704" ht="12.75" customHeight="1">
      <c r="A2704" s="4">
        <v>7746.0</v>
      </c>
      <c r="B2704" s="4">
        <v>55458.0</v>
      </c>
      <c r="C2704" s="5">
        <f t="shared" si="1203"/>
        <v>40984</v>
      </c>
      <c r="D2704" s="4" t="s">
        <v>30</v>
      </c>
      <c r="E2704" s="4">
        <v>13.0</v>
      </c>
      <c r="F2704" s="4">
        <v>210.22</v>
      </c>
      <c r="G2704" s="4">
        <v>0.0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0.57</v>
      </c>
      <c r="U2704" s="5">
        <f t="shared" si="1202"/>
        <v>40986</v>
      </c>
    </row>
    <row r="2705" ht="12.75" customHeight="1">
      <c r="A2705" s="4">
        <v>7801.0</v>
      </c>
      <c r="B2705" s="4">
        <v>55809.0</v>
      </c>
      <c r="C2705" s="5">
        <f>DATE(2012,12,31)-478</f>
        <v>40796</v>
      </c>
      <c r="D2705" s="4" t="s">
        <v>78</v>
      </c>
      <c r="E2705" s="4">
        <v>2.0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45.0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2"/>
        <v>40798</v>
      </c>
    </row>
    <row r="2706" ht="12.75" customHeight="1">
      <c r="A2706" s="4">
        <v>7969.0</v>
      </c>
      <c r="B2706" s="4">
        <v>56992.0</v>
      </c>
      <c r="C2706" s="5">
        <f>DATE(2012,12,31)-988</f>
        <v>40286</v>
      </c>
      <c r="D2706" s="4" t="s">
        <v>45</v>
      </c>
      <c r="E2706" s="4">
        <v>10.0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ht="12.75" customHeight="1">
      <c r="A2707" s="4">
        <v>8142.0</v>
      </c>
      <c r="B2707" s="4">
        <v>58210.0</v>
      </c>
      <c r="C2707" s="5">
        <f>DATE(2012,12,31)-25</f>
        <v>41249</v>
      </c>
      <c r="D2707" s="4" t="s">
        <v>63</v>
      </c>
      <c r="E2707" s="4">
        <v>38.0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ht="12.75" customHeight="1">
      <c r="A2708" s="4">
        <v>8148.0</v>
      </c>
      <c r="B2708" s="4">
        <v>58277.0</v>
      </c>
      <c r="C2708" s="5">
        <f>DATE(2012,12,31)-1437</f>
        <v>39837</v>
      </c>
      <c r="D2708" s="4" t="s">
        <v>63</v>
      </c>
      <c r="E2708" s="4">
        <v>23.0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ht="12.75" customHeight="1">
      <c r="A2709" s="4">
        <v>8211.0</v>
      </c>
      <c r="B2709" s="4">
        <v>58720.0</v>
      </c>
      <c r="C2709" s="5">
        <f t="shared" ref="C2709:C2710" si="1204">DATE(2012,12,31)-1030</f>
        <v>40244</v>
      </c>
      <c r="D2709" s="4" t="s">
        <v>45</v>
      </c>
      <c r="E2709" s="4">
        <v>43.0</v>
      </c>
      <c r="F2709" s="4">
        <v>2378.82</v>
      </c>
      <c r="G2709" s="4">
        <v>0.02</v>
      </c>
      <c r="H2709" s="4" t="s">
        <v>22</v>
      </c>
      <c r="I2709" s="6">
        <v>597.159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ht="12.75" customHeight="1">
      <c r="A2710" s="4">
        <v>8212.0</v>
      </c>
      <c r="B2710" s="4">
        <v>58720.0</v>
      </c>
      <c r="C2710" s="5">
        <f t="shared" si="1204"/>
        <v>40244</v>
      </c>
      <c r="D2710" s="4" t="s">
        <v>45</v>
      </c>
      <c r="E2710" s="4">
        <v>6.0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ht="12.75" customHeight="1">
      <c r="A2711" s="4">
        <v>8230.0</v>
      </c>
      <c r="B2711" s="4">
        <v>58820.0</v>
      </c>
      <c r="C2711" s="5">
        <f>DATE(2012,12,31)-1038</f>
        <v>40236</v>
      </c>
      <c r="D2711" s="4" t="s">
        <v>21</v>
      </c>
      <c r="E2711" s="4">
        <v>24.0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ht="12.75" customHeight="1">
      <c r="A2712" s="4">
        <v>178.0</v>
      </c>
      <c r="B2712" s="4">
        <v>1154.0</v>
      </c>
      <c r="C2712" s="5">
        <f>DATE(2012,12,31)-321</f>
        <v>40953</v>
      </c>
      <c r="D2712" s="4" t="s">
        <v>78</v>
      </c>
      <c r="E2712" s="4">
        <v>7.0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ht="12.75" customHeight="1">
      <c r="A2713" s="4">
        <v>207.0</v>
      </c>
      <c r="B2713" s="4">
        <v>1382.0</v>
      </c>
      <c r="C2713" s="5">
        <f t="shared" ref="C2713:C2715" si="1205">DATE(2012,12,31)-868</f>
        <v>40406</v>
      </c>
      <c r="D2713" s="4" t="s">
        <v>21</v>
      </c>
      <c r="E2713" s="4">
        <v>5.0</v>
      </c>
      <c r="F2713" s="4">
        <v>89.335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ht="12.75" customHeight="1">
      <c r="A2714" s="4">
        <v>208.0</v>
      </c>
      <c r="B2714" s="4">
        <v>1382.0</v>
      </c>
      <c r="C2714" s="5">
        <f t="shared" si="1205"/>
        <v>40406</v>
      </c>
      <c r="D2714" s="4" t="s">
        <v>21</v>
      </c>
      <c r="E2714" s="4">
        <v>39.0</v>
      </c>
      <c r="F2714" s="4">
        <v>158.46</v>
      </c>
      <c r="G2714" s="4">
        <v>0.06</v>
      </c>
      <c r="H2714" s="4" t="s">
        <v>22</v>
      </c>
      <c r="I2714" s="6">
        <v>-130.663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6">C2714+7</f>
        <v>40413</v>
      </c>
    </row>
    <row r="2715" ht="12.75" customHeight="1">
      <c r="A2715" s="4">
        <v>209.0</v>
      </c>
      <c r="B2715" s="4">
        <v>1382.0</v>
      </c>
      <c r="C2715" s="5">
        <f t="shared" si="1205"/>
        <v>40406</v>
      </c>
      <c r="D2715" s="4" t="s">
        <v>21</v>
      </c>
      <c r="E2715" s="4">
        <v>31.0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6"/>
        <v>40413</v>
      </c>
    </row>
    <row r="2716" ht="12.75" customHeight="1">
      <c r="A2716" s="4">
        <v>211.0</v>
      </c>
      <c r="B2716" s="4">
        <v>1411.0</v>
      </c>
      <c r="C2716" s="5">
        <f>DATE(2012,12,31)-1107</f>
        <v>40167</v>
      </c>
      <c r="D2716" s="4" t="s">
        <v>30</v>
      </c>
      <c r="E2716" s="4">
        <v>39.0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160.98</v>
      </c>
      <c r="K2716" s="4">
        <v>35.02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ht="12.75" customHeight="1">
      <c r="A2717" s="4">
        <v>219.0</v>
      </c>
      <c r="B2717" s="4">
        <v>1444.0</v>
      </c>
      <c r="C2717" s="5">
        <f>DATE(2012,12,31)-1122</f>
        <v>40152</v>
      </c>
      <c r="D2717" s="4" t="s">
        <v>63</v>
      </c>
      <c r="E2717" s="4">
        <v>2.0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ht="12.75" customHeight="1">
      <c r="A2718" s="4">
        <v>580.0</v>
      </c>
      <c r="B2718" s="4">
        <v>3942.0</v>
      </c>
      <c r="C2718" s="5">
        <f>DATE(2012,12,31)-918</f>
        <v>40356</v>
      </c>
      <c r="D2718" s="4" t="s">
        <v>45</v>
      </c>
      <c r="E2718" s="4">
        <v>22.0</v>
      </c>
      <c r="F2718" s="4">
        <v>1559.7755</v>
      </c>
      <c r="G2718" s="4">
        <v>0.03</v>
      </c>
      <c r="H2718" s="4" t="s">
        <v>22</v>
      </c>
      <c r="I2718" s="6">
        <v>-247.181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7">C2718+1</f>
        <v>40357</v>
      </c>
    </row>
    <row r="2719" ht="12.75" customHeight="1">
      <c r="A2719" s="4">
        <v>664.0</v>
      </c>
      <c r="B2719" s="4">
        <v>4647.0</v>
      </c>
      <c r="C2719" s="5">
        <f t="shared" ref="C2719:C2720" si="1208">DATE(2012,12,31)-1328</f>
        <v>39946</v>
      </c>
      <c r="D2719" s="4" t="s">
        <v>63</v>
      </c>
      <c r="E2719" s="4">
        <v>7.0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19.99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7"/>
        <v>39947</v>
      </c>
    </row>
    <row r="2720" ht="12.75" customHeight="1">
      <c r="A2720" s="4">
        <v>665.0</v>
      </c>
      <c r="B2720" s="4">
        <v>4647.0</v>
      </c>
      <c r="C2720" s="5">
        <f t="shared" si="1208"/>
        <v>39946</v>
      </c>
      <c r="D2720" s="4" t="s">
        <v>63</v>
      </c>
      <c r="E2720" s="4">
        <v>6.0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ht="12.75" customHeight="1">
      <c r="A2721" s="4">
        <v>707.0</v>
      </c>
      <c r="B2721" s="4">
        <v>4960.0</v>
      </c>
      <c r="C2721" s="5">
        <f>DATE(2012,12,31)-675</f>
        <v>40599</v>
      </c>
      <c r="D2721" s="4" t="s">
        <v>21</v>
      </c>
      <c r="E2721" s="4">
        <v>30.0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</v>
      </c>
      <c r="U2721" s="5">
        <f>C2721+4</f>
        <v>40603</v>
      </c>
    </row>
    <row r="2722" ht="12.75" customHeight="1">
      <c r="A2722" s="4">
        <v>1010.0</v>
      </c>
      <c r="B2722" s="4">
        <v>7367.0</v>
      </c>
      <c r="C2722" s="5">
        <f>DATE(2012,12,31)-575</f>
        <v>40699</v>
      </c>
      <c r="D2722" s="4" t="s">
        <v>21</v>
      </c>
      <c r="E2722" s="4">
        <v>46.0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ht="12.75" customHeight="1">
      <c r="A2723" s="4">
        <v>1079.0</v>
      </c>
      <c r="B2723" s="4">
        <v>7938.0</v>
      </c>
      <c r="C2723" s="5">
        <f>DATE(2012,12,31)-1024</f>
        <v>40250</v>
      </c>
      <c r="D2723" s="4" t="s">
        <v>63</v>
      </c>
      <c r="E2723" s="4">
        <v>34.0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ht="12.75" customHeight="1">
      <c r="A2724" s="4">
        <v>1142.0</v>
      </c>
      <c r="B2724" s="4">
        <v>8320.0</v>
      </c>
      <c r="C2724" s="5">
        <f>DATE(2012,12,31)-1199</f>
        <v>40075</v>
      </c>
      <c r="D2724" s="4" t="s">
        <v>45</v>
      </c>
      <c r="E2724" s="4">
        <v>35.0</v>
      </c>
      <c r="F2724" s="4">
        <v>1142.36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4.0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ht="12.75" customHeight="1">
      <c r="A2725" s="4">
        <v>1203.0</v>
      </c>
      <c r="B2725" s="4">
        <v>8807.0</v>
      </c>
      <c r="C2725" s="5">
        <f>DATE(2012,12,31)-1040</f>
        <v>40234</v>
      </c>
      <c r="D2725" s="4" t="s">
        <v>21</v>
      </c>
      <c r="E2725" s="4">
        <v>14.0</v>
      </c>
      <c r="F2725" s="4">
        <v>1379.3374999999999</v>
      </c>
      <c r="G2725" s="4">
        <v>0.08</v>
      </c>
      <c r="H2725" s="4" t="s">
        <v>22</v>
      </c>
      <c r="I2725" s="6">
        <v>-78.54000000000006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0.57</v>
      </c>
      <c r="U2725" s="5">
        <f>C2725+7</f>
        <v>40241</v>
      </c>
    </row>
    <row r="2726" ht="12.75" customHeight="1">
      <c r="A2726" s="4">
        <v>1245.0</v>
      </c>
      <c r="B2726" s="4">
        <v>9062.0</v>
      </c>
      <c r="C2726" s="5">
        <f>DATE(2012,12,31)-652</f>
        <v>40622</v>
      </c>
      <c r="D2726" s="4" t="s">
        <v>30</v>
      </c>
      <c r="E2726" s="4">
        <v>19.0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ht="12.75" customHeight="1">
      <c r="A2727" s="4">
        <v>1308.0</v>
      </c>
      <c r="B2727" s="4">
        <v>9602.0</v>
      </c>
      <c r="C2727" s="5">
        <f t="shared" ref="C2727:C2728" si="1209">DATE(2012,12,31)-51</f>
        <v>41223</v>
      </c>
      <c r="D2727" s="4" t="s">
        <v>78</v>
      </c>
      <c r="E2727" s="4">
        <v>27.0</v>
      </c>
      <c r="F2727" s="4">
        <v>2654.16</v>
      </c>
      <c r="G2727" s="4">
        <v>0.01</v>
      </c>
      <c r="H2727" s="4" t="s">
        <v>31</v>
      </c>
      <c r="I2727" s="6">
        <v>600.93</v>
      </c>
      <c r="J2727" s="4">
        <v>90.97</v>
      </c>
      <c r="K2727" s="4">
        <v>28.0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ht="12.75" customHeight="1">
      <c r="A2728" s="4">
        <v>1310.0</v>
      </c>
      <c r="B2728" s="4">
        <v>9602.0</v>
      </c>
      <c r="C2728" s="5">
        <f t="shared" si="1209"/>
        <v>41223</v>
      </c>
      <c r="D2728" s="4" t="s">
        <v>78</v>
      </c>
      <c r="E2728" s="4">
        <v>15.0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ht="12.75" customHeight="1">
      <c r="A2729" s="4">
        <v>1402.0</v>
      </c>
      <c r="B2729" s="4">
        <v>10209.0</v>
      </c>
      <c r="C2729" s="5">
        <f>DATE(2012,12,31)-763</f>
        <v>40511</v>
      </c>
      <c r="D2729" s="4" t="s">
        <v>63</v>
      </c>
      <c r="E2729" s="4">
        <v>14.0</v>
      </c>
      <c r="F2729" s="4">
        <v>461.55</v>
      </c>
      <c r="G2729" s="4">
        <v>0.09</v>
      </c>
      <c r="H2729" s="4" t="s">
        <v>22</v>
      </c>
      <c r="I2729" s="6">
        <v>-12.0</v>
      </c>
      <c r="J2729" s="4">
        <v>33.98</v>
      </c>
      <c r="K2729" s="4">
        <v>19.99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</v>
      </c>
      <c r="U2729" s="5">
        <f>C2729+0</f>
        <v>40511</v>
      </c>
    </row>
    <row r="2730" ht="12.75" customHeight="1">
      <c r="A2730" s="4">
        <v>1425.0</v>
      </c>
      <c r="B2730" s="4">
        <v>10338.0</v>
      </c>
      <c r="C2730" s="5">
        <f>DATE(2012,12,31)-536</f>
        <v>40738</v>
      </c>
      <c r="D2730" s="4" t="s">
        <v>45</v>
      </c>
      <c r="E2730" s="4">
        <v>9.0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14.0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ht="12.75" customHeight="1">
      <c r="A2731" s="4">
        <v>1485.0</v>
      </c>
      <c r="B2731" s="4">
        <v>10688.0</v>
      </c>
      <c r="C2731" s="5">
        <f>DATE(2012,12,31)-233</f>
        <v>41041</v>
      </c>
      <c r="D2731" s="4" t="s">
        <v>63</v>
      </c>
      <c r="E2731" s="4">
        <v>14.0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ht="12.75" customHeight="1">
      <c r="A2732" s="4">
        <v>1553.0</v>
      </c>
      <c r="B2732" s="4">
        <v>11206.0</v>
      </c>
      <c r="C2732" s="5">
        <f>DATE(2012,12,31)-1099</f>
        <v>40175</v>
      </c>
      <c r="D2732" s="4" t="s">
        <v>21</v>
      </c>
      <c r="E2732" s="4">
        <v>6.0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ht="12.75" customHeight="1">
      <c r="A2733" s="4">
        <v>1601.0</v>
      </c>
      <c r="B2733" s="4">
        <v>11585.0</v>
      </c>
      <c r="C2733" s="5">
        <f>DATE(2012,12,31)-1387</f>
        <v>39887</v>
      </c>
      <c r="D2733" s="4" t="s">
        <v>63</v>
      </c>
      <c r="E2733" s="4">
        <v>2.0</v>
      </c>
      <c r="F2733" s="4">
        <v>200.75300000000001</v>
      </c>
      <c r="G2733" s="4">
        <v>0.09</v>
      </c>
      <c r="H2733" s="4" t="s">
        <v>22</v>
      </c>
      <c r="I2733" s="6">
        <v>-605.374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</v>
      </c>
      <c r="U2733" s="5">
        <f>C2733+1</f>
        <v>39888</v>
      </c>
    </row>
    <row r="2734" ht="12.75" customHeight="1">
      <c r="A2734" s="4">
        <v>1796.0</v>
      </c>
      <c r="B2734" s="4">
        <v>12868.0</v>
      </c>
      <c r="C2734" s="5">
        <f>DATE(2012,12,31)-671</f>
        <v>40603</v>
      </c>
      <c r="D2734" s="4" t="s">
        <v>78</v>
      </c>
      <c r="E2734" s="4">
        <v>2.0</v>
      </c>
      <c r="F2734" s="4">
        <v>9.37</v>
      </c>
      <c r="G2734" s="4">
        <v>0.09</v>
      </c>
      <c r="H2734" s="4" t="s">
        <v>22</v>
      </c>
      <c r="I2734" s="6">
        <v>-5.26</v>
      </c>
      <c r="J2734" s="4">
        <v>4.48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ht="12.75" customHeight="1">
      <c r="A2735" s="4">
        <v>1994.0</v>
      </c>
      <c r="B2735" s="4">
        <v>14215.0</v>
      </c>
      <c r="C2735" s="5">
        <f>DATE(2012,12,31)-171</f>
        <v>41103</v>
      </c>
      <c r="D2735" s="4" t="s">
        <v>63</v>
      </c>
      <c r="E2735" s="4">
        <v>44.0</v>
      </c>
      <c r="F2735" s="4">
        <v>2277.03</v>
      </c>
      <c r="G2735" s="4">
        <v>0.07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10">C2735+1</f>
        <v>41104</v>
      </c>
    </row>
    <row r="2736" ht="12.75" customHeight="1">
      <c r="A2736" s="4">
        <v>2053.0</v>
      </c>
      <c r="B2736" s="4">
        <v>14662.0</v>
      </c>
      <c r="C2736" s="5">
        <f>DATE(2012,12,31)-411</f>
        <v>40863</v>
      </c>
      <c r="D2736" s="4" t="s">
        <v>30</v>
      </c>
      <c r="E2736" s="4">
        <v>24.0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1.0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10"/>
        <v>40864</v>
      </c>
    </row>
    <row r="2737" ht="12.75" customHeight="1">
      <c r="A2737" s="4">
        <v>2059.0</v>
      </c>
      <c r="B2737" s="4">
        <v>14727.0</v>
      </c>
      <c r="C2737" s="5">
        <f>DATE(2012,12,31)-165</f>
        <v>41109</v>
      </c>
      <c r="D2737" s="4" t="s">
        <v>63</v>
      </c>
      <c r="E2737" s="4">
        <v>50.0</v>
      </c>
      <c r="F2737" s="4">
        <v>8532.152</v>
      </c>
      <c r="G2737" s="4">
        <v>0.04</v>
      </c>
      <c r="H2737" s="4" t="s">
        <v>31</v>
      </c>
      <c r="I2737" s="6">
        <v>-513.79042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ht="12.75" customHeight="1">
      <c r="A2738" s="4">
        <v>2191.0</v>
      </c>
      <c r="B2738" s="4">
        <v>15781.0</v>
      </c>
      <c r="C2738" s="5">
        <f>DATE(2012,12,31)-119</f>
        <v>41155</v>
      </c>
      <c r="D2738" s="4" t="s">
        <v>30</v>
      </c>
      <c r="E2738" s="4">
        <v>29.0</v>
      </c>
      <c r="F2738" s="4">
        <v>824.51</v>
      </c>
      <c r="G2738" s="4">
        <v>0.01</v>
      </c>
      <c r="H2738" s="4" t="s">
        <v>22</v>
      </c>
      <c r="I2738" s="6">
        <v>0.8999999999999844</v>
      </c>
      <c r="J2738" s="4">
        <v>27.48</v>
      </c>
      <c r="K2738" s="4">
        <v>4.0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ht="12.75" customHeight="1">
      <c r="A2739" s="4">
        <v>2370.0</v>
      </c>
      <c r="B2739" s="4">
        <v>17157.0</v>
      </c>
      <c r="C2739" s="5">
        <f>DATE(2012,12,31)-103</f>
        <v>41171</v>
      </c>
      <c r="D2739" s="4" t="s">
        <v>21</v>
      </c>
      <c r="E2739" s="4">
        <v>31.0</v>
      </c>
      <c r="F2739" s="4">
        <v>3081.471</v>
      </c>
      <c r="G2739" s="4">
        <v>0.09</v>
      </c>
      <c r="H2739" s="4" t="s">
        <v>22</v>
      </c>
      <c r="I2739" s="6">
        <v>574.983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0.57</v>
      </c>
      <c r="U2739" s="5">
        <f>C2739+4</f>
        <v>41175</v>
      </c>
    </row>
    <row r="2740" ht="12.75" customHeight="1">
      <c r="A2740" s="4">
        <v>2447.0</v>
      </c>
      <c r="B2740" s="4">
        <v>17795.0</v>
      </c>
      <c r="C2740" s="5">
        <f>DATE(2012,12,31)-1370</f>
        <v>39904</v>
      </c>
      <c r="D2740" s="4" t="s">
        <v>63</v>
      </c>
      <c r="E2740" s="4">
        <v>1.0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ht="12.75" customHeight="1">
      <c r="A2741" s="4">
        <v>2832.0</v>
      </c>
      <c r="B2741" s="4">
        <v>20449.0</v>
      </c>
      <c r="C2741" s="5">
        <f>DATE(2012,12,31)-1093</f>
        <v>40181</v>
      </c>
      <c r="D2741" s="4" t="s">
        <v>63</v>
      </c>
      <c r="E2741" s="4">
        <v>19.0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19.99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ht="12.75" customHeight="1">
      <c r="A2742" s="4">
        <v>3054.0</v>
      </c>
      <c r="B2742" s="4">
        <v>21890.0</v>
      </c>
      <c r="C2742" s="5">
        <f>DATE(2012,12,31)-707</f>
        <v>40567</v>
      </c>
      <c r="D2742" s="4" t="s">
        <v>45</v>
      </c>
      <c r="E2742" s="4">
        <v>27.0</v>
      </c>
      <c r="F2742" s="4">
        <v>81.9</v>
      </c>
      <c r="G2742" s="4">
        <v>0.01</v>
      </c>
      <c r="H2742" s="4" t="s">
        <v>22</v>
      </c>
      <c r="I2742" s="6">
        <v>4.06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0.58</v>
      </c>
      <c r="U2742" s="5">
        <f>C2742+2</f>
        <v>40569</v>
      </c>
    </row>
    <row r="2743" ht="12.75" customHeight="1">
      <c r="A2743" s="4">
        <v>3071.0</v>
      </c>
      <c r="B2743" s="4">
        <v>22020.0</v>
      </c>
      <c r="C2743" s="5">
        <f>DATE(2012,12,31)-959</f>
        <v>40315</v>
      </c>
      <c r="D2743" s="4" t="s">
        <v>78</v>
      </c>
      <c r="E2743" s="4">
        <v>37.0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ht="12.75" customHeight="1">
      <c r="A2744" s="4">
        <v>3087.0</v>
      </c>
      <c r="B2744" s="4">
        <v>22149.0</v>
      </c>
      <c r="C2744" s="5">
        <f>DATE(2012,12,31)-465</f>
        <v>40809</v>
      </c>
      <c r="D2744" s="4" t="s">
        <v>21</v>
      </c>
      <c r="E2744" s="4">
        <v>47.0</v>
      </c>
      <c r="F2744" s="4">
        <v>191.13</v>
      </c>
      <c r="G2744" s="4">
        <v>0.07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ht="12.75" customHeight="1">
      <c r="A2745" s="4">
        <v>3216.0</v>
      </c>
      <c r="B2745" s="4">
        <v>23078.0</v>
      </c>
      <c r="C2745" s="5">
        <f>DATE(2012,12,31)-473</f>
        <v>40801</v>
      </c>
      <c r="D2745" s="4" t="s">
        <v>63</v>
      </c>
      <c r="E2745" s="4">
        <v>18.0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9.78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ht="12.75" customHeight="1">
      <c r="A2746" s="4">
        <v>3306.0</v>
      </c>
      <c r="B2746" s="4">
        <v>23619.0</v>
      </c>
      <c r="C2746" s="5">
        <f>DATE(2012,12,31)-10</f>
        <v>41264</v>
      </c>
      <c r="D2746" s="4" t="s">
        <v>63</v>
      </c>
      <c r="E2746" s="4">
        <v>7.0</v>
      </c>
      <c r="F2746" s="4">
        <v>1043.12</v>
      </c>
      <c r="G2746" s="4">
        <v>0.06</v>
      </c>
      <c r="H2746" s="4" t="s">
        <v>22</v>
      </c>
      <c r="I2746" s="6">
        <v>-52.49579999999995</v>
      </c>
      <c r="J2746" s="4">
        <v>150.98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ht="12.75" customHeight="1">
      <c r="A2747" s="4">
        <v>3351.0</v>
      </c>
      <c r="B2747" s="4">
        <v>24003.0</v>
      </c>
      <c r="C2747" s="5">
        <f t="shared" ref="C2747:C2748" si="1211">DATE(2012,12,31)-1157</f>
        <v>40117</v>
      </c>
      <c r="D2747" s="4" t="s">
        <v>78</v>
      </c>
      <c r="E2747" s="4">
        <v>49.0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</v>
      </c>
      <c r="U2747" s="5">
        <f>C2747+2</f>
        <v>40119</v>
      </c>
    </row>
    <row r="2748" ht="12.75" customHeight="1">
      <c r="A2748" s="4">
        <v>3352.0</v>
      </c>
      <c r="B2748" s="4">
        <v>24003.0</v>
      </c>
      <c r="C2748" s="5">
        <f t="shared" si="1211"/>
        <v>40117</v>
      </c>
      <c r="D2748" s="4" t="s">
        <v>78</v>
      </c>
      <c r="E2748" s="4">
        <v>50.0</v>
      </c>
      <c r="F2748" s="4">
        <v>1318.49</v>
      </c>
      <c r="G2748" s="4">
        <v>0.02</v>
      </c>
      <c r="H2748" s="4" t="s">
        <v>22</v>
      </c>
      <c r="I2748" s="6">
        <v>4.69</v>
      </c>
      <c r="J2748" s="4">
        <v>24.98</v>
      </c>
      <c r="K2748" s="4">
        <v>8.79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ht="12.75" customHeight="1">
      <c r="A2749" s="4">
        <v>3564.0</v>
      </c>
      <c r="B2749" s="4">
        <v>25442.0</v>
      </c>
      <c r="C2749" s="5">
        <f>DATE(2012,12,31)-361</f>
        <v>40913</v>
      </c>
      <c r="D2749" s="4" t="s">
        <v>30</v>
      </c>
      <c r="E2749" s="4">
        <v>32.0</v>
      </c>
      <c r="F2749" s="4">
        <v>1666.0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4.85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2">C2749+2</f>
        <v>40915</v>
      </c>
    </row>
    <row r="2750" ht="12.75" customHeight="1">
      <c r="A2750" s="4">
        <v>3630.0</v>
      </c>
      <c r="B2750" s="4">
        <v>25927.0</v>
      </c>
      <c r="C2750" s="5">
        <f>DATE(2012,12,31)-1349</f>
        <v>39925</v>
      </c>
      <c r="D2750" s="4" t="s">
        <v>63</v>
      </c>
      <c r="E2750" s="4">
        <v>43.0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2"/>
        <v>39927</v>
      </c>
    </row>
    <row r="2751" ht="12.75" customHeight="1">
      <c r="A2751" s="4">
        <v>3664.0</v>
      </c>
      <c r="B2751" s="4">
        <v>26243.0</v>
      </c>
      <c r="C2751" s="5">
        <f>DATE(2012,12,31)-534</f>
        <v>40740</v>
      </c>
      <c r="D2751" s="4" t="s">
        <v>21</v>
      </c>
      <c r="E2751" s="4">
        <v>42.0</v>
      </c>
      <c r="F2751" s="4">
        <v>71.32</v>
      </c>
      <c r="G2751" s="4">
        <v>0.08</v>
      </c>
      <c r="H2751" s="4" t="s">
        <v>22</v>
      </c>
      <c r="I2751" s="6">
        <v>-4.9</v>
      </c>
      <c r="J2751" s="4">
        <v>1.82</v>
      </c>
      <c r="K2751" s="4">
        <v>1.0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ht="12.75" customHeight="1">
      <c r="A2752" s="4">
        <v>3997.0</v>
      </c>
      <c r="B2752" s="4">
        <v>28515.0</v>
      </c>
      <c r="C2752" s="5">
        <f>DATE(2012,12,31)-915</f>
        <v>40359</v>
      </c>
      <c r="D2752" s="4" t="s">
        <v>30</v>
      </c>
      <c r="E2752" s="4">
        <v>33.0</v>
      </c>
      <c r="F2752" s="4">
        <v>750.86</v>
      </c>
      <c r="G2752" s="4">
        <v>0.0</v>
      </c>
      <c r="H2752" s="4" t="s">
        <v>22</v>
      </c>
      <c r="I2752" s="6">
        <v>302.124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3">C2752+1</f>
        <v>40360</v>
      </c>
    </row>
    <row r="2753" ht="12.75" customHeight="1">
      <c r="A2753" s="4">
        <v>4180.0</v>
      </c>
      <c r="B2753" s="4">
        <v>29667.0</v>
      </c>
      <c r="C2753" s="5">
        <f>DATE(2012,12,31)-1256</f>
        <v>40018</v>
      </c>
      <c r="D2753" s="4" t="s">
        <v>45</v>
      </c>
      <c r="E2753" s="4">
        <v>14.0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3"/>
        <v>40019</v>
      </c>
    </row>
    <row r="2754" ht="12.75" customHeight="1">
      <c r="A2754" s="4">
        <v>4226.0</v>
      </c>
      <c r="B2754" s="4">
        <v>30023.0</v>
      </c>
      <c r="C2754" s="5">
        <f>DATE(2012,12,31)-808</f>
        <v>40466</v>
      </c>
      <c r="D2754" s="4" t="s">
        <v>21</v>
      </c>
      <c r="E2754" s="4">
        <v>14.0</v>
      </c>
      <c r="F2754" s="4">
        <v>157.33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0.57</v>
      </c>
      <c r="U2754" s="5">
        <f>C2754+9</f>
        <v>40475</v>
      </c>
    </row>
    <row r="2755" ht="12.75" customHeight="1">
      <c r="A2755" s="4">
        <v>4248.0</v>
      </c>
      <c r="B2755" s="4">
        <v>30215.0</v>
      </c>
      <c r="C2755" s="5">
        <f>DATE(2012,12,31)-1404</f>
        <v>39870</v>
      </c>
      <c r="D2755" s="4" t="s">
        <v>63</v>
      </c>
      <c r="E2755" s="4">
        <v>20.0</v>
      </c>
      <c r="F2755" s="4">
        <v>125.84</v>
      </c>
      <c r="G2755" s="4">
        <v>0.1</v>
      </c>
      <c r="H2755" s="4" t="s">
        <v>22</v>
      </c>
      <c r="I2755" s="6">
        <v>18.42</v>
      </c>
      <c r="J2755" s="4">
        <v>6.88</v>
      </c>
      <c r="K2755" s="4">
        <v>2.0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ht="12.75" customHeight="1">
      <c r="A2756" s="4">
        <v>4468.0</v>
      </c>
      <c r="B2756" s="4">
        <v>31845.0</v>
      </c>
      <c r="C2756" s="5">
        <f>DATE(2012,12,31)-70</f>
        <v>41204</v>
      </c>
      <c r="D2756" s="4" t="s">
        <v>21</v>
      </c>
      <c r="E2756" s="4">
        <v>11.0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ht="12.75" customHeight="1">
      <c r="A2757" s="4">
        <v>4638.0</v>
      </c>
      <c r="B2757" s="4">
        <v>32999.0</v>
      </c>
      <c r="C2757" s="5">
        <f>DATE(2012,12,31)-1357</f>
        <v>39917</v>
      </c>
      <c r="D2757" s="4" t="s">
        <v>21</v>
      </c>
      <c r="E2757" s="4">
        <v>14.0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ht="12.75" customHeight="1">
      <c r="A2758" s="4">
        <v>5013.0</v>
      </c>
      <c r="B2758" s="4">
        <v>35777.0</v>
      </c>
      <c r="C2758" s="5">
        <f>DATE(2012,12,31)-845</f>
        <v>40429</v>
      </c>
      <c r="D2758" s="4" t="s">
        <v>78</v>
      </c>
      <c r="E2758" s="4">
        <v>35.0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</v>
      </c>
      <c r="U2758" s="5">
        <f>C2758+2</f>
        <v>40431</v>
      </c>
    </row>
    <row r="2759" ht="12.75" customHeight="1">
      <c r="A2759" s="4">
        <v>5052.0</v>
      </c>
      <c r="B2759" s="4">
        <v>36005.0</v>
      </c>
      <c r="C2759" s="5">
        <f>DATE(2012,12,31)-836</f>
        <v>40438</v>
      </c>
      <c r="D2759" s="4" t="s">
        <v>21</v>
      </c>
      <c r="E2759" s="4">
        <v>1.0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0.57</v>
      </c>
      <c r="U2759" s="5">
        <f>C2759+4</f>
        <v>40442</v>
      </c>
    </row>
    <row r="2760" ht="12.75" customHeight="1">
      <c r="A2760" s="4">
        <v>5080.0</v>
      </c>
      <c r="B2760" s="4">
        <v>36196.0</v>
      </c>
      <c r="C2760" s="5">
        <f>DATE(2012,12,31)-513</f>
        <v>40761</v>
      </c>
      <c r="D2760" s="4" t="s">
        <v>45</v>
      </c>
      <c r="E2760" s="4">
        <v>6.0</v>
      </c>
      <c r="F2760" s="4">
        <v>62.03</v>
      </c>
      <c r="G2760" s="4">
        <v>0.09</v>
      </c>
      <c r="H2760" s="4" t="s">
        <v>22</v>
      </c>
      <c r="I2760" s="6">
        <v>17.31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ht="12.75" customHeight="1">
      <c r="A2761" s="4">
        <v>5084.0</v>
      </c>
      <c r="B2761" s="4">
        <v>36230.0</v>
      </c>
      <c r="C2761" s="5">
        <f>DATE(2012,12,31)-1300</f>
        <v>39974</v>
      </c>
      <c r="D2761" s="4" t="s">
        <v>30</v>
      </c>
      <c r="E2761" s="4">
        <v>7.0</v>
      </c>
      <c r="F2761" s="4">
        <v>57.03</v>
      </c>
      <c r="G2761" s="4">
        <v>0.0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ht="12.75" customHeight="1">
      <c r="A2762" s="4">
        <v>5093.0</v>
      </c>
      <c r="B2762" s="4">
        <v>36294.0</v>
      </c>
      <c r="C2762" s="5">
        <f>DATE(2012,12,31)-133</f>
        <v>41141</v>
      </c>
      <c r="D2762" s="4" t="s">
        <v>63</v>
      </c>
      <c r="E2762" s="4">
        <v>46.0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ht="12.75" customHeight="1">
      <c r="A2763" s="4">
        <v>5158.0</v>
      </c>
      <c r="B2763" s="4">
        <v>36737.0</v>
      </c>
      <c r="C2763" s="5">
        <f>DATE(2012,12,31)-1022</f>
        <v>40252</v>
      </c>
      <c r="D2763" s="4" t="s">
        <v>45</v>
      </c>
      <c r="E2763" s="4">
        <v>26.0</v>
      </c>
      <c r="F2763" s="4">
        <v>1462.1615</v>
      </c>
      <c r="G2763" s="4">
        <v>0.03</v>
      </c>
      <c r="H2763" s="4" t="s">
        <v>22</v>
      </c>
      <c r="I2763" s="6">
        <v>215.433</v>
      </c>
      <c r="J2763" s="4">
        <v>65.99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0.58</v>
      </c>
      <c r="U2763" s="5">
        <f>C2763+1</f>
        <v>40253</v>
      </c>
    </row>
    <row r="2764" ht="12.75" customHeight="1">
      <c r="A2764" s="4">
        <v>5241.0</v>
      </c>
      <c r="B2764" s="4">
        <v>37287.0</v>
      </c>
      <c r="C2764" s="5">
        <f>DATE(2012,12,31)-60</f>
        <v>41214</v>
      </c>
      <c r="D2764" s="4" t="s">
        <v>21</v>
      </c>
      <c r="E2764" s="4">
        <v>45.0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ht="12.75" customHeight="1">
      <c r="A2765" s="4">
        <v>5323.0</v>
      </c>
      <c r="B2765" s="4">
        <v>37831.0</v>
      </c>
      <c r="C2765" s="5">
        <f>DATE(2012,12,31)-158</f>
        <v>41116</v>
      </c>
      <c r="D2765" s="4" t="s">
        <v>45</v>
      </c>
      <c r="E2765" s="4">
        <v>30.0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4.0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ht="12.75" customHeight="1">
      <c r="A2766" s="4">
        <v>5400.0</v>
      </c>
      <c r="B2766" s="4">
        <v>38372.0</v>
      </c>
      <c r="C2766" s="5">
        <f>DATE(2012,12,31)-961</f>
        <v>40313</v>
      </c>
      <c r="D2766" s="4" t="s">
        <v>30</v>
      </c>
      <c r="E2766" s="4">
        <v>33.0</v>
      </c>
      <c r="F2766" s="4">
        <v>310.99</v>
      </c>
      <c r="G2766" s="4">
        <v>0.07</v>
      </c>
      <c r="H2766" s="4" t="s">
        <v>22</v>
      </c>
      <c r="I2766" s="6">
        <v>106.45</v>
      </c>
      <c r="J2766" s="4">
        <v>9.68</v>
      </c>
      <c r="K2766" s="4">
        <v>2.03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ht="12.75" customHeight="1">
      <c r="A2767" s="4">
        <v>5478.0</v>
      </c>
      <c r="B2767" s="4">
        <v>38912.0</v>
      </c>
      <c r="C2767" s="5">
        <f>DATE(2012,12,31)-64</f>
        <v>41210</v>
      </c>
      <c r="D2767" s="4" t="s">
        <v>21</v>
      </c>
      <c r="E2767" s="4">
        <v>26.0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65.99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0.57</v>
      </c>
      <c r="U2767" s="5">
        <f>C2767+7</f>
        <v>41217</v>
      </c>
    </row>
    <row r="2768" ht="12.75" customHeight="1">
      <c r="A2768" s="4">
        <v>5504.0</v>
      </c>
      <c r="B2768" s="4">
        <v>39040.0</v>
      </c>
      <c r="C2768" s="5">
        <f>DATE(2012,12,31)-1320</f>
        <v>39954</v>
      </c>
      <c r="D2768" s="4" t="s">
        <v>78</v>
      </c>
      <c r="E2768" s="4">
        <v>7.0</v>
      </c>
      <c r="F2768" s="4">
        <v>19.36</v>
      </c>
      <c r="G2768" s="4">
        <v>0.04</v>
      </c>
      <c r="H2768" s="4" t="s">
        <v>56</v>
      </c>
      <c r="I2768" s="6">
        <v>-1.0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4">C2768+1</f>
        <v>39955</v>
      </c>
    </row>
    <row r="2769" ht="12.75" customHeight="1">
      <c r="A2769" s="4">
        <v>5761.0</v>
      </c>
      <c r="B2769" s="4">
        <v>40896.0</v>
      </c>
      <c r="C2769" s="5">
        <f>DATE(2012,12,31)-486</f>
        <v>40788</v>
      </c>
      <c r="D2769" s="4" t="s">
        <v>45</v>
      </c>
      <c r="E2769" s="4">
        <v>21.0</v>
      </c>
      <c r="F2769" s="4">
        <v>155.73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4"/>
        <v>40789</v>
      </c>
    </row>
    <row r="2770" ht="12.75" customHeight="1">
      <c r="A2770" s="4">
        <v>5776.0</v>
      </c>
      <c r="B2770" s="4">
        <v>40994.0</v>
      </c>
      <c r="C2770" s="5">
        <f>DATE(2012,12,31)-83</f>
        <v>41191</v>
      </c>
      <c r="D2770" s="4" t="s">
        <v>30</v>
      </c>
      <c r="E2770" s="4">
        <v>42.0</v>
      </c>
      <c r="F2770" s="4">
        <v>793.04</v>
      </c>
      <c r="G2770" s="4">
        <v>0.1</v>
      </c>
      <c r="H2770" s="4" t="s">
        <v>22</v>
      </c>
      <c r="I2770" s="6">
        <v>323.0765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5">C2770+2</f>
        <v>41193</v>
      </c>
    </row>
    <row r="2771" ht="12.75" customHeight="1">
      <c r="A2771" s="4">
        <v>5864.0</v>
      </c>
      <c r="B2771" s="4">
        <v>41607.0</v>
      </c>
      <c r="C2771" s="5">
        <f>DATE(2012,12,31)-1108</f>
        <v>40166</v>
      </c>
      <c r="D2771" s="4" t="s">
        <v>63</v>
      </c>
      <c r="E2771" s="4">
        <v>36.0</v>
      </c>
      <c r="F2771" s="4">
        <v>4115.74</v>
      </c>
      <c r="G2771" s="4">
        <v>0.1</v>
      </c>
      <c r="H2771" s="4" t="s">
        <v>22</v>
      </c>
      <c r="I2771" s="6">
        <v>1719.4735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5"/>
        <v>40168</v>
      </c>
    </row>
    <row r="2772" ht="12.75" customHeight="1">
      <c r="A2772" s="4">
        <v>5874.0</v>
      </c>
      <c r="B2772" s="4">
        <v>41666.0</v>
      </c>
      <c r="C2772" s="5">
        <f>DATE(2012,12,31)-303</f>
        <v>40971</v>
      </c>
      <c r="D2772" s="4" t="s">
        <v>63</v>
      </c>
      <c r="E2772" s="4">
        <v>26.0</v>
      </c>
      <c r="F2772" s="4">
        <v>596.156</v>
      </c>
      <c r="G2772" s="4">
        <v>0.1</v>
      </c>
      <c r="H2772" s="4" t="s">
        <v>56</v>
      </c>
      <c r="I2772" s="6">
        <v>-97.922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</v>
      </c>
      <c r="U2772" s="5">
        <f>C2772+1</f>
        <v>40972</v>
      </c>
    </row>
    <row r="2773" ht="12.75" customHeight="1">
      <c r="A2773" s="4">
        <v>5961.0</v>
      </c>
      <c r="B2773" s="4">
        <v>42306.0</v>
      </c>
      <c r="C2773" s="5">
        <f>DATE(2012,12,31)-108</f>
        <v>41166</v>
      </c>
      <c r="D2773" s="4" t="s">
        <v>30</v>
      </c>
      <c r="E2773" s="4">
        <v>18.0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ht="12.75" customHeight="1">
      <c r="A2774" s="4">
        <v>5994.0</v>
      </c>
      <c r="B2774" s="4">
        <v>42469.0</v>
      </c>
      <c r="C2774" s="5">
        <f>DATE(2012,12,31)-53</f>
        <v>41221</v>
      </c>
      <c r="D2774" s="4" t="s">
        <v>45</v>
      </c>
      <c r="E2774" s="4">
        <v>31.0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ht="12.75" customHeight="1">
      <c r="A2775" s="4">
        <v>6002.0</v>
      </c>
      <c r="B2775" s="4">
        <v>42528.0</v>
      </c>
      <c r="C2775" s="5">
        <f>DATE(2012,12,31)-1042</f>
        <v>40232</v>
      </c>
      <c r="D2775" s="4" t="s">
        <v>63</v>
      </c>
      <c r="E2775" s="4">
        <v>46.0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ht="12.75" customHeight="1">
      <c r="A2776" s="4">
        <v>6049.0</v>
      </c>
      <c r="B2776" s="4">
        <v>42884.0</v>
      </c>
      <c r="C2776" s="5">
        <f>DATE(2012,12,31)-1025</f>
        <v>40249</v>
      </c>
      <c r="D2776" s="4" t="s">
        <v>45</v>
      </c>
      <c r="E2776" s="4">
        <v>29.0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ht="12.75" customHeight="1">
      <c r="A2777" s="4">
        <v>6116.0</v>
      </c>
      <c r="B2777" s="4">
        <v>43302.0</v>
      </c>
      <c r="C2777" s="5">
        <f>DATE(2012,12,31)-496</f>
        <v>40778</v>
      </c>
      <c r="D2777" s="4" t="s">
        <v>21</v>
      </c>
      <c r="E2777" s="4">
        <v>4.0</v>
      </c>
      <c r="F2777" s="4">
        <v>8.87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ht="12.75" customHeight="1">
      <c r="A2778" s="4">
        <v>6137.0</v>
      </c>
      <c r="B2778" s="4">
        <v>43460.0</v>
      </c>
      <c r="C2778" s="5">
        <f>DATE(2012,12,31)-203</f>
        <v>41071</v>
      </c>
      <c r="D2778" s="4" t="s">
        <v>63</v>
      </c>
      <c r="E2778" s="4">
        <v>2.0</v>
      </c>
      <c r="F2778" s="4">
        <v>25.09</v>
      </c>
      <c r="G2778" s="4">
        <v>0.07</v>
      </c>
      <c r="H2778" s="4" t="s">
        <v>22</v>
      </c>
      <c r="I2778" s="6">
        <v>-17.595</v>
      </c>
      <c r="J2778" s="4">
        <v>8.04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ht="12.75" customHeight="1">
      <c r="A2779" s="4">
        <v>6206.0</v>
      </c>
      <c r="B2779" s="4">
        <v>43972.0</v>
      </c>
      <c r="C2779" s="5">
        <f>DATE(2012,12,31)-1021</f>
        <v>40253</v>
      </c>
      <c r="D2779" s="4" t="s">
        <v>21</v>
      </c>
      <c r="E2779" s="4">
        <v>12.0</v>
      </c>
      <c r="F2779" s="4">
        <v>714.391</v>
      </c>
      <c r="G2779" s="4">
        <v>0.0</v>
      </c>
      <c r="H2779" s="4" t="s">
        <v>22</v>
      </c>
      <c r="I2779" s="6">
        <v>-62.32599999999999</v>
      </c>
      <c r="J2779" s="4">
        <v>65.99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0.58</v>
      </c>
      <c r="U2779" s="5">
        <f>C2779+2</f>
        <v>40255</v>
      </c>
    </row>
    <row r="2780" ht="12.75" customHeight="1">
      <c r="A2780" s="4">
        <v>6211.0</v>
      </c>
      <c r="B2780" s="4">
        <v>44000.0</v>
      </c>
      <c r="C2780" s="5">
        <f>DATE(2012,12,31)-88</f>
        <v>41186</v>
      </c>
      <c r="D2780" s="4" t="s">
        <v>45</v>
      </c>
      <c r="E2780" s="4">
        <v>15.0</v>
      </c>
      <c r="F2780" s="4">
        <v>502.8</v>
      </c>
      <c r="G2780" s="4">
        <v>0.0</v>
      </c>
      <c r="H2780" s="4" t="s">
        <v>22</v>
      </c>
      <c r="I2780" s="6">
        <v>-19.1</v>
      </c>
      <c r="J2780" s="4">
        <v>30.98</v>
      </c>
      <c r="K2780" s="4">
        <v>19.51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6">C2780+0</f>
        <v>41186</v>
      </c>
    </row>
    <row r="2781" ht="12.75" customHeight="1">
      <c r="A2781" s="4">
        <v>6488.0</v>
      </c>
      <c r="B2781" s="4">
        <v>46177.0</v>
      </c>
      <c r="C2781" s="5">
        <f>DATE(2012,12,31)-757</f>
        <v>40517</v>
      </c>
      <c r="D2781" s="4" t="s">
        <v>21</v>
      </c>
      <c r="E2781" s="4">
        <v>33.0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6"/>
        <v>40517</v>
      </c>
    </row>
    <row r="2782" ht="12.75" customHeight="1">
      <c r="A2782" s="4">
        <v>6773.0</v>
      </c>
      <c r="B2782" s="4">
        <v>48226.0</v>
      </c>
      <c r="C2782" s="5">
        <f>DATE(2012,12,31)-1455</f>
        <v>39819</v>
      </c>
      <c r="D2782" s="4" t="s">
        <v>21</v>
      </c>
      <c r="E2782" s="4">
        <v>23.0</v>
      </c>
      <c r="F2782" s="4">
        <v>2357.45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6"/>
        <v>39819</v>
      </c>
    </row>
    <row r="2783" ht="12.75" customHeight="1">
      <c r="A2783" s="4">
        <v>6803.0</v>
      </c>
      <c r="B2783" s="4">
        <v>48455.0</v>
      </c>
      <c r="C2783" s="5">
        <f>DATE(2012,12,31)-1308</f>
        <v>39966</v>
      </c>
      <c r="D2783" s="4" t="s">
        <v>78</v>
      </c>
      <c r="E2783" s="4">
        <v>34.0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7">C2783+1</f>
        <v>39967</v>
      </c>
    </row>
    <row r="2784" ht="12.75" customHeight="1">
      <c r="A2784" s="4">
        <v>6866.0</v>
      </c>
      <c r="B2784" s="4">
        <v>48929.0</v>
      </c>
      <c r="C2784" s="5">
        <f>DATE(2012,12,31)-1166</f>
        <v>40108</v>
      </c>
      <c r="D2784" s="4" t="s">
        <v>30</v>
      </c>
      <c r="E2784" s="4">
        <v>1.0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19.99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7"/>
        <v>40109</v>
      </c>
    </row>
    <row r="2785" ht="12.75" customHeight="1">
      <c r="A2785" s="4">
        <v>6875.0</v>
      </c>
      <c r="B2785" s="4">
        <v>48994.0</v>
      </c>
      <c r="C2785" s="5">
        <f>DATE(2012,12,31)-801</f>
        <v>40473</v>
      </c>
      <c r="D2785" s="4" t="s">
        <v>45</v>
      </c>
      <c r="E2785" s="4">
        <v>6.0</v>
      </c>
      <c r="F2785" s="4">
        <v>1086.39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35.0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8">C2785+2</f>
        <v>40475</v>
      </c>
    </row>
    <row r="2786" ht="12.75" customHeight="1">
      <c r="A2786" s="4">
        <v>7164.0</v>
      </c>
      <c r="B2786" s="4">
        <v>51111.0</v>
      </c>
      <c r="C2786" s="5">
        <f>DATE(2012,12,31)-326</f>
        <v>40948</v>
      </c>
      <c r="D2786" s="4" t="s">
        <v>45</v>
      </c>
      <c r="E2786" s="4">
        <v>1.0</v>
      </c>
      <c r="F2786" s="4">
        <v>61.09799999999999</v>
      </c>
      <c r="G2786" s="4">
        <v>0.02</v>
      </c>
      <c r="H2786" s="4" t="s">
        <v>22</v>
      </c>
      <c r="I2786" s="6">
        <v>-257.719</v>
      </c>
      <c r="J2786" s="4">
        <v>65.99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</v>
      </c>
      <c r="U2786" s="5">
        <f t="shared" si="1218"/>
        <v>40950</v>
      </c>
    </row>
    <row r="2787" ht="12.75" customHeight="1">
      <c r="A2787" s="4">
        <v>7740.0</v>
      </c>
      <c r="B2787" s="4">
        <v>55425.0</v>
      </c>
      <c r="C2787" s="5">
        <f>DATE(2012,12,31)-426</f>
        <v>40848</v>
      </c>
      <c r="D2787" s="4" t="s">
        <v>78</v>
      </c>
      <c r="E2787" s="4">
        <v>42.0</v>
      </c>
      <c r="F2787" s="4">
        <v>4373.8535</v>
      </c>
      <c r="G2787" s="4">
        <v>0.04</v>
      </c>
      <c r="H2787" s="4" t="s">
        <v>56</v>
      </c>
      <c r="I2787" s="6">
        <v>963.675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9">C2787+1</f>
        <v>40849</v>
      </c>
    </row>
    <row r="2788" ht="12.75" customHeight="1">
      <c r="A2788" s="4">
        <v>7803.0</v>
      </c>
      <c r="B2788" s="4">
        <v>55815.0</v>
      </c>
      <c r="C2788" s="5">
        <f>DATE(2012,12,31)-718</f>
        <v>40556</v>
      </c>
      <c r="D2788" s="4" t="s">
        <v>30</v>
      </c>
      <c r="E2788" s="4">
        <v>28.0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10.12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9"/>
        <v>40557</v>
      </c>
    </row>
    <row r="2789" ht="12.75" customHeight="1">
      <c r="A2789" s="4">
        <v>7827.0</v>
      </c>
      <c r="B2789" s="4">
        <v>55940.0</v>
      </c>
      <c r="C2789" s="5">
        <f>DATE(2012,12,31)-1342</f>
        <v>39932</v>
      </c>
      <c r="D2789" s="4" t="s">
        <v>45</v>
      </c>
      <c r="E2789" s="4">
        <v>29.0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9"/>
        <v>39933</v>
      </c>
    </row>
    <row r="2790" ht="12.75" customHeight="1">
      <c r="A2790" s="4">
        <v>7858.0</v>
      </c>
      <c r="B2790" s="4">
        <v>56166.0</v>
      </c>
      <c r="C2790" s="5">
        <f>DATE(2012,12,31)-880</f>
        <v>40394</v>
      </c>
      <c r="D2790" s="4" t="s">
        <v>78</v>
      </c>
      <c r="E2790" s="4">
        <v>1.0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42.0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9"/>
        <v>40395</v>
      </c>
    </row>
    <row r="2791" ht="12.75" customHeight="1">
      <c r="A2791" s="4">
        <v>8080.0</v>
      </c>
      <c r="B2791" s="4">
        <v>57638.0</v>
      </c>
      <c r="C2791" s="5">
        <f t="shared" ref="C2791:C2792" si="1220">DATE(2012,12,31)-253</f>
        <v>41021</v>
      </c>
      <c r="D2791" s="4" t="s">
        <v>21</v>
      </c>
      <c r="E2791" s="4">
        <v>49.0</v>
      </c>
      <c r="F2791" s="4">
        <v>570.43</v>
      </c>
      <c r="G2791" s="4">
        <v>0.07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1">C2791+2</f>
        <v>41023</v>
      </c>
    </row>
    <row r="2792" ht="12.75" customHeight="1">
      <c r="A2792" s="4">
        <v>8081.0</v>
      </c>
      <c r="B2792" s="4">
        <v>57638.0</v>
      </c>
      <c r="C2792" s="5">
        <f t="shared" si="1220"/>
        <v>41021</v>
      </c>
      <c r="D2792" s="4" t="s">
        <v>21</v>
      </c>
      <c r="E2792" s="4">
        <v>49.0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</v>
      </c>
      <c r="U2792" s="5">
        <f t="shared" si="1221"/>
        <v>41023</v>
      </c>
    </row>
    <row r="2793" ht="12.75" customHeight="1">
      <c r="A2793" s="4">
        <v>8109.0</v>
      </c>
      <c r="B2793" s="4">
        <v>57890.0</v>
      </c>
      <c r="C2793" s="5">
        <f>DATE(2012,12,31)-1404</f>
        <v>39870</v>
      </c>
      <c r="D2793" s="4" t="s">
        <v>78</v>
      </c>
      <c r="E2793" s="4">
        <v>15.0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1"/>
        <v>39872</v>
      </c>
    </row>
    <row r="2794" ht="12.75" customHeight="1">
      <c r="A2794" s="4">
        <v>327.0</v>
      </c>
      <c r="B2794" s="4">
        <v>2244.0</v>
      </c>
      <c r="C2794" s="5">
        <f>DATE(2012,12,31)-1088</f>
        <v>40186</v>
      </c>
      <c r="D2794" s="4" t="s">
        <v>78</v>
      </c>
      <c r="E2794" s="4">
        <v>19.0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1"/>
        <v>40188</v>
      </c>
    </row>
    <row r="2795" ht="12.75" customHeight="1">
      <c r="A2795" s="4">
        <v>455.0</v>
      </c>
      <c r="B2795" s="4">
        <v>3104.0</v>
      </c>
      <c r="C2795" s="5">
        <f t="shared" ref="C2795:C2796" si="1222">DATE(2012,12,31)-838</f>
        <v>40436</v>
      </c>
      <c r="D2795" s="4" t="s">
        <v>63</v>
      </c>
      <c r="E2795" s="4">
        <v>50.0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1"/>
        <v>40438</v>
      </c>
    </row>
    <row r="2796" ht="12.75" customHeight="1">
      <c r="A2796" s="4">
        <v>456.0</v>
      </c>
      <c r="B2796" s="4">
        <v>3104.0</v>
      </c>
      <c r="C2796" s="5">
        <f t="shared" si="1222"/>
        <v>40436</v>
      </c>
      <c r="D2796" s="4" t="s">
        <v>63</v>
      </c>
      <c r="E2796" s="4">
        <v>24.0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</v>
      </c>
      <c r="U2796" s="5">
        <f>C2796+0</f>
        <v>40436</v>
      </c>
    </row>
    <row r="2797" ht="12.75" customHeight="1">
      <c r="A2797" s="4">
        <v>860.0</v>
      </c>
      <c r="B2797" s="4">
        <v>6179.0</v>
      </c>
      <c r="C2797" s="5">
        <f t="shared" ref="C2797:C2798" si="1223">DATE(2012,12,31)-1308</f>
        <v>39966</v>
      </c>
      <c r="D2797" s="4" t="s">
        <v>45</v>
      </c>
      <c r="E2797" s="4">
        <v>50.0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9.78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ht="12.75" customHeight="1">
      <c r="A2798" s="4">
        <v>861.0</v>
      </c>
      <c r="B2798" s="4">
        <v>6179.0</v>
      </c>
      <c r="C2798" s="5">
        <f t="shared" si="1223"/>
        <v>39966</v>
      </c>
      <c r="D2798" s="4" t="s">
        <v>45</v>
      </c>
      <c r="E2798" s="4">
        <v>15.0</v>
      </c>
      <c r="F2798" s="4">
        <v>2690.7515</v>
      </c>
      <c r="G2798" s="4">
        <v>0.0</v>
      </c>
      <c r="H2798" s="4" t="s">
        <v>22</v>
      </c>
      <c r="I2798" s="6">
        <v>234.612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ht="12.75" customHeight="1">
      <c r="A2799" s="4">
        <v>1624.0</v>
      </c>
      <c r="B2799" s="4">
        <v>11747.0</v>
      </c>
      <c r="C2799" s="5">
        <f>DATE(2012,12,31)-1040</f>
        <v>40234</v>
      </c>
      <c r="D2799" s="4" t="s">
        <v>63</v>
      </c>
      <c r="E2799" s="4">
        <v>3.0</v>
      </c>
      <c r="F2799" s="4">
        <v>315.28</v>
      </c>
      <c r="G2799" s="4">
        <v>0.08</v>
      </c>
      <c r="H2799" s="4" t="s">
        <v>22</v>
      </c>
      <c r="I2799" s="6">
        <v>-261.5481</v>
      </c>
      <c r="J2799" s="4">
        <v>99.99</v>
      </c>
      <c r="K2799" s="4">
        <v>19.99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ht="12.75" customHeight="1">
      <c r="A2800" s="4">
        <v>1646.0</v>
      </c>
      <c r="B2800" s="4">
        <v>11877.0</v>
      </c>
      <c r="C2800" s="5">
        <f t="shared" ref="C2800:C2801" si="1224">DATE(2012,12,31)-953</f>
        <v>40321</v>
      </c>
      <c r="D2800" s="4" t="s">
        <v>45</v>
      </c>
      <c r="E2800" s="4">
        <v>19.0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ht="12.75" customHeight="1">
      <c r="A2801" s="4">
        <v>1647.0</v>
      </c>
      <c r="B2801" s="4">
        <v>11877.0</v>
      </c>
      <c r="C2801" s="5">
        <f t="shared" si="1224"/>
        <v>40321</v>
      </c>
      <c r="D2801" s="4" t="s">
        <v>45</v>
      </c>
      <c r="E2801" s="4">
        <v>31.0</v>
      </c>
      <c r="F2801" s="4">
        <v>142.96</v>
      </c>
      <c r="G2801" s="4">
        <v>0.09</v>
      </c>
      <c r="H2801" s="4" t="s">
        <v>22</v>
      </c>
      <c r="I2801" s="6">
        <v>33.59</v>
      </c>
      <c r="J2801" s="4">
        <v>4.73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ht="12.75" customHeight="1">
      <c r="A2802" s="4">
        <v>2139.0</v>
      </c>
      <c r="B2802" s="4">
        <v>15271.0</v>
      </c>
      <c r="C2802" s="5">
        <f t="shared" ref="C2802:C2803" si="1225">DATE(2012,12,31)-890</f>
        <v>40384</v>
      </c>
      <c r="D2802" s="4" t="s">
        <v>78</v>
      </c>
      <c r="E2802" s="4">
        <v>18.0</v>
      </c>
      <c r="F2802" s="4">
        <v>2389.3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6">C2802+0</f>
        <v>40384</v>
      </c>
    </row>
    <row r="2803" ht="12.75" customHeight="1">
      <c r="A2803" s="4">
        <v>2140.0</v>
      </c>
      <c r="B2803" s="4">
        <v>15271.0</v>
      </c>
      <c r="C2803" s="5">
        <f t="shared" si="1225"/>
        <v>40384</v>
      </c>
      <c r="D2803" s="4" t="s">
        <v>78</v>
      </c>
      <c r="E2803" s="4">
        <v>7.0</v>
      </c>
      <c r="F2803" s="4">
        <v>222.258</v>
      </c>
      <c r="G2803" s="4">
        <v>0.03</v>
      </c>
      <c r="H2803" s="4" t="s">
        <v>22</v>
      </c>
      <c r="I2803" s="6">
        <v>-77.90199999999999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0.57</v>
      </c>
      <c r="U2803" s="5">
        <f t="shared" si="1226"/>
        <v>40384</v>
      </c>
    </row>
    <row r="2804" ht="12.75" customHeight="1">
      <c r="A2804" s="4">
        <v>3142.0</v>
      </c>
      <c r="B2804" s="4">
        <v>22561.0</v>
      </c>
      <c r="C2804" s="5">
        <f t="shared" ref="C2804:C2806" si="1227">DATE(2012,12,31)-711</f>
        <v>40563</v>
      </c>
      <c r="D2804" s="4" t="s">
        <v>78</v>
      </c>
      <c r="E2804" s="4">
        <v>7.0</v>
      </c>
      <c r="F2804" s="4">
        <v>128.62</v>
      </c>
      <c r="G2804" s="4">
        <v>0.07</v>
      </c>
      <c r="H2804" s="4" t="s">
        <v>22</v>
      </c>
      <c r="I2804" s="6">
        <v>-27.78</v>
      </c>
      <c r="J2804" s="4">
        <v>17.67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8">C2804+2</f>
        <v>40565</v>
      </c>
    </row>
    <row r="2805" ht="12.75" customHeight="1">
      <c r="A2805" s="4">
        <v>3143.0</v>
      </c>
      <c r="B2805" s="4">
        <v>22561.0</v>
      </c>
      <c r="C2805" s="5">
        <f t="shared" si="1227"/>
        <v>40563</v>
      </c>
      <c r="D2805" s="4" t="s">
        <v>78</v>
      </c>
      <c r="E2805" s="4">
        <v>50.0</v>
      </c>
      <c r="F2805" s="4">
        <v>424.0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0.58</v>
      </c>
      <c r="U2805" s="5">
        <f t="shared" si="1228"/>
        <v>40565</v>
      </c>
    </row>
    <row r="2806" ht="12.75" customHeight="1">
      <c r="A2806" s="4">
        <v>3144.0</v>
      </c>
      <c r="B2806" s="4">
        <v>22561.0</v>
      </c>
      <c r="C2806" s="5">
        <f t="shared" si="1227"/>
        <v>40563</v>
      </c>
      <c r="D2806" s="4" t="s">
        <v>78</v>
      </c>
      <c r="E2806" s="4">
        <v>5.0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19.99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8"/>
        <v>40565</v>
      </c>
    </row>
    <row r="2807" ht="12.75" customHeight="1">
      <c r="A2807" s="4">
        <v>3621.0</v>
      </c>
      <c r="B2807" s="4">
        <v>25860.0</v>
      </c>
      <c r="C2807" s="5">
        <f t="shared" ref="C2807:C2808" si="1229">DATE(2012,12,31)-1094</f>
        <v>40180</v>
      </c>
      <c r="D2807" s="4" t="s">
        <v>21</v>
      </c>
      <c r="E2807" s="4">
        <v>9.0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8"/>
        <v>40182</v>
      </c>
    </row>
    <row r="2808" ht="12.75" customHeight="1">
      <c r="A2808" s="4">
        <v>3622.0</v>
      </c>
      <c r="B2808" s="4">
        <v>25860.0</v>
      </c>
      <c r="C2808" s="5">
        <f t="shared" si="1229"/>
        <v>40180</v>
      </c>
      <c r="D2808" s="4" t="s">
        <v>21</v>
      </c>
      <c r="E2808" s="4">
        <v>23.0</v>
      </c>
      <c r="F2808" s="4">
        <v>1288.7785</v>
      </c>
      <c r="G2808" s="4">
        <v>0.07</v>
      </c>
      <c r="H2808" s="4" t="s">
        <v>22</v>
      </c>
      <c r="I2808" s="6">
        <v>-185.889</v>
      </c>
      <c r="J2808" s="4">
        <v>65.99</v>
      </c>
      <c r="K2808" s="4">
        <v>19.99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ht="12.75" customHeight="1">
      <c r="A2809" s="4">
        <v>121.0</v>
      </c>
      <c r="B2809" s="4">
        <v>775.0</v>
      </c>
      <c r="C2809" s="5">
        <f t="shared" ref="C2809:C2810" si="1230">DATE(2012,12,31)-655</f>
        <v>40619</v>
      </c>
      <c r="D2809" s="4" t="s">
        <v>78</v>
      </c>
      <c r="E2809" s="4">
        <v>35.0</v>
      </c>
      <c r="F2809" s="4">
        <v>43.57</v>
      </c>
      <c r="G2809" s="4">
        <v>0.1</v>
      </c>
      <c r="H2809" s="4" t="s">
        <v>22</v>
      </c>
      <c r="I2809" s="6">
        <v>-19.17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ht="12.75" customHeight="1">
      <c r="A2810" s="4">
        <v>122.0</v>
      </c>
      <c r="B2810" s="4">
        <v>775.0</v>
      </c>
      <c r="C2810" s="5">
        <f t="shared" si="1230"/>
        <v>40619</v>
      </c>
      <c r="D2810" s="4" t="s">
        <v>78</v>
      </c>
      <c r="E2810" s="4">
        <v>8.0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ht="12.75" customHeight="1">
      <c r="A2811" s="4">
        <v>141.0</v>
      </c>
      <c r="B2811" s="4">
        <v>900.0</v>
      </c>
      <c r="C2811" s="5">
        <f>DATE(2012,12,31)-1188</f>
        <v>40086</v>
      </c>
      <c r="D2811" s="4" t="s">
        <v>45</v>
      </c>
      <c r="E2811" s="4">
        <v>29.0</v>
      </c>
      <c r="F2811" s="4">
        <v>1193.65</v>
      </c>
      <c r="G2811" s="4">
        <v>0.07</v>
      </c>
      <c r="H2811" s="4" t="s">
        <v>22</v>
      </c>
      <c r="I2811" s="6">
        <v>507.5775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ht="12.75" customHeight="1">
      <c r="A2812" s="4">
        <v>154.0</v>
      </c>
      <c r="B2812" s="4">
        <v>964.0</v>
      </c>
      <c r="C2812" s="5">
        <f>DATE(2012,12,31)-592</f>
        <v>40682</v>
      </c>
      <c r="D2812" s="4" t="s">
        <v>63</v>
      </c>
      <c r="E2812" s="4">
        <v>4.0</v>
      </c>
      <c r="F2812" s="4">
        <v>40.02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ht="12.75" customHeight="1">
      <c r="A2813" s="4">
        <v>394.0</v>
      </c>
      <c r="B2813" s="4">
        <v>2722.0</v>
      </c>
      <c r="C2813" s="5">
        <f>DATE(2012,12,31)-1363</f>
        <v>39911</v>
      </c>
      <c r="D2813" s="4" t="s">
        <v>21</v>
      </c>
      <c r="E2813" s="4">
        <v>46.0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ht="12.75" customHeight="1">
      <c r="A2814" s="4">
        <v>454.0</v>
      </c>
      <c r="B2814" s="4">
        <v>3078.0</v>
      </c>
      <c r="C2814" s="5">
        <f>DATE(2012,12,31)-1054</f>
        <v>40220</v>
      </c>
      <c r="D2814" s="4" t="s">
        <v>30</v>
      </c>
      <c r="E2814" s="4">
        <v>1.0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</v>
      </c>
      <c r="U2814" s="5">
        <f>C2814+2</f>
        <v>40222</v>
      </c>
    </row>
    <row r="2815" ht="12.75" customHeight="1">
      <c r="A2815" s="4">
        <v>496.0</v>
      </c>
      <c r="B2815" s="4">
        <v>3456.0</v>
      </c>
      <c r="C2815" s="5">
        <f>DATE(2012,12,31)-945</f>
        <v>40329</v>
      </c>
      <c r="D2815" s="4" t="s">
        <v>21</v>
      </c>
      <c r="E2815" s="4">
        <v>20.0</v>
      </c>
      <c r="F2815" s="4">
        <v>5418.68</v>
      </c>
      <c r="G2815" s="4">
        <v>0.07</v>
      </c>
      <c r="H2815" s="4" t="s">
        <v>31</v>
      </c>
      <c r="I2815" s="6">
        <v>332.3007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ht="12.75" customHeight="1">
      <c r="A2816" s="4">
        <v>518.0</v>
      </c>
      <c r="B2816" s="4">
        <v>3556.0</v>
      </c>
      <c r="C2816" s="5">
        <f>DATE(2012,12,31)-100</f>
        <v>41174</v>
      </c>
      <c r="D2816" s="4" t="s">
        <v>45</v>
      </c>
      <c r="E2816" s="4">
        <v>48.0</v>
      </c>
      <c r="F2816" s="4">
        <v>269.37</v>
      </c>
      <c r="G2816" s="4">
        <v>0.05</v>
      </c>
      <c r="H2816" s="4" t="s">
        <v>22</v>
      </c>
      <c r="I2816" s="6">
        <v>-103.546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ht="12.75" customHeight="1">
      <c r="A2817" s="4">
        <v>542.0</v>
      </c>
      <c r="B2817" s="4">
        <v>3654.0</v>
      </c>
      <c r="C2817" s="5">
        <f t="shared" ref="C2817:C2818" si="1231">DATE(2012,12,31)-212</f>
        <v>41062</v>
      </c>
      <c r="D2817" s="4" t="s">
        <v>21</v>
      </c>
      <c r="E2817" s="4">
        <v>39.0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ht="12.75" customHeight="1">
      <c r="A2818" s="4">
        <v>543.0</v>
      </c>
      <c r="B2818" s="4">
        <v>3654.0</v>
      </c>
      <c r="C2818" s="5">
        <f t="shared" si="1231"/>
        <v>41062</v>
      </c>
      <c r="D2818" s="4" t="s">
        <v>21</v>
      </c>
      <c r="E2818" s="4">
        <v>47.0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ht="12.75" customHeight="1">
      <c r="A2819" s="4">
        <v>546.0</v>
      </c>
      <c r="B2819" s="4">
        <v>3680.0</v>
      </c>
      <c r="C2819" s="5">
        <f>DATE(2012,12,31)-22</f>
        <v>41252</v>
      </c>
      <c r="D2819" s="4" t="s">
        <v>45</v>
      </c>
      <c r="E2819" s="4">
        <v>27.0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6.0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ht="12.75" customHeight="1">
      <c r="A2820" s="4">
        <v>579.0</v>
      </c>
      <c r="B2820" s="4">
        <v>3942.0</v>
      </c>
      <c r="C2820" s="5">
        <f>DATE(2012,12,31)-918</f>
        <v>40356</v>
      </c>
      <c r="D2820" s="4" t="s">
        <v>45</v>
      </c>
      <c r="E2820" s="4">
        <v>11.0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20.15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0.58</v>
      </c>
      <c r="U2820" s="5">
        <f>C2820+1</f>
        <v>40357</v>
      </c>
    </row>
    <row r="2821" ht="12.75" customHeight="1">
      <c r="A2821" s="4">
        <v>609.0</v>
      </c>
      <c r="B2821" s="4">
        <v>4162.0</v>
      </c>
      <c r="C2821" s="5">
        <f>DATE(2012,12,31)-326</f>
        <v>40948</v>
      </c>
      <c r="D2821" s="4" t="s">
        <v>21</v>
      </c>
      <c r="E2821" s="4">
        <v>2.0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19.99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ht="12.75" customHeight="1">
      <c r="A2822" s="4">
        <v>699.0</v>
      </c>
      <c r="B2822" s="4">
        <v>4896.0</v>
      </c>
      <c r="C2822" s="5">
        <f t="shared" ref="C2822:C2823" si="1232">DATE(2012,12,31)-132</f>
        <v>41142</v>
      </c>
      <c r="D2822" s="4" t="s">
        <v>78</v>
      </c>
      <c r="E2822" s="4">
        <v>25.0</v>
      </c>
      <c r="F2822" s="4">
        <v>831.52</v>
      </c>
      <c r="G2822" s="4">
        <v>0.07</v>
      </c>
      <c r="H2822" s="4" t="s">
        <v>22</v>
      </c>
      <c r="I2822" s="6">
        <v>259.47</v>
      </c>
      <c r="J2822" s="4">
        <v>35.41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ht="12.75" customHeight="1">
      <c r="A2823" s="4">
        <v>700.0</v>
      </c>
      <c r="B2823" s="4">
        <v>4896.0</v>
      </c>
      <c r="C2823" s="5">
        <f t="shared" si="1232"/>
        <v>41142</v>
      </c>
      <c r="D2823" s="4" t="s">
        <v>78</v>
      </c>
      <c r="E2823" s="4">
        <v>10.0</v>
      </c>
      <c r="F2823" s="4">
        <v>1089.87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</v>
      </c>
      <c r="U2823" s="5">
        <f>C2823+2</f>
        <v>41144</v>
      </c>
    </row>
    <row r="2824" ht="12.75" customHeight="1">
      <c r="A2824" s="4">
        <v>708.0</v>
      </c>
      <c r="B2824" s="4">
        <v>4965.0</v>
      </c>
      <c r="C2824" s="5">
        <f>DATE(2012,12,31)-803</f>
        <v>40471</v>
      </c>
      <c r="D2824" s="4" t="s">
        <v>21</v>
      </c>
      <c r="E2824" s="4">
        <v>14.0</v>
      </c>
      <c r="F2824" s="4">
        <v>1068.79</v>
      </c>
      <c r="G2824" s="4">
        <v>0.07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ht="12.75" customHeight="1">
      <c r="A2825" s="4">
        <v>809.0</v>
      </c>
      <c r="B2825" s="4">
        <v>5830.0</v>
      </c>
      <c r="C2825" s="5">
        <f>DATE(2012,12,31)-1013</f>
        <v>40261</v>
      </c>
      <c r="D2825" s="4" t="s">
        <v>63</v>
      </c>
      <c r="E2825" s="4">
        <v>49.0</v>
      </c>
      <c r="F2825" s="4">
        <v>2012.14</v>
      </c>
      <c r="G2825" s="4">
        <v>0.07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0.57</v>
      </c>
      <c r="U2825" s="5">
        <f>C2825+1</f>
        <v>40262</v>
      </c>
    </row>
    <row r="2826" ht="12.75" customHeight="1">
      <c r="A2826" s="4">
        <v>852.0</v>
      </c>
      <c r="B2826" s="4">
        <v>6116.0</v>
      </c>
      <c r="C2826" s="5">
        <f>DATE(2012,12,31)-1382</f>
        <v>39892</v>
      </c>
      <c r="D2826" s="4" t="s">
        <v>63</v>
      </c>
      <c r="E2826" s="4">
        <v>7.0</v>
      </c>
      <c r="F2826" s="4">
        <v>150.77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4.0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3">C2826+0</f>
        <v>39892</v>
      </c>
    </row>
    <row r="2827" ht="12.75" customHeight="1">
      <c r="A2827" s="4">
        <v>926.0</v>
      </c>
      <c r="B2827" s="4">
        <v>6695.0</v>
      </c>
      <c r="C2827" s="5">
        <f>DATE(2012,12,31)-187</f>
        <v>41087</v>
      </c>
      <c r="D2827" s="4" t="s">
        <v>21</v>
      </c>
      <c r="E2827" s="4">
        <v>49.0</v>
      </c>
      <c r="F2827" s="4">
        <v>295.24</v>
      </c>
      <c r="G2827" s="4">
        <v>0.08</v>
      </c>
      <c r="H2827" s="4" t="s">
        <v>56</v>
      </c>
      <c r="I2827" s="6">
        <v>-279.933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3"/>
        <v>41087</v>
      </c>
    </row>
    <row r="2828" ht="12.75" customHeight="1">
      <c r="A2828" s="4">
        <v>952.0</v>
      </c>
      <c r="B2828" s="4">
        <v>6885.0</v>
      </c>
      <c r="C2828" s="5">
        <f>DATE(2012,12,31)-195</f>
        <v>41079</v>
      </c>
      <c r="D2828" s="4" t="s">
        <v>21</v>
      </c>
      <c r="E2828" s="4">
        <v>4.0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30.0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4">C2828+2</f>
        <v>41081</v>
      </c>
    </row>
    <row r="2829" ht="12.75" customHeight="1">
      <c r="A2829" s="4">
        <v>1021.0</v>
      </c>
      <c r="B2829" s="4">
        <v>7458.0</v>
      </c>
      <c r="C2829" s="5">
        <f t="shared" ref="C2829:C2830" si="1235">DATE(2012,12,31)-271</f>
        <v>41003</v>
      </c>
      <c r="D2829" s="4" t="s">
        <v>78</v>
      </c>
      <c r="E2829" s="4">
        <v>16.0</v>
      </c>
      <c r="F2829" s="4">
        <v>226.81</v>
      </c>
      <c r="G2829" s="4">
        <v>0.05</v>
      </c>
      <c r="H2829" s="4" t="s">
        <v>22</v>
      </c>
      <c r="I2829" s="6">
        <v>-5.3705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4"/>
        <v>41005</v>
      </c>
    </row>
    <row r="2830" ht="12.75" customHeight="1">
      <c r="A2830" s="4">
        <v>1022.0</v>
      </c>
      <c r="B2830" s="4">
        <v>7458.0</v>
      </c>
      <c r="C2830" s="5">
        <f t="shared" si="1235"/>
        <v>41003</v>
      </c>
      <c r="D2830" s="4" t="s">
        <v>78</v>
      </c>
      <c r="E2830" s="4">
        <v>46.0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ht="12.75" customHeight="1">
      <c r="A2831" s="4">
        <v>1202.0</v>
      </c>
      <c r="B2831" s="4">
        <v>8807.0</v>
      </c>
      <c r="C2831" s="5">
        <f>DATE(2012,12,31)-1040</f>
        <v>40234</v>
      </c>
      <c r="D2831" s="4" t="s">
        <v>21</v>
      </c>
      <c r="E2831" s="4">
        <v>19.0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ht="12.75" customHeight="1">
      <c r="A2832" s="4">
        <v>1239.0</v>
      </c>
      <c r="B2832" s="4">
        <v>9024.0</v>
      </c>
      <c r="C2832" s="5">
        <f>DATE(2012,12,31)-212</f>
        <v>41062</v>
      </c>
      <c r="D2832" s="4" t="s">
        <v>63</v>
      </c>
      <c r="E2832" s="4">
        <v>44.0</v>
      </c>
      <c r="F2832" s="4">
        <v>2318.2135</v>
      </c>
      <c r="G2832" s="4">
        <v>0.07</v>
      </c>
      <c r="H2832" s="4" t="s">
        <v>22</v>
      </c>
      <c r="I2832" s="6">
        <v>583.749</v>
      </c>
      <c r="J2832" s="4">
        <v>65.99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</v>
      </c>
      <c r="U2832" s="5">
        <f>C2832+0</f>
        <v>41062</v>
      </c>
    </row>
    <row r="2833" ht="12.75" customHeight="1">
      <c r="A2833" s="4">
        <v>1309.0</v>
      </c>
      <c r="B2833" s="4">
        <v>9602.0</v>
      </c>
      <c r="C2833" s="5">
        <f>DATE(2012,12,31)-51</f>
        <v>41223</v>
      </c>
      <c r="D2833" s="4" t="s">
        <v>78</v>
      </c>
      <c r="E2833" s="4">
        <v>16.0</v>
      </c>
      <c r="F2833" s="4">
        <v>36.23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</v>
      </c>
      <c r="U2833" s="5">
        <f t="shared" ref="U2833:U2835" si="1236">C2833+2</f>
        <v>41225</v>
      </c>
    </row>
    <row r="2834" ht="12.75" customHeight="1">
      <c r="A2834" s="4">
        <v>1358.0</v>
      </c>
      <c r="B2834" s="4">
        <v>9894.0</v>
      </c>
      <c r="C2834" s="5">
        <f>DATE(2012,12,31)-1384</f>
        <v>39890</v>
      </c>
      <c r="D2834" s="4" t="s">
        <v>30</v>
      </c>
      <c r="E2834" s="4">
        <v>16.0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6"/>
        <v>39892</v>
      </c>
    </row>
    <row r="2835" ht="12.75" customHeight="1">
      <c r="A2835" s="4">
        <v>1426.0</v>
      </c>
      <c r="B2835" s="4">
        <v>10338.0</v>
      </c>
      <c r="C2835" s="5">
        <f>DATE(2012,12,31)-536</f>
        <v>40738</v>
      </c>
      <c r="D2835" s="4" t="s">
        <v>45</v>
      </c>
      <c r="E2835" s="4">
        <v>7.0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6"/>
        <v>40740</v>
      </c>
    </row>
    <row r="2836" ht="12.75" customHeight="1">
      <c r="A2836" s="4">
        <v>1528.0</v>
      </c>
      <c r="B2836" s="4">
        <v>11011.0</v>
      </c>
      <c r="C2836" s="5">
        <f>DATE(2012,12,31)-232</f>
        <v>41042</v>
      </c>
      <c r="D2836" s="4" t="s">
        <v>30</v>
      </c>
      <c r="E2836" s="4">
        <v>36.0</v>
      </c>
      <c r="F2836" s="4">
        <v>305.62</v>
      </c>
      <c r="G2836" s="4">
        <v>0.1</v>
      </c>
      <c r="H2836" s="4" t="s">
        <v>22</v>
      </c>
      <c r="I2836" s="6">
        <v>-129.86</v>
      </c>
      <c r="J2836" s="4">
        <v>8.74</v>
      </c>
      <c r="K2836" s="4">
        <v>8.29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ht="12.75" customHeight="1">
      <c r="A2837" s="4">
        <v>1564.0</v>
      </c>
      <c r="B2837" s="4">
        <v>11271.0</v>
      </c>
      <c r="C2837" s="5">
        <f>DATE(2012,12,31)-440</f>
        <v>40834</v>
      </c>
      <c r="D2837" s="4" t="s">
        <v>30</v>
      </c>
      <c r="E2837" s="4">
        <v>46.0</v>
      </c>
      <c r="F2837" s="4">
        <v>157.87</v>
      </c>
      <c r="G2837" s="4">
        <v>0.0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</v>
      </c>
      <c r="U2837" s="5">
        <f t="shared" ref="U2837:U2838" si="1237">C2837+2</f>
        <v>40836</v>
      </c>
    </row>
    <row r="2838" ht="12.75" customHeight="1">
      <c r="A2838" s="4">
        <v>1665.0</v>
      </c>
      <c r="B2838" s="4">
        <v>12005.0</v>
      </c>
      <c r="C2838" s="5">
        <f>DATE(2012,12,31)-190</f>
        <v>41084</v>
      </c>
      <c r="D2838" s="4" t="s">
        <v>45</v>
      </c>
      <c r="E2838" s="4">
        <v>4.0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0.57</v>
      </c>
      <c r="U2838" s="5">
        <f t="shared" si="1237"/>
        <v>41086</v>
      </c>
    </row>
    <row r="2839" ht="12.75" customHeight="1">
      <c r="A2839" s="4">
        <v>1846.0</v>
      </c>
      <c r="B2839" s="4">
        <v>13284.0</v>
      </c>
      <c r="C2839" s="5">
        <f t="shared" ref="C2839:C2840" si="1238">DATE(2012,12,31)-141</f>
        <v>41133</v>
      </c>
      <c r="D2839" s="4" t="s">
        <v>30</v>
      </c>
      <c r="E2839" s="4">
        <v>22.0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19.99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9">C2839+1</f>
        <v>41134</v>
      </c>
    </row>
    <row r="2840" ht="12.75" customHeight="1">
      <c r="A2840" s="4">
        <v>1847.0</v>
      </c>
      <c r="B2840" s="4">
        <v>13284.0</v>
      </c>
      <c r="C2840" s="5">
        <f t="shared" si="1238"/>
        <v>41133</v>
      </c>
      <c r="D2840" s="4" t="s">
        <v>30</v>
      </c>
      <c r="E2840" s="4">
        <v>49.0</v>
      </c>
      <c r="F2840" s="4">
        <v>1662.57</v>
      </c>
      <c r="G2840" s="4">
        <v>0.1</v>
      </c>
      <c r="H2840" s="4" t="s">
        <v>22</v>
      </c>
      <c r="I2840" s="6">
        <v>674.9935</v>
      </c>
      <c r="J2840" s="4">
        <v>37.7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9"/>
        <v>41134</v>
      </c>
    </row>
    <row r="2841" ht="12.75" customHeight="1">
      <c r="A2841" s="4">
        <v>1871.0</v>
      </c>
      <c r="B2841" s="4">
        <v>13476.0</v>
      </c>
      <c r="C2841" s="5">
        <f>DATE(2012,12,31)-807</f>
        <v>40467</v>
      </c>
      <c r="D2841" s="4" t="s">
        <v>45</v>
      </c>
      <c r="E2841" s="4">
        <v>3.0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19.99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9"/>
        <v>40468</v>
      </c>
    </row>
    <row r="2842" ht="12.75" customHeight="1">
      <c r="A2842" s="4">
        <v>1988.0</v>
      </c>
      <c r="B2842" s="4">
        <v>14182.0</v>
      </c>
      <c r="C2842" s="5">
        <f>DATE(2012,12,31)-1288</f>
        <v>39986</v>
      </c>
      <c r="D2842" s="4" t="s">
        <v>21</v>
      </c>
      <c r="E2842" s="4">
        <v>23.0</v>
      </c>
      <c r="F2842" s="4">
        <v>2433.55</v>
      </c>
      <c r="G2842" s="4">
        <v>0.05</v>
      </c>
      <c r="H2842" s="4" t="s">
        <v>22</v>
      </c>
      <c r="I2842" s="6">
        <v>355.932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0.57</v>
      </c>
      <c r="U2842" s="5">
        <f>C2842+5</f>
        <v>39991</v>
      </c>
    </row>
    <row r="2843" ht="12.75" customHeight="1">
      <c r="A2843" s="4">
        <v>2015.0</v>
      </c>
      <c r="B2843" s="4">
        <v>14375.0</v>
      </c>
      <c r="C2843" s="5">
        <f>DATE(2012,12,31)-1065</f>
        <v>40209</v>
      </c>
      <c r="D2843" s="4" t="s">
        <v>63</v>
      </c>
      <c r="E2843" s="4">
        <v>50.0</v>
      </c>
      <c r="F2843" s="4">
        <v>3872.38</v>
      </c>
      <c r="G2843" s="4">
        <v>0.1</v>
      </c>
      <c r="H2843" s="4" t="s">
        <v>22</v>
      </c>
      <c r="I2843" s="6">
        <v>1110.35</v>
      </c>
      <c r="J2843" s="4">
        <v>83.93</v>
      </c>
      <c r="K2843" s="4">
        <v>19.99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ht="12.75" customHeight="1">
      <c r="A2844" s="4">
        <v>2036.0</v>
      </c>
      <c r="B2844" s="4">
        <v>14528.0</v>
      </c>
      <c r="C2844" s="5">
        <f>DATE(2012,12,31)-1295</f>
        <v>39979</v>
      </c>
      <c r="D2844" s="4" t="s">
        <v>78</v>
      </c>
      <c r="E2844" s="4">
        <v>14.0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ht="12.75" customHeight="1">
      <c r="A2845" s="4">
        <v>2052.0</v>
      </c>
      <c r="B2845" s="4">
        <v>14662.0</v>
      </c>
      <c r="C2845" s="5">
        <f t="shared" ref="C2845:C2846" si="1240">DATE(2012,12,31)-411</f>
        <v>40863</v>
      </c>
      <c r="D2845" s="4" t="s">
        <v>30</v>
      </c>
      <c r="E2845" s="4">
        <v>48.0</v>
      </c>
      <c r="F2845" s="4">
        <v>257.75</v>
      </c>
      <c r="G2845" s="4">
        <v>0.02</v>
      </c>
      <c r="H2845" s="4" t="s">
        <v>22</v>
      </c>
      <c r="I2845" s="6">
        <v>-66.26</v>
      </c>
      <c r="J2845" s="4">
        <v>4.98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1">C2845+1</f>
        <v>40864</v>
      </c>
    </row>
    <row r="2846" ht="12.75" customHeight="1">
      <c r="A2846" s="4">
        <v>2054.0</v>
      </c>
      <c r="B2846" s="4">
        <v>14662.0</v>
      </c>
      <c r="C2846" s="5">
        <f t="shared" si="1240"/>
        <v>40863</v>
      </c>
      <c r="D2846" s="4" t="s">
        <v>30</v>
      </c>
      <c r="E2846" s="4">
        <v>48.0</v>
      </c>
      <c r="F2846" s="4">
        <v>5139.882</v>
      </c>
      <c r="G2846" s="4">
        <v>0.01</v>
      </c>
      <c r="H2846" s="4" t="s">
        <v>22</v>
      </c>
      <c r="I2846" s="6">
        <v>1275.669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1"/>
        <v>40864</v>
      </c>
    </row>
    <row r="2847" ht="12.75" customHeight="1">
      <c r="A2847" s="4">
        <v>2100.0</v>
      </c>
      <c r="B2847" s="4">
        <v>15009.0</v>
      </c>
      <c r="C2847" s="5">
        <f>DATE(2012,12,31)-376</f>
        <v>40898</v>
      </c>
      <c r="D2847" s="4" t="s">
        <v>45</v>
      </c>
      <c r="E2847" s="4">
        <v>28.0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1"/>
        <v>40899</v>
      </c>
    </row>
    <row r="2848" ht="12.75" customHeight="1">
      <c r="A2848" s="4">
        <v>2167.0</v>
      </c>
      <c r="B2848" s="4">
        <v>15619.0</v>
      </c>
      <c r="C2848" s="5">
        <f>DATE(2012,12,31)-552</f>
        <v>40722</v>
      </c>
      <c r="D2848" s="4" t="s">
        <v>21</v>
      </c>
      <c r="E2848" s="4">
        <v>36.0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ht="12.75" customHeight="1">
      <c r="A2849" s="4">
        <v>2212.0</v>
      </c>
      <c r="B2849" s="4">
        <v>15971.0</v>
      </c>
      <c r="C2849" s="5">
        <f>DATE(2012,12,31)-1235</f>
        <v>40039</v>
      </c>
      <c r="D2849" s="4" t="s">
        <v>30</v>
      </c>
      <c r="E2849" s="4">
        <v>15.0</v>
      </c>
      <c r="F2849" s="4">
        <v>2172.515</v>
      </c>
      <c r="G2849" s="4">
        <v>0.06</v>
      </c>
      <c r="H2849" s="4" t="s">
        <v>22</v>
      </c>
      <c r="I2849" s="6">
        <v>32.751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0.57</v>
      </c>
      <c r="U2849" s="5">
        <f t="shared" ref="U2849:U2851" si="1242">C2849+1</f>
        <v>40040</v>
      </c>
    </row>
    <row r="2850" ht="12.75" customHeight="1">
      <c r="A2850" s="4">
        <v>2217.0</v>
      </c>
      <c r="B2850" s="4">
        <v>16036.0</v>
      </c>
      <c r="C2850" s="5">
        <f>DATE(2012,12,31)-361</f>
        <v>40913</v>
      </c>
      <c r="D2850" s="4" t="s">
        <v>63</v>
      </c>
      <c r="E2850" s="4">
        <v>28.0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35.0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2"/>
        <v>40914</v>
      </c>
    </row>
    <row r="2851" ht="12.75" customHeight="1">
      <c r="A2851" s="4">
        <v>2284.0</v>
      </c>
      <c r="B2851" s="4">
        <v>16452.0</v>
      </c>
      <c r="C2851" s="5">
        <f>DATE(2012,12,31)-130</f>
        <v>41144</v>
      </c>
      <c r="D2851" s="4" t="s">
        <v>63</v>
      </c>
      <c r="E2851" s="4">
        <v>46.0</v>
      </c>
      <c r="F2851" s="4">
        <v>134.42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</v>
      </c>
      <c r="U2851" s="5">
        <f t="shared" si="1242"/>
        <v>41145</v>
      </c>
    </row>
    <row r="2852" ht="12.75" customHeight="1">
      <c r="A2852" s="4">
        <v>2299.0</v>
      </c>
      <c r="B2852" s="4">
        <v>16548.0</v>
      </c>
      <c r="C2852" s="5">
        <f>DATE(2012,12,31)-330</f>
        <v>40944</v>
      </c>
      <c r="D2852" s="4" t="s">
        <v>45</v>
      </c>
      <c r="E2852" s="4">
        <v>40.0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69.0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3">C2852+2</f>
        <v>40946</v>
      </c>
    </row>
    <row r="2853" ht="12.75" customHeight="1">
      <c r="A2853" s="4">
        <v>2400.0</v>
      </c>
      <c r="B2853" s="4">
        <v>17408.0</v>
      </c>
      <c r="C2853" s="5">
        <f>DATE(2012,12,31)-1314</f>
        <v>39960</v>
      </c>
      <c r="D2853" s="4" t="s">
        <v>45</v>
      </c>
      <c r="E2853" s="4">
        <v>26.0</v>
      </c>
      <c r="F2853" s="4">
        <v>149.7</v>
      </c>
      <c r="G2853" s="4">
        <v>0.05</v>
      </c>
      <c r="H2853" s="4" t="s">
        <v>56</v>
      </c>
      <c r="I2853" s="6">
        <v>-132.6295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3"/>
        <v>39962</v>
      </c>
    </row>
    <row r="2854" ht="12.75" customHeight="1">
      <c r="A2854" s="4">
        <v>2403.0</v>
      </c>
      <c r="B2854" s="4">
        <v>17410.0</v>
      </c>
      <c r="C2854" s="5">
        <f>DATE(2012,12,31)-852</f>
        <v>40422</v>
      </c>
      <c r="D2854" s="4" t="s">
        <v>21</v>
      </c>
      <c r="E2854" s="4">
        <v>5.0</v>
      </c>
      <c r="F2854" s="4">
        <v>284.6735</v>
      </c>
      <c r="G2854" s="4">
        <v>0.04</v>
      </c>
      <c r="H2854" s="4" t="s">
        <v>56</v>
      </c>
      <c r="I2854" s="6">
        <v>-247.236</v>
      </c>
      <c r="J2854" s="4">
        <v>65.99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</v>
      </c>
      <c r="U2854" s="5">
        <f>C2854+5</f>
        <v>40427</v>
      </c>
    </row>
    <row r="2855" ht="12.75" customHeight="1">
      <c r="A2855" s="4">
        <v>2606.0</v>
      </c>
      <c r="B2855" s="4">
        <v>18849.0</v>
      </c>
      <c r="C2855" s="5">
        <f>DATE(2012,12,31)-148</f>
        <v>41126</v>
      </c>
      <c r="D2855" s="4" t="s">
        <v>30</v>
      </c>
      <c r="E2855" s="4">
        <v>6.0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</v>
      </c>
      <c r="U2855" s="5">
        <f>C2855+0</f>
        <v>41126</v>
      </c>
    </row>
    <row r="2856" ht="12.75" customHeight="1">
      <c r="A2856" s="4">
        <v>2649.0</v>
      </c>
      <c r="B2856" s="4">
        <v>19174.0</v>
      </c>
      <c r="C2856" s="5">
        <f t="shared" ref="C2856:C2858" si="1244">DATE(2012,12,31)-899</f>
        <v>40375</v>
      </c>
      <c r="D2856" s="4" t="s">
        <v>63</v>
      </c>
      <c r="E2856" s="4">
        <v>35.0</v>
      </c>
      <c r="F2856" s="4">
        <v>5311.973</v>
      </c>
      <c r="G2856" s="4">
        <v>0.02</v>
      </c>
      <c r="H2856" s="4" t="s">
        <v>22</v>
      </c>
      <c r="I2856" s="6">
        <v>1142.082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0.57</v>
      </c>
      <c r="U2856" s="5">
        <f>C2856+2</f>
        <v>40377</v>
      </c>
    </row>
    <row r="2857" ht="12.75" customHeight="1">
      <c r="A2857" s="4">
        <v>2650.0</v>
      </c>
      <c r="B2857" s="4">
        <v>19174.0</v>
      </c>
      <c r="C2857" s="5">
        <f t="shared" si="1244"/>
        <v>40375</v>
      </c>
      <c r="D2857" s="4" t="s">
        <v>63</v>
      </c>
      <c r="E2857" s="4">
        <v>19.0</v>
      </c>
      <c r="F2857" s="4">
        <v>1061.905</v>
      </c>
      <c r="G2857" s="4">
        <v>0.06</v>
      </c>
      <c r="H2857" s="4" t="s">
        <v>22</v>
      </c>
      <c r="I2857" s="6">
        <v>152.748</v>
      </c>
      <c r="J2857" s="4">
        <v>65.99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</v>
      </c>
      <c r="U2857" s="5">
        <f>C2857+1</f>
        <v>40376</v>
      </c>
    </row>
    <row r="2858" ht="12.75" customHeight="1">
      <c r="A2858" s="4">
        <v>2651.0</v>
      </c>
      <c r="B2858" s="4">
        <v>19174.0</v>
      </c>
      <c r="C2858" s="5">
        <f t="shared" si="1244"/>
        <v>40375</v>
      </c>
      <c r="D2858" s="4" t="s">
        <v>63</v>
      </c>
      <c r="E2858" s="4">
        <v>48.0</v>
      </c>
      <c r="F2858" s="4">
        <v>1631.04</v>
      </c>
      <c r="G2858" s="4">
        <v>0.0</v>
      </c>
      <c r="H2858" s="4" t="s">
        <v>22</v>
      </c>
      <c r="I2858" s="6">
        <v>665.63</v>
      </c>
      <c r="J2858" s="4">
        <v>33.98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5">C2858+2</f>
        <v>40377</v>
      </c>
    </row>
    <row r="2859" ht="12.75" customHeight="1">
      <c r="A2859" s="4">
        <v>2784.0</v>
      </c>
      <c r="B2859" s="4">
        <v>20098.0</v>
      </c>
      <c r="C2859" s="5">
        <f>DATE(2012,12,31)-389</f>
        <v>40885</v>
      </c>
      <c r="D2859" s="4" t="s">
        <v>63</v>
      </c>
      <c r="E2859" s="4">
        <v>11.0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5"/>
        <v>40887</v>
      </c>
    </row>
    <row r="2860" ht="12.75" customHeight="1">
      <c r="A2860" s="4">
        <v>2874.0</v>
      </c>
      <c r="B2860" s="4">
        <v>20711.0</v>
      </c>
      <c r="C2860" s="5">
        <f>DATE(2012,12,31)-1442</f>
        <v>39832</v>
      </c>
      <c r="D2860" s="4" t="s">
        <v>78</v>
      </c>
      <c r="E2860" s="4">
        <v>5.0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9.03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5"/>
        <v>39834</v>
      </c>
    </row>
    <row r="2861" ht="12.75" customHeight="1">
      <c r="A2861" s="4">
        <v>2898.0</v>
      </c>
      <c r="B2861" s="4">
        <v>20932.0</v>
      </c>
      <c r="C2861" s="5">
        <f>DATE(2012,12,31)-155</f>
        <v>41119</v>
      </c>
      <c r="D2861" s="4" t="s">
        <v>30</v>
      </c>
      <c r="E2861" s="4">
        <v>38.0</v>
      </c>
      <c r="F2861" s="4">
        <v>123.26</v>
      </c>
      <c r="G2861" s="4">
        <v>0.02</v>
      </c>
      <c r="H2861" s="4" t="s">
        <v>22</v>
      </c>
      <c r="I2861" s="6">
        <v>-4.73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5"/>
        <v>41121</v>
      </c>
    </row>
    <row r="2862" ht="12.75" customHeight="1">
      <c r="A2862" s="4">
        <v>2943.0</v>
      </c>
      <c r="B2862" s="4">
        <v>21319.0</v>
      </c>
      <c r="C2862" s="5">
        <f>DATE(2012,12,31)-977</f>
        <v>40297</v>
      </c>
      <c r="D2862" s="4" t="s">
        <v>63</v>
      </c>
      <c r="E2862" s="4">
        <v>5.0</v>
      </c>
      <c r="F2862" s="4">
        <v>2361.1</v>
      </c>
      <c r="G2862" s="4">
        <v>0.01</v>
      </c>
      <c r="H2862" s="4" t="s">
        <v>31</v>
      </c>
      <c r="I2862" s="6">
        <v>-1042.714</v>
      </c>
      <c r="J2862" s="4">
        <v>449.99</v>
      </c>
      <c r="K2862" s="4">
        <v>49.0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ht="12.75" customHeight="1">
      <c r="A2863" s="4">
        <v>2947.0</v>
      </c>
      <c r="B2863" s="4">
        <v>21344.0</v>
      </c>
      <c r="C2863" s="5">
        <f>DATE(2012,12,31)-22</f>
        <v>41252</v>
      </c>
      <c r="D2863" s="4" t="s">
        <v>21</v>
      </c>
      <c r="E2863" s="4">
        <v>48.0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ht="12.75" customHeight="1">
      <c r="A2864" s="4">
        <v>2980.0</v>
      </c>
      <c r="B2864" s="4">
        <v>21538.0</v>
      </c>
      <c r="C2864" s="5">
        <f>DATE(2012,12,31)-1253</f>
        <v>40021</v>
      </c>
      <c r="D2864" s="4" t="s">
        <v>63</v>
      </c>
      <c r="E2864" s="4">
        <v>31.0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0.58</v>
      </c>
      <c r="U2864" s="5">
        <f>C2864+2</f>
        <v>40023</v>
      </c>
    </row>
    <row r="2865" ht="12.75" customHeight="1">
      <c r="A2865" s="4">
        <v>2990.0</v>
      </c>
      <c r="B2865" s="4">
        <v>21574.0</v>
      </c>
      <c r="C2865" s="5">
        <f>DATE(2012,12,31)-1081</f>
        <v>40193</v>
      </c>
      <c r="D2865" s="4" t="s">
        <v>78</v>
      </c>
      <c r="E2865" s="4">
        <v>33.0</v>
      </c>
      <c r="F2865" s="4">
        <v>77.55</v>
      </c>
      <c r="G2865" s="4">
        <v>0.0</v>
      </c>
      <c r="H2865" s="4" t="s">
        <v>22</v>
      </c>
      <c r="I2865" s="6">
        <v>-37.2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</v>
      </c>
      <c r="U2865" s="5">
        <f>C2865+1</f>
        <v>40194</v>
      </c>
    </row>
    <row r="2866" ht="12.75" customHeight="1">
      <c r="A2866" s="4">
        <v>3102.0</v>
      </c>
      <c r="B2866" s="4">
        <v>22242.0</v>
      </c>
      <c r="C2866" s="5">
        <f>DATE(2012,12,31)-1295</f>
        <v>39979</v>
      </c>
      <c r="D2866" s="4" t="s">
        <v>45</v>
      </c>
      <c r="E2866" s="4">
        <v>50.0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9.54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6">C2866+2</f>
        <v>39981</v>
      </c>
    </row>
    <row r="2867" ht="12.75" customHeight="1">
      <c r="A2867" s="4">
        <v>3215.0</v>
      </c>
      <c r="B2867" s="4">
        <v>23078.0</v>
      </c>
      <c r="C2867" s="5">
        <f>DATE(2012,12,31)-473</f>
        <v>40801</v>
      </c>
      <c r="D2867" s="4" t="s">
        <v>63</v>
      </c>
      <c r="E2867" s="4">
        <v>8.0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19.99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6"/>
        <v>40803</v>
      </c>
    </row>
    <row r="2868" ht="12.75" customHeight="1">
      <c r="A2868" s="4">
        <v>3250.0</v>
      </c>
      <c r="B2868" s="4">
        <v>23271.0</v>
      </c>
      <c r="C2868" s="5">
        <f>DATE(2012,12,31)-789</f>
        <v>40485</v>
      </c>
      <c r="D2868" s="4" t="s">
        <v>30</v>
      </c>
      <c r="E2868" s="4">
        <v>1.0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ht="12.75" customHeight="1">
      <c r="A2869" s="4">
        <v>3280.0</v>
      </c>
      <c r="B2869" s="4">
        <v>23428.0</v>
      </c>
      <c r="C2869" s="5">
        <f>DATE(2012,12,31)-64</f>
        <v>41210</v>
      </c>
      <c r="D2869" s="4" t="s">
        <v>30</v>
      </c>
      <c r="E2869" s="4">
        <v>41.0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7">C2869+2</f>
        <v>41212</v>
      </c>
    </row>
    <row r="2870" ht="12.75" customHeight="1">
      <c r="A2870" s="4">
        <v>3307.0</v>
      </c>
      <c r="B2870" s="4">
        <v>23619.0</v>
      </c>
      <c r="C2870" s="5">
        <f t="shared" ref="C2870:C2871" si="1248">DATE(2012,12,31)-10</f>
        <v>41264</v>
      </c>
      <c r="D2870" s="4" t="s">
        <v>63</v>
      </c>
      <c r="E2870" s="4">
        <v>45.0</v>
      </c>
      <c r="F2870" s="4">
        <v>285.91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7"/>
        <v>41266</v>
      </c>
    </row>
    <row r="2871" ht="12.75" customHeight="1">
      <c r="A2871" s="4">
        <v>3308.0</v>
      </c>
      <c r="B2871" s="4">
        <v>23619.0</v>
      </c>
      <c r="C2871" s="5">
        <f t="shared" si="1248"/>
        <v>41264</v>
      </c>
      <c r="D2871" s="4" t="s">
        <v>63</v>
      </c>
      <c r="E2871" s="4">
        <v>48.0</v>
      </c>
      <c r="F2871" s="4">
        <v>2611.8035</v>
      </c>
      <c r="G2871" s="4">
        <v>0.06</v>
      </c>
      <c r="H2871" s="4" t="s">
        <v>22</v>
      </c>
      <c r="I2871" s="6">
        <v>644.8140000000001</v>
      </c>
      <c r="J2871" s="4">
        <v>65.99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</v>
      </c>
      <c r="U2871" s="5">
        <f>C2871+3</f>
        <v>41267</v>
      </c>
    </row>
    <row r="2872" ht="12.75" customHeight="1">
      <c r="A2872" s="4">
        <v>3364.0</v>
      </c>
      <c r="B2872" s="4">
        <v>24067.0</v>
      </c>
      <c r="C2872" s="5">
        <f>DATE(2012,12,31)-131</f>
        <v>41143</v>
      </c>
      <c r="D2872" s="4" t="s">
        <v>30</v>
      </c>
      <c r="E2872" s="4">
        <v>30.0</v>
      </c>
      <c r="F2872" s="4">
        <v>128.25</v>
      </c>
      <c r="G2872" s="4">
        <v>0.07</v>
      </c>
      <c r="H2872" s="4" t="s">
        <v>56</v>
      </c>
      <c r="I2872" s="6">
        <v>-95.312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9">C2872+2</f>
        <v>41145</v>
      </c>
    </row>
    <row r="2873" ht="12.75" customHeight="1">
      <c r="A2873" s="4">
        <v>3524.0</v>
      </c>
      <c r="B2873" s="4">
        <v>25092.0</v>
      </c>
      <c r="C2873" s="5">
        <f t="shared" ref="C2873:C2874" si="1250">DATE(2012,12,31)-761</f>
        <v>40513</v>
      </c>
      <c r="D2873" s="4" t="s">
        <v>30</v>
      </c>
      <c r="E2873" s="4">
        <v>6.0</v>
      </c>
      <c r="F2873" s="4">
        <v>141.27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9"/>
        <v>40515</v>
      </c>
    </row>
    <row r="2874" ht="12.75" customHeight="1">
      <c r="A2874" s="4">
        <v>3525.0</v>
      </c>
      <c r="B2874" s="4">
        <v>25092.0</v>
      </c>
      <c r="C2874" s="5">
        <f t="shared" si="1250"/>
        <v>40513</v>
      </c>
      <c r="D2874" s="4" t="s">
        <v>30</v>
      </c>
      <c r="E2874" s="4">
        <v>9.0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9"/>
        <v>40515</v>
      </c>
    </row>
    <row r="2875" ht="12.75" customHeight="1">
      <c r="A2875" s="4">
        <v>3546.0</v>
      </c>
      <c r="B2875" s="4">
        <v>25280.0</v>
      </c>
      <c r="C2875" s="5">
        <f>DATE(2012,12,31)-590</f>
        <v>40684</v>
      </c>
      <c r="D2875" s="4" t="s">
        <v>45</v>
      </c>
      <c r="E2875" s="4">
        <v>47.0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0.57</v>
      </c>
      <c r="U2875" s="5">
        <f>C2875+1</f>
        <v>40685</v>
      </c>
    </row>
    <row r="2876" ht="12.75" customHeight="1">
      <c r="A2876" s="4">
        <v>3565.0</v>
      </c>
      <c r="B2876" s="4">
        <v>25442.0</v>
      </c>
      <c r="C2876" s="5">
        <f>DATE(2012,12,31)-361</f>
        <v>40913</v>
      </c>
      <c r="D2876" s="4" t="s">
        <v>30</v>
      </c>
      <c r="E2876" s="4">
        <v>40.0</v>
      </c>
      <c r="F2876" s="4">
        <v>453.98</v>
      </c>
      <c r="G2876" s="4">
        <v>0.02</v>
      </c>
      <c r="H2876" s="4" t="s">
        <v>22</v>
      </c>
      <c r="I2876" s="6">
        <v>67.6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ht="12.75" customHeight="1">
      <c r="A2877" s="4">
        <v>3599.0</v>
      </c>
      <c r="B2877" s="4">
        <v>25666.0</v>
      </c>
      <c r="C2877" s="5">
        <f>DATE(2012,12,31)-120</f>
        <v>41154</v>
      </c>
      <c r="D2877" s="4" t="s">
        <v>78</v>
      </c>
      <c r="E2877" s="4">
        <v>36.0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19.99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ht="12.75" customHeight="1">
      <c r="A2878" s="4">
        <v>3600.0</v>
      </c>
      <c r="B2878" s="4">
        <v>25669.0</v>
      </c>
      <c r="C2878" s="5">
        <f>DATE(2012,12,31)-715</f>
        <v>40559</v>
      </c>
      <c r="D2878" s="4" t="s">
        <v>78</v>
      </c>
      <c r="E2878" s="4">
        <v>12.0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ht="12.75" customHeight="1">
      <c r="A2879" s="4">
        <v>3669.0</v>
      </c>
      <c r="B2879" s="4">
        <v>26276.0</v>
      </c>
      <c r="C2879" s="5">
        <f>DATE(2012,12,31)-841</f>
        <v>40433</v>
      </c>
      <c r="D2879" s="4" t="s">
        <v>21</v>
      </c>
      <c r="E2879" s="4">
        <v>21.0</v>
      </c>
      <c r="F2879" s="4">
        <v>3685.38</v>
      </c>
      <c r="G2879" s="4">
        <v>0.0</v>
      </c>
      <c r="H2879" s="4" t="s">
        <v>56</v>
      </c>
      <c r="I2879" s="6">
        <v>1040.62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ht="12.75" customHeight="1">
      <c r="A2880" s="4">
        <v>3766.0</v>
      </c>
      <c r="B2880" s="4">
        <v>26912.0</v>
      </c>
      <c r="C2880" s="5">
        <f>DATE(2012,12,31)-248</f>
        <v>41026</v>
      </c>
      <c r="D2880" s="4" t="s">
        <v>21</v>
      </c>
      <c r="E2880" s="4">
        <v>21.0</v>
      </c>
      <c r="F2880" s="4">
        <v>1090.11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ht="12.75" customHeight="1">
      <c r="A2881" s="4">
        <v>3809.0</v>
      </c>
      <c r="B2881" s="4">
        <v>27137.0</v>
      </c>
      <c r="C2881" s="5">
        <f>DATE(2012,12,31)-366</f>
        <v>40908</v>
      </c>
      <c r="D2881" s="4" t="s">
        <v>30</v>
      </c>
      <c r="E2881" s="4">
        <v>2.0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</v>
      </c>
      <c r="U2881" s="5">
        <f>C2881+2</f>
        <v>40910</v>
      </c>
    </row>
    <row r="2882" ht="12.75" customHeight="1">
      <c r="A2882" s="4">
        <v>3836.0</v>
      </c>
      <c r="B2882" s="4">
        <v>27335.0</v>
      </c>
      <c r="C2882" s="5">
        <f>DATE(2012,12,31)-786</f>
        <v>40488</v>
      </c>
      <c r="D2882" s="4" t="s">
        <v>21</v>
      </c>
      <c r="E2882" s="4">
        <v>23.0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ht="12.75" customHeight="1">
      <c r="A2883" s="4">
        <v>3846.0</v>
      </c>
      <c r="B2883" s="4">
        <v>27430.0</v>
      </c>
      <c r="C2883" s="5">
        <f>DATE(2012,12,31)-700</f>
        <v>40574</v>
      </c>
      <c r="D2883" s="4" t="s">
        <v>30</v>
      </c>
      <c r="E2883" s="4">
        <v>3.0</v>
      </c>
      <c r="F2883" s="4">
        <v>315.27</v>
      </c>
      <c r="G2883" s="4">
        <v>0.08</v>
      </c>
      <c r="H2883" s="4" t="s">
        <v>22</v>
      </c>
      <c r="I2883" s="6">
        <v>278.6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1">C2883+1</f>
        <v>40575</v>
      </c>
    </row>
    <row r="2884" ht="12.75" customHeight="1">
      <c r="A2884" s="4">
        <v>3866.0</v>
      </c>
      <c r="B2884" s="4">
        <v>27559.0</v>
      </c>
      <c r="C2884" s="5">
        <f>DATE(2012,12,31)-428</f>
        <v>40846</v>
      </c>
      <c r="D2884" s="4" t="s">
        <v>30</v>
      </c>
      <c r="E2884" s="4">
        <v>38.0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1"/>
        <v>40847</v>
      </c>
    </row>
    <row r="2885" ht="12.75" customHeight="1">
      <c r="A2885" s="4">
        <v>4195.0</v>
      </c>
      <c r="B2885" s="4">
        <v>29797.0</v>
      </c>
      <c r="C2885" s="5">
        <f>DATE(2012,12,31)-919</f>
        <v>40355</v>
      </c>
      <c r="D2885" s="4" t="s">
        <v>30</v>
      </c>
      <c r="E2885" s="4">
        <v>50.0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0.58</v>
      </c>
      <c r="U2885" s="5">
        <f t="shared" ref="U2885:U2886" si="1252">C2885+2</f>
        <v>40357</v>
      </c>
    </row>
    <row r="2886" ht="12.75" customHeight="1">
      <c r="A2886" s="4">
        <v>4227.0</v>
      </c>
      <c r="B2886" s="4">
        <v>30023.0</v>
      </c>
      <c r="C2886" s="5">
        <f>DATE(2012,12,31)-808</f>
        <v>40466</v>
      </c>
      <c r="D2886" s="4" t="s">
        <v>21</v>
      </c>
      <c r="E2886" s="4">
        <v>28.0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2"/>
        <v>40468</v>
      </c>
    </row>
    <row r="2887" ht="12.75" customHeight="1">
      <c r="A2887" s="4">
        <v>4445.0</v>
      </c>
      <c r="B2887" s="4">
        <v>31682.0</v>
      </c>
      <c r="C2887" s="5">
        <f>DATE(2012,12,31)-1028</f>
        <v>40246</v>
      </c>
      <c r="D2887" s="4" t="s">
        <v>21</v>
      </c>
      <c r="E2887" s="4">
        <v>42.0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ht="12.75" customHeight="1">
      <c r="A2888" s="4">
        <v>4467.0</v>
      </c>
      <c r="B2888" s="4">
        <v>31845.0</v>
      </c>
      <c r="C2888" s="5">
        <f>DATE(2012,12,31)-70</f>
        <v>41204</v>
      </c>
      <c r="D2888" s="4" t="s">
        <v>21</v>
      </c>
      <c r="E2888" s="4">
        <v>36.0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0.57</v>
      </c>
      <c r="U2888" s="5">
        <f>C2888+0</f>
        <v>41204</v>
      </c>
    </row>
    <row r="2889" ht="12.75" customHeight="1">
      <c r="A2889" s="4">
        <v>4553.0</v>
      </c>
      <c r="B2889" s="4">
        <v>32389.0</v>
      </c>
      <c r="C2889" s="5">
        <f>DATE(2012,12,31)-792</f>
        <v>40482</v>
      </c>
      <c r="D2889" s="4" t="s">
        <v>63</v>
      </c>
      <c r="E2889" s="4">
        <v>23.0</v>
      </c>
      <c r="F2889" s="4">
        <v>934.07</v>
      </c>
      <c r="G2889" s="4">
        <v>0.07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</v>
      </c>
      <c r="U2889" s="5">
        <f t="shared" ref="U2889:U2890" si="1253">C2889+2</f>
        <v>40484</v>
      </c>
    </row>
    <row r="2890" ht="12.75" customHeight="1">
      <c r="A2890" s="4">
        <v>4556.0</v>
      </c>
      <c r="B2890" s="4">
        <v>32420.0</v>
      </c>
      <c r="C2890" s="5">
        <f>DATE(2012,12,31)-1251</f>
        <v>40023</v>
      </c>
      <c r="D2890" s="4" t="s">
        <v>63</v>
      </c>
      <c r="E2890" s="4">
        <v>35.0</v>
      </c>
      <c r="F2890" s="4">
        <v>175.08</v>
      </c>
      <c r="G2890" s="4">
        <v>0.07</v>
      </c>
      <c r="H2890" s="4" t="s">
        <v>22</v>
      </c>
      <c r="I2890" s="6">
        <v>-168.72</v>
      </c>
      <c r="J2890" s="4">
        <v>5.02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3"/>
        <v>40025</v>
      </c>
    </row>
    <row r="2891" ht="12.75" customHeight="1">
      <c r="A2891" s="4">
        <v>4732.0</v>
      </c>
      <c r="B2891" s="4">
        <v>33699.0</v>
      </c>
      <c r="C2891" s="5">
        <f t="shared" ref="C2891:C2892" si="1254">DATE(2012,12,31)-1254</f>
        <v>40020</v>
      </c>
      <c r="D2891" s="4" t="s">
        <v>21</v>
      </c>
      <c r="E2891" s="4">
        <v>18.0</v>
      </c>
      <c r="F2891" s="4">
        <v>290.07</v>
      </c>
      <c r="G2891" s="4">
        <v>0.07</v>
      </c>
      <c r="H2891" s="4" t="s">
        <v>22</v>
      </c>
      <c r="I2891" s="6">
        <v>-114.2</v>
      </c>
      <c r="J2891" s="4">
        <v>16.74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ht="12.75" customHeight="1">
      <c r="A2892" s="4">
        <v>4734.0</v>
      </c>
      <c r="B2892" s="4">
        <v>33699.0</v>
      </c>
      <c r="C2892" s="5">
        <f t="shared" si="1254"/>
        <v>40020</v>
      </c>
      <c r="D2892" s="4" t="s">
        <v>21</v>
      </c>
      <c r="E2892" s="4">
        <v>31.0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ht="12.75" customHeight="1">
      <c r="A2893" s="4">
        <v>4754.0</v>
      </c>
      <c r="B2893" s="4">
        <v>33797.0</v>
      </c>
      <c r="C2893" s="5">
        <f t="shared" ref="C2893:C2895" si="1255">DATE(2012,12,31)-1450</f>
        <v>39824</v>
      </c>
      <c r="D2893" s="4" t="s">
        <v>45</v>
      </c>
      <c r="E2893" s="4">
        <v>20.0</v>
      </c>
      <c r="F2893" s="4">
        <v>4531.34</v>
      </c>
      <c r="G2893" s="4">
        <v>0.08</v>
      </c>
      <c r="H2893" s="4" t="s">
        <v>31</v>
      </c>
      <c r="I2893" s="6">
        <v>653.68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0.57</v>
      </c>
      <c r="U2893" s="5">
        <f>C2893+0</f>
        <v>39824</v>
      </c>
    </row>
    <row r="2894" ht="12.75" customHeight="1">
      <c r="A2894" s="4">
        <v>4755.0</v>
      </c>
      <c r="B2894" s="4">
        <v>33797.0</v>
      </c>
      <c r="C2894" s="5">
        <f t="shared" si="1255"/>
        <v>39824</v>
      </c>
      <c r="D2894" s="4" t="s">
        <v>45</v>
      </c>
      <c r="E2894" s="4">
        <v>44.0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6">C2894+1</f>
        <v>39825</v>
      </c>
    </row>
    <row r="2895" ht="12.75" customHeight="1">
      <c r="A2895" s="4">
        <v>4756.0</v>
      </c>
      <c r="B2895" s="4">
        <v>33797.0</v>
      </c>
      <c r="C2895" s="5">
        <f t="shared" si="1255"/>
        <v>39824</v>
      </c>
      <c r="D2895" s="4" t="s">
        <v>45</v>
      </c>
      <c r="E2895" s="4">
        <v>18.0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6"/>
        <v>39825</v>
      </c>
    </row>
    <row r="2896" ht="12.75" customHeight="1">
      <c r="A2896" s="4">
        <v>4782.0</v>
      </c>
      <c r="B2896" s="4">
        <v>33958.0</v>
      </c>
      <c r="C2896" s="5">
        <f t="shared" ref="C2896:C2897" si="1257">DATE(2012,12,31)-698</f>
        <v>40576</v>
      </c>
      <c r="D2896" s="4" t="s">
        <v>78</v>
      </c>
      <c r="E2896" s="4">
        <v>27.0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8">C2896+2</f>
        <v>40578</v>
      </c>
    </row>
    <row r="2897" ht="12.75" customHeight="1">
      <c r="A2897" s="4">
        <v>4783.0</v>
      </c>
      <c r="B2897" s="4">
        <v>33958.0</v>
      </c>
      <c r="C2897" s="5">
        <f t="shared" si="1257"/>
        <v>40576</v>
      </c>
      <c r="D2897" s="4" t="s">
        <v>78</v>
      </c>
      <c r="E2897" s="4">
        <v>14.0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</v>
      </c>
      <c r="U2897" s="5">
        <f t="shared" si="1258"/>
        <v>40578</v>
      </c>
    </row>
    <row r="2898" ht="12.75" customHeight="1">
      <c r="A2898" s="4">
        <v>5119.0</v>
      </c>
      <c r="B2898" s="4">
        <v>36454.0</v>
      </c>
      <c r="C2898" s="5">
        <f>DATE(2012,12,31)-682</f>
        <v>40592</v>
      </c>
      <c r="D2898" s="4" t="s">
        <v>78</v>
      </c>
      <c r="E2898" s="4">
        <v>8.0</v>
      </c>
      <c r="F2898" s="4">
        <v>69.57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ht="12.75" customHeight="1">
      <c r="A2899" s="4">
        <v>5134.0</v>
      </c>
      <c r="B2899" s="4">
        <v>36609.0</v>
      </c>
      <c r="C2899" s="5">
        <f>DATE(2012,12,31)-1327</f>
        <v>39947</v>
      </c>
      <c r="D2899" s="4" t="s">
        <v>45</v>
      </c>
      <c r="E2899" s="4">
        <v>8.0</v>
      </c>
      <c r="F2899" s="4">
        <v>45.73</v>
      </c>
      <c r="G2899" s="4">
        <v>0.0</v>
      </c>
      <c r="H2899" s="4" t="s">
        <v>22</v>
      </c>
      <c r="I2899" s="6">
        <v>-23.29</v>
      </c>
      <c r="J2899" s="4">
        <v>4.98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ht="12.75" customHeight="1">
      <c r="A2900" s="4">
        <v>5170.0</v>
      </c>
      <c r="B2900" s="4">
        <v>36800.0</v>
      </c>
      <c r="C2900" s="5">
        <f>DATE(2012,12,31)-843</f>
        <v>40431</v>
      </c>
      <c r="D2900" s="4" t="s">
        <v>30</v>
      </c>
      <c r="E2900" s="4">
        <v>4.0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ht="12.75" customHeight="1">
      <c r="A2901" s="4">
        <v>5239.0</v>
      </c>
      <c r="B2901" s="4">
        <v>37287.0</v>
      </c>
      <c r="C2901" s="5">
        <f>DATE(2012,12,31)-60</f>
        <v>41214</v>
      </c>
      <c r="D2901" s="4" t="s">
        <v>21</v>
      </c>
      <c r="E2901" s="4">
        <v>18.0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ht="12.75" customHeight="1">
      <c r="A2902" s="4">
        <v>5262.0</v>
      </c>
      <c r="B2902" s="4">
        <v>37443.0</v>
      </c>
      <c r="C2902" s="5">
        <f>DATE(2012,12,31)-991</f>
        <v>40283</v>
      </c>
      <c r="D2902" s="4" t="s">
        <v>45</v>
      </c>
      <c r="E2902" s="4">
        <v>50.0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0.57</v>
      </c>
      <c r="U2902" s="5">
        <f>C2902+0</f>
        <v>40283</v>
      </c>
    </row>
    <row r="2903" ht="12.75" customHeight="1">
      <c r="A2903" s="4">
        <v>5311.0</v>
      </c>
      <c r="B2903" s="4">
        <v>37792.0</v>
      </c>
      <c r="C2903" s="5">
        <f>DATE(2012,12,31)-368</f>
        <v>40906</v>
      </c>
      <c r="D2903" s="4" t="s">
        <v>30</v>
      </c>
      <c r="E2903" s="4">
        <v>49.0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9">C2903+2</f>
        <v>40908</v>
      </c>
    </row>
    <row r="2904" ht="12.75" customHeight="1">
      <c r="A2904" s="4">
        <v>5321.0</v>
      </c>
      <c r="B2904" s="4">
        <v>37829.0</v>
      </c>
      <c r="C2904" s="5">
        <f>DATE(2012,12,31)-824</f>
        <v>40450</v>
      </c>
      <c r="D2904" s="4" t="s">
        <v>45</v>
      </c>
      <c r="E2904" s="4">
        <v>28.0</v>
      </c>
      <c r="F2904" s="4">
        <v>257.9</v>
      </c>
      <c r="G2904" s="4">
        <v>0.0</v>
      </c>
      <c r="H2904" s="4" t="s">
        <v>22</v>
      </c>
      <c r="I2904" s="6">
        <v>-84.69</v>
      </c>
      <c r="J2904" s="4">
        <v>8.74</v>
      </c>
      <c r="K2904" s="4">
        <v>8.29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9"/>
        <v>40452</v>
      </c>
    </row>
    <row r="2905" ht="12.75" customHeight="1">
      <c r="A2905" s="4">
        <v>5361.0</v>
      </c>
      <c r="B2905" s="4">
        <v>38087.0</v>
      </c>
      <c r="C2905" s="5">
        <f>DATE(2012,12,31)-1409</f>
        <v>39865</v>
      </c>
      <c r="D2905" s="4" t="s">
        <v>78</v>
      </c>
      <c r="E2905" s="4">
        <v>18.0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19.99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60">C2905+0</f>
        <v>39865</v>
      </c>
    </row>
    <row r="2906" ht="12.75" customHeight="1">
      <c r="A2906" s="4">
        <v>5393.0</v>
      </c>
      <c r="B2906" s="4">
        <v>38341.0</v>
      </c>
      <c r="C2906" s="5">
        <f>DATE(2012,12,31)-1323</f>
        <v>39951</v>
      </c>
      <c r="D2906" s="4" t="s">
        <v>63</v>
      </c>
      <c r="E2906" s="4">
        <v>38.0</v>
      </c>
      <c r="F2906" s="4">
        <v>623.1265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0.57</v>
      </c>
      <c r="U2906" s="5">
        <f t="shared" si="1260"/>
        <v>39951</v>
      </c>
    </row>
    <row r="2907" ht="12.75" customHeight="1">
      <c r="A2907" s="4">
        <v>5436.0</v>
      </c>
      <c r="B2907" s="4">
        <v>38599.0</v>
      </c>
      <c r="C2907" s="5">
        <f>DATE(2012,12,31)-1162</f>
        <v>40112</v>
      </c>
      <c r="D2907" s="4" t="s">
        <v>30</v>
      </c>
      <c r="E2907" s="4">
        <v>27.0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35.0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ht="12.75" customHeight="1">
      <c r="A2908" s="4">
        <v>5451.0</v>
      </c>
      <c r="B2908" s="4">
        <v>38721.0</v>
      </c>
      <c r="C2908" s="5">
        <f t="shared" ref="C2908:C2909" si="1261">DATE(2012,12,31)-1378</f>
        <v>39896</v>
      </c>
      <c r="D2908" s="4" t="s">
        <v>78</v>
      </c>
      <c r="E2908" s="4">
        <v>17.0</v>
      </c>
      <c r="F2908" s="4">
        <v>107.56</v>
      </c>
      <c r="G2908" s="4">
        <v>0.1</v>
      </c>
      <c r="H2908" s="4" t="s">
        <v>22</v>
      </c>
      <c r="I2908" s="6">
        <v>-25.0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ht="12.75" customHeight="1">
      <c r="A2909" s="4">
        <v>5452.0</v>
      </c>
      <c r="B2909" s="4">
        <v>38721.0</v>
      </c>
      <c r="C2909" s="5">
        <f t="shared" si="1261"/>
        <v>39896</v>
      </c>
      <c r="D2909" s="4" t="s">
        <v>78</v>
      </c>
      <c r="E2909" s="4">
        <v>15.0</v>
      </c>
      <c r="F2909" s="4">
        <v>1386.69</v>
      </c>
      <c r="G2909" s="4">
        <v>0.05</v>
      </c>
      <c r="H2909" s="4" t="s">
        <v>22</v>
      </c>
      <c r="I2909" s="6">
        <v>363.0</v>
      </c>
      <c r="J2909" s="4">
        <v>90.48</v>
      </c>
      <c r="K2909" s="4">
        <v>19.99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2">C2909+1</f>
        <v>39897</v>
      </c>
    </row>
    <row r="2910" ht="12.75" customHeight="1">
      <c r="A2910" s="4">
        <v>5494.0</v>
      </c>
      <c r="B2910" s="4">
        <v>38976.0</v>
      </c>
      <c r="C2910" s="5">
        <f>DATE(2012,12,31)-737</f>
        <v>40537</v>
      </c>
      <c r="D2910" s="4" t="s">
        <v>78</v>
      </c>
      <c r="E2910" s="4">
        <v>16.0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49.0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2"/>
        <v>40538</v>
      </c>
    </row>
    <row r="2911" ht="12.75" customHeight="1">
      <c r="A2911" s="4">
        <v>5549.0</v>
      </c>
      <c r="B2911" s="4">
        <v>39300.0</v>
      </c>
      <c r="C2911" s="5">
        <f>DATE(2012,12,31)-253</f>
        <v>41021</v>
      </c>
      <c r="D2911" s="4" t="s">
        <v>30</v>
      </c>
      <c r="E2911" s="4">
        <v>9.0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3">C2911+2</f>
        <v>41023</v>
      </c>
    </row>
    <row r="2912" ht="12.75" customHeight="1">
      <c r="A2912" s="4">
        <v>5564.0</v>
      </c>
      <c r="B2912" s="4">
        <v>39393.0</v>
      </c>
      <c r="C2912" s="5">
        <f>DATE(2012,12,31)-775</f>
        <v>40499</v>
      </c>
      <c r="D2912" s="4" t="s">
        <v>45</v>
      </c>
      <c r="E2912" s="4">
        <v>23.0</v>
      </c>
      <c r="F2912" s="4">
        <v>218.29</v>
      </c>
      <c r="G2912" s="4">
        <v>0.09</v>
      </c>
      <c r="H2912" s="4" t="s">
        <v>22</v>
      </c>
      <c r="I2912" s="6">
        <v>-32.4336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3"/>
        <v>40501</v>
      </c>
    </row>
    <row r="2913" ht="12.75" customHeight="1">
      <c r="A2913" s="4">
        <v>5624.0</v>
      </c>
      <c r="B2913" s="4">
        <v>39842.0</v>
      </c>
      <c r="C2913" s="5">
        <f>DATE(2012,12,31)-743</f>
        <v>40531</v>
      </c>
      <c r="D2913" s="4" t="s">
        <v>63</v>
      </c>
      <c r="E2913" s="4">
        <v>38.0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ht="12.75" customHeight="1">
      <c r="A2914" s="4">
        <v>5888.0</v>
      </c>
      <c r="B2914" s="4">
        <v>41766.0</v>
      </c>
      <c r="C2914" s="5">
        <f>DATE(2012,12,31)-111</f>
        <v>41163</v>
      </c>
      <c r="D2914" s="4" t="s">
        <v>78</v>
      </c>
      <c r="E2914" s="4">
        <v>7.0</v>
      </c>
      <c r="F2914" s="4">
        <v>273.42</v>
      </c>
      <c r="G2914" s="4">
        <v>0.0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ht="12.75" customHeight="1">
      <c r="A2915" s="4">
        <v>5960.0</v>
      </c>
      <c r="B2915" s="4">
        <v>42306.0</v>
      </c>
      <c r="C2915" s="5">
        <f>DATE(2012,12,31)-108</f>
        <v>41166</v>
      </c>
      <c r="D2915" s="4" t="s">
        <v>30</v>
      </c>
      <c r="E2915" s="4">
        <v>19.0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0.57</v>
      </c>
      <c r="U2915" s="5">
        <f t="shared" ref="U2915:U2916" si="1264">C2915+2</f>
        <v>41168</v>
      </c>
    </row>
    <row r="2916" ht="12.75" customHeight="1">
      <c r="A2916" s="4">
        <v>5999.0</v>
      </c>
      <c r="B2916" s="4">
        <v>42528.0</v>
      </c>
      <c r="C2916" s="5">
        <f t="shared" ref="C2916:C2918" si="1265">DATE(2012,12,31)-1042</f>
        <v>40232</v>
      </c>
      <c r="D2916" s="4" t="s">
        <v>63</v>
      </c>
      <c r="E2916" s="4">
        <v>37.0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19.99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4"/>
        <v>40234</v>
      </c>
    </row>
    <row r="2917" ht="12.75" customHeight="1">
      <c r="A2917" s="4">
        <v>6000.0</v>
      </c>
      <c r="B2917" s="4">
        <v>42528.0</v>
      </c>
      <c r="C2917" s="5">
        <f t="shared" si="1265"/>
        <v>40232</v>
      </c>
      <c r="D2917" s="4" t="s">
        <v>63</v>
      </c>
      <c r="E2917" s="4">
        <v>13.0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6">C2917+1</f>
        <v>40233</v>
      </c>
    </row>
    <row r="2918" ht="12.75" customHeight="1">
      <c r="A2918" s="4">
        <v>6001.0</v>
      </c>
      <c r="B2918" s="4">
        <v>42528.0</v>
      </c>
      <c r="C2918" s="5">
        <f t="shared" si="1265"/>
        <v>40232</v>
      </c>
      <c r="D2918" s="4" t="s">
        <v>63</v>
      </c>
      <c r="E2918" s="4">
        <v>31.0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9.78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6"/>
        <v>40233</v>
      </c>
    </row>
    <row r="2919" ht="12.75" customHeight="1">
      <c r="A2919" s="4">
        <v>6115.0</v>
      </c>
      <c r="B2919" s="4">
        <v>43302.0</v>
      </c>
      <c r="C2919" s="5">
        <f>DATE(2012,12,31)-496</f>
        <v>40778</v>
      </c>
      <c r="D2919" s="4" t="s">
        <v>21</v>
      </c>
      <c r="E2919" s="4">
        <v>39.0</v>
      </c>
      <c r="F2919" s="4">
        <v>6888.663500000001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5.0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ht="12.75" customHeight="1">
      <c r="A2920" s="4">
        <v>6180.0</v>
      </c>
      <c r="B2920" s="4">
        <v>43813.0</v>
      </c>
      <c r="C2920" s="5">
        <f>DATE(2012,12,31)-1259</f>
        <v>40015</v>
      </c>
      <c r="D2920" s="4" t="s">
        <v>45</v>
      </c>
      <c r="E2920" s="4">
        <v>23.0</v>
      </c>
      <c r="F2920" s="4">
        <v>384.21</v>
      </c>
      <c r="G2920" s="4">
        <v>0.04</v>
      </c>
      <c r="H2920" s="4" t="s">
        <v>22</v>
      </c>
      <c r="I2920" s="6">
        <v>-266.22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ht="12.75" customHeight="1">
      <c r="A2921" s="4">
        <v>6256.0</v>
      </c>
      <c r="B2921" s="4">
        <v>44292.0</v>
      </c>
      <c r="C2921" s="5">
        <f>DATE(2012,12,31)-566</f>
        <v>40708</v>
      </c>
      <c r="D2921" s="4" t="s">
        <v>45</v>
      </c>
      <c r="E2921" s="4">
        <v>1.0</v>
      </c>
      <c r="F2921" s="4">
        <v>10.48</v>
      </c>
      <c r="G2921" s="4">
        <v>0.0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ht="12.75" customHeight="1">
      <c r="A2922" s="4">
        <v>6298.0</v>
      </c>
      <c r="B2922" s="4">
        <v>44583.0</v>
      </c>
      <c r="C2922" s="5">
        <f>DATE(2012,12,31)-1184</f>
        <v>40090</v>
      </c>
      <c r="D2922" s="4" t="s">
        <v>21</v>
      </c>
      <c r="E2922" s="4">
        <v>6.0</v>
      </c>
      <c r="F2922" s="4">
        <v>17.59</v>
      </c>
      <c r="G2922" s="4">
        <v>0.1</v>
      </c>
      <c r="H2922" s="4" t="s">
        <v>22</v>
      </c>
      <c r="I2922" s="6">
        <v>-19.74</v>
      </c>
      <c r="J2922" s="4">
        <v>2.22</v>
      </c>
      <c r="K2922" s="4">
        <v>5.0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</v>
      </c>
      <c r="U2922" s="5">
        <f>C2922+5</f>
        <v>40095</v>
      </c>
    </row>
    <row r="2923" ht="12.75" customHeight="1">
      <c r="A2923" s="4">
        <v>6391.0</v>
      </c>
      <c r="B2923" s="4">
        <v>45381.0</v>
      </c>
      <c r="C2923" s="5">
        <f t="shared" ref="C2923:C2924" si="1267">DATE(2012,12,31)-498</f>
        <v>40776</v>
      </c>
      <c r="D2923" s="4" t="s">
        <v>63</v>
      </c>
      <c r="E2923" s="4">
        <v>1.0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ht="12.75" customHeight="1">
      <c r="A2924" s="4">
        <v>6543.0</v>
      </c>
      <c r="B2924" s="4">
        <v>46531.0</v>
      </c>
      <c r="C2924" s="5">
        <f t="shared" si="1267"/>
        <v>40776</v>
      </c>
      <c r="D2924" s="4" t="s">
        <v>21</v>
      </c>
      <c r="E2924" s="4">
        <v>39.0</v>
      </c>
      <c r="F2924" s="4">
        <v>4211.0</v>
      </c>
      <c r="G2924" s="4">
        <v>0.07</v>
      </c>
      <c r="H2924" s="4" t="s">
        <v>22</v>
      </c>
      <c r="I2924" s="6">
        <v>-270.573732</v>
      </c>
      <c r="J2924" s="4">
        <v>111.96</v>
      </c>
      <c r="K2924" s="4">
        <v>69.0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ht="12.75" customHeight="1">
      <c r="A2925" s="4">
        <v>6626.0</v>
      </c>
      <c r="B2925" s="4">
        <v>47136.0</v>
      </c>
      <c r="C2925" s="5">
        <f>DATE(2012,12,31)-707</f>
        <v>40567</v>
      </c>
      <c r="D2925" s="4" t="s">
        <v>63</v>
      </c>
      <c r="E2925" s="4">
        <v>18.0</v>
      </c>
      <c r="F2925" s="4">
        <v>89.99</v>
      </c>
      <c r="G2925" s="4">
        <v>0.0</v>
      </c>
      <c r="H2925" s="4" t="s">
        <v>22</v>
      </c>
      <c r="I2925" s="6">
        <v>18.955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8">C2925+2</f>
        <v>40569</v>
      </c>
    </row>
    <row r="2926" ht="12.75" customHeight="1">
      <c r="A2926" s="4">
        <v>6711.0</v>
      </c>
      <c r="B2926" s="4">
        <v>47813.0</v>
      </c>
      <c r="C2926" s="5">
        <f>DATE(2012,12,31)-1222</f>
        <v>40052</v>
      </c>
      <c r="D2926" s="4" t="s">
        <v>30</v>
      </c>
      <c r="E2926" s="4">
        <v>50.0</v>
      </c>
      <c r="F2926" s="4">
        <v>343.0</v>
      </c>
      <c r="G2926" s="4">
        <v>0.0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8"/>
        <v>40054</v>
      </c>
    </row>
    <row r="2927" ht="12.75" customHeight="1">
      <c r="A2927" s="4">
        <v>6778.0</v>
      </c>
      <c r="B2927" s="4">
        <v>48263.0</v>
      </c>
      <c r="C2927" s="5">
        <f>DATE(2012,12,31)-1028</f>
        <v>40246</v>
      </c>
      <c r="D2927" s="4" t="s">
        <v>63</v>
      </c>
      <c r="E2927" s="4">
        <v>28.0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9">C2927+1</f>
        <v>40247</v>
      </c>
    </row>
    <row r="2928" ht="12.75" customHeight="1">
      <c r="A2928" s="4">
        <v>6805.0</v>
      </c>
      <c r="B2928" s="4">
        <v>48455.0</v>
      </c>
      <c r="C2928" s="5">
        <f>DATE(2012,12,31)-1308</f>
        <v>39966</v>
      </c>
      <c r="D2928" s="4" t="s">
        <v>78</v>
      </c>
      <c r="E2928" s="4">
        <v>17.0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0.57</v>
      </c>
      <c r="U2928" s="5">
        <f t="shared" si="1269"/>
        <v>39967</v>
      </c>
    </row>
    <row r="2929" ht="12.75" customHeight="1">
      <c r="A2929" s="4">
        <v>6840.0</v>
      </c>
      <c r="B2929" s="4">
        <v>48706.0</v>
      </c>
      <c r="C2929" s="5">
        <f>DATE(2012,12,31)-62</f>
        <v>41212</v>
      </c>
      <c r="D2929" s="4" t="s">
        <v>21</v>
      </c>
      <c r="E2929" s="4">
        <v>18.0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ht="12.75" customHeight="1">
      <c r="A2930" s="4">
        <v>6865.0</v>
      </c>
      <c r="B2930" s="4">
        <v>48929.0</v>
      </c>
      <c r="C2930" s="5">
        <f>DATE(2012,12,31)-1166</f>
        <v>40108</v>
      </c>
      <c r="D2930" s="4" t="s">
        <v>30</v>
      </c>
      <c r="E2930" s="4">
        <v>45.0</v>
      </c>
      <c r="F2930" s="4">
        <v>2096.7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ht="12.75" customHeight="1">
      <c r="A2931" s="4">
        <v>6873.0</v>
      </c>
      <c r="B2931" s="4">
        <v>48963.0</v>
      </c>
      <c r="C2931" s="5">
        <f>DATE(2012,12,31)-804</f>
        <v>40470</v>
      </c>
      <c r="D2931" s="4" t="s">
        <v>45</v>
      </c>
      <c r="E2931" s="4">
        <v>12.0</v>
      </c>
      <c r="F2931" s="4">
        <v>81.87</v>
      </c>
      <c r="G2931" s="4">
        <v>0.07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ht="12.75" customHeight="1">
      <c r="A2932" s="4">
        <v>6909.0</v>
      </c>
      <c r="B2932" s="4">
        <v>49312.0</v>
      </c>
      <c r="C2932" s="5">
        <f>DATE(2012,12,31)-679</f>
        <v>40595</v>
      </c>
      <c r="D2932" s="4" t="s">
        <v>78</v>
      </c>
      <c r="E2932" s="4">
        <v>30.0</v>
      </c>
      <c r="F2932" s="4">
        <v>164.41</v>
      </c>
      <c r="G2932" s="4">
        <v>0.0</v>
      </c>
      <c r="H2932" s="4" t="s">
        <v>22</v>
      </c>
      <c r="I2932" s="6">
        <v>-128.52</v>
      </c>
      <c r="J2932" s="4">
        <v>4.98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ht="12.75" customHeight="1">
      <c r="A2933" s="4">
        <v>6931.0</v>
      </c>
      <c r="B2933" s="4">
        <v>49472.0</v>
      </c>
      <c r="C2933" s="5">
        <f t="shared" ref="C2933:C2934" si="1270">DATE(2012,12,31)-899</f>
        <v>40375</v>
      </c>
      <c r="D2933" s="4" t="s">
        <v>21</v>
      </c>
      <c r="E2933" s="4">
        <v>15.0</v>
      </c>
      <c r="F2933" s="4">
        <v>144.14</v>
      </c>
      <c r="G2933" s="4">
        <v>0.05</v>
      </c>
      <c r="H2933" s="4" t="s">
        <v>22</v>
      </c>
      <c r="I2933" s="6">
        <v>12.09</v>
      </c>
      <c r="J2933" s="4">
        <v>9.78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ht="12.75" customHeight="1">
      <c r="A2934" s="4">
        <v>6932.0</v>
      </c>
      <c r="B2934" s="4">
        <v>49472.0</v>
      </c>
      <c r="C2934" s="5">
        <f t="shared" si="1270"/>
        <v>40375</v>
      </c>
      <c r="D2934" s="4" t="s">
        <v>21</v>
      </c>
      <c r="E2934" s="4">
        <v>9.0</v>
      </c>
      <c r="F2934" s="4">
        <v>30.65</v>
      </c>
      <c r="G2934" s="4">
        <v>0.03</v>
      </c>
      <c r="H2934" s="4" t="s">
        <v>22</v>
      </c>
      <c r="I2934" s="6">
        <v>0.08000000000000007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ht="12.75" customHeight="1">
      <c r="A2935" s="4">
        <v>6981.0</v>
      </c>
      <c r="B2935" s="4">
        <v>49891.0</v>
      </c>
      <c r="C2935" s="5">
        <f>DATE(2012,12,31)-1206</f>
        <v>40068</v>
      </c>
      <c r="D2935" s="4" t="s">
        <v>45</v>
      </c>
      <c r="E2935" s="4">
        <v>40.0</v>
      </c>
      <c r="F2935" s="4">
        <v>259.83</v>
      </c>
      <c r="G2935" s="4">
        <v>0.0</v>
      </c>
      <c r="H2935" s="4" t="s">
        <v>22</v>
      </c>
      <c r="I2935" s="6">
        <v>80.733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ht="12.75" customHeight="1">
      <c r="A2936" s="4">
        <v>6995.0</v>
      </c>
      <c r="B2936" s="4">
        <v>49984.0</v>
      </c>
      <c r="C2936" s="5">
        <f t="shared" ref="C2936:C2937" si="1271">DATE(2012,12,31)-1330</f>
        <v>39944</v>
      </c>
      <c r="D2936" s="4" t="s">
        <v>21</v>
      </c>
      <c r="E2936" s="4">
        <v>14.0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ht="12.75" customHeight="1">
      <c r="A2937" s="4">
        <v>6996.0</v>
      </c>
      <c r="B2937" s="4">
        <v>49984.0</v>
      </c>
      <c r="C2937" s="5">
        <f t="shared" si="1271"/>
        <v>39944</v>
      </c>
      <c r="D2937" s="4" t="s">
        <v>21</v>
      </c>
      <c r="E2937" s="4">
        <v>32.0</v>
      </c>
      <c r="F2937" s="4">
        <v>227.87</v>
      </c>
      <c r="G2937" s="4">
        <v>0.02</v>
      </c>
      <c r="H2937" s="4" t="s">
        <v>22</v>
      </c>
      <c r="I2937" s="6">
        <v>-130.61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ht="12.75" customHeight="1">
      <c r="A2938" s="4">
        <v>7074.0</v>
      </c>
      <c r="B2938" s="4">
        <v>50471.0</v>
      </c>
      <c r="C2938" s="5">
        <f>DATE(2012,12,31)-363</f>
        <v>40911</v>
      </c>
      <c r="D2938" s="4" t="s">
        <v>21</v>
      </c>
      <c r="E2938" s="4">
        <v>25.0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ht="12.75" customHeight="1">
      <c r="A2939" s="4">
        <v>7176.0</v>
      </c>
      <c r="B2939" s="4">
        <v>51203.0</v>
      </c>
      <c r="C2939" s="5">
        <f>DATE(2012,12,31)-376</f>
        <v>40898</v>
      </c>
      <c r="D2939" s="4" t="s">
        <v>30</v>
      </c>
      <c r="E2939" s="4">
        <v>49.0</v>
      </c>
      <c r="F2939" s="4">
        <v>26622.55</v>
      </c>
      <c r="G2939" s="4">
        <v>0.08</v>
      </c>
      <c r="H2939" s="4" t="s">
        <v>31</v>
      </c>
      <c r="I2939" s="6">
        <v>3146.2155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ht="12.75" customHeight="1">
      <c r="A2940" s="4">
        <v>7179.0</v>
      </c>
      <c r="B2940" s="4">
        <v>51233.0</v>
      </c>
      <c r="C2940" s="5">
        <f>DATE(2012,12,31)-1118</f>
        <v>40156</v>
      </c>
      <c r="D2940" s="4" t="s">
        <v>21</v>
      </c>
      <c r="E2940" s="4">
        <v>3.0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4.0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ht="12.75" customHeight="1">
      <c r="A2941" s="4">
        <v>7322.0</v>
      </c>
      <c r="B2941" s="4">
        <v>52195.0</v>
      </c>
      <c r="C2941" s="5">
        <f>DATE(2012,12,31)-432</f>
        <v>40842</v>
      </c>
      <c r="D2941" s="4" t="s">
        <v>45</v>
      </c>
      <c r="E2941" s="4">
        <v>19.0</v>
      </c>
      <c r="F2941" s="4">
        <v>267.0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ht="12.75" customHeight="1">
      <c r="A2942" s="4">
        <v>7445.0</v>
      </c>
      <c r="B2942" s="4">
        <v>53123.0</v>
      </c>
      <c r="C2942" s="5">
        <f>DATE(2012,12,31)-1218</f>
        <v>40056</v>
      </c>
      <c r="D2942" s="4" t="s">
        <v>45</v>
      </c>
      <c r="E2942" s="4">
        <v>25.0</v>
      </c>
      <c r="F2942" s="4">
        <v>265.75</v>
      </c>
      <c r="G2942" s="4">
        <v>0.06</v>
      </c>
      <c r="H2942" s="4" t="s">
        <v>22</v>
      </c>
      <c r="I2942" s="6">
        <v>13.9995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ht="12.75" customHeight="1">
      <c r="A2943" s="4">
        <v>7622.0</v>
      </c>
      <c r="B2943" s="4">
        <v>54533.0</v>
      </c>
      <c r="C2943" s="5">
        <f>DATE(2012,12,31)-379</f>
        <v>40895</v>
      </c>
      <c r="D2943" s="4" t="s">
        <v>63</v>
      </c>
      <c r="E2943" s="4">
        <v>21.0</v>
      </c>
      <c r="F2943" s="4">
        <v>162.25</v>
      </c>
      <c r="G2943" s="4">
        <v>0.03</v>
      </c>
      <c r="H2943" s="4" t="s">
        <v>22</v>
      </c>
      <c r="I2943" s="6">
        <v>-42.7225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2">C2943+1</f>
        <v>40896</v>
      </c>
    </row>
    <row r="2944" ht="12.75" customHeight="1">
      <c r="A2944" s="4">
        <v>7691.0</v>
      </c>
      <c r="B2944" s="4">
        <v>55139.0</v>
      </c>
      <c r="C2944" s="5">
        <f>DATE(2012,12,31)-1079</f>
        <v>40195</v>
      </c>
      <c r="D2944" s="4" t="s">
        <v>45</v>
      </c>
      <c r="E2944" s="4">
        <v>26.0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2"/>
        <v>40196</v>
      </c>
    </row>
    <row r="2945" ht="12.75" customHeight="1">
      <c r="A2945" s="4">
        <v>7734.0</v>
      </c>
      <c r="B2945" s="4">
        <v>55392.0</v>
      </c>
      <c r="C2945" s="5">
        <f>DATE(2012,12,31)-1304</f>
        <v>39970</v>
      </c>
      <c r="D2945" s="4" t="s">
        <v>78</v>
      </c>
      <c r="E2945" s="4">
        <v>39.0</v>
      </c>
      <c r="F2945" s="4">
        <v>104.97</v>
      </c>
      <c r="G2945" s="4">
        <v>0.07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ht="12.75" customHeight="1">
      <c r="A2946" s="4">
        <v>7768.0</v>
      </c>
      <c r="B2946" s="4">
        <v>55616.0</v>
      </c>
      <c r="C2946" s="5">
        <f>DATE(2012,12,31)-603</f>
        <v>40671</v>
      </c>
      <c r="D2946" s="4" t="s">
        <v>30</v>
      </c>
      <c r="E2946" s="4">
        <v>29.0</v>
      </c>
      <c r="F2946" s="4">
        <v>184.74</v>
      </c>
      <c r="G2946" s="4">
        <v>0.0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ht="12.75" customHeight="1">
      <c r="A2947" s="4">
        <v>7822.0</v>
      </c>
      <c r="B2947" s="4">
        <v>55909.0</v>
      </c>
      <c r="C2947" s="5">
        <f>DATE(2012,12,31)-1322</f>
        <v>39952</v>
      </c>
      <c r="D2947" s="4" t="s">
        <v>21</v>
      </c>
      <c r="E2947" s="4">
        <v>3.0</v>
      </c>
      <c r="F2947" s="4">
        <v>526.76</v>
      </c>
      <c r="G2947" s="4">
        <v>0.07</v>
      </c>
      <c r="H2947" s="4" t="s">
        <v>22</v>
      </c>
      <c r="I2947" s="6">
        <v>-93.8285</v>
      </c>
      <c r="J2947" s="4">
        <v>172.99</v>
      </c>
      <c r="K2947" s="4">
        <v>19.99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ht="12.75" customHeight="1">
      <c r="A2948" s="4">
        <v>7826.0</v>
      </c>
      <c r="B2948" s="4">
        <v>55938.0</v>
      </c>
      <c r="C2948" s="5">
        <f>DATE(2012,12,31)-182</f>
        <v>41092</v>
      </c>
      <c r="D2948" s="4" t="s">
        <v>45</v>
      </c>
      <c r="E2948" s="4">
        <v>18.0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35.0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ht="12.75" customHeight="1">
      <c r="A2949" s="4">
        <v>7857.0</v>
      </c>
      <c r="B2949" s="4">
        <v>56166.0</v>
      </c>
      <c r="C2949" s="5">
        <f>DATE(2012,12,31)-880</f>
        <v>40394</v>
      </c>
      <c r="D2949" s="4" t="s">
        <v>78</v>
      </c>
      <c r="E2949" s="4">
        <v>45.0</v>
      </c>
      <c r="F2949" s="4">
        <v>615.68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ht="12.75" customHeight="1">
      <c r="A2950" s="4">
        <v>7902.0</v>
      </c>
      <c r="B2950" s="4">
        <v>56515.0</v>
      </c>
      <c r="C2950" s="5">
        <f>DATE(2012,12,31)-584</f>
        <v>40690</v>
      </c>
      <c r="D2950" s="4" t="s">
        <v>63</v>
      </c>
      <c r="E2950" s="4">
        <v>18.0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ht="12.75" customHeight="1">
      <c r="A2951" s="4">
        <v>7945.0</v>
      </c>
      <c r="B2951" s="4">
        <v>56768.0</v>
      </c>
      <c r="C2951" s="5">
        <f>DATE(2012,12,31)-523</f>
        <v>40751</v>
      </c>
      <c r="D2951" s="4" t="s">
        <v>78</v>
      </c>
      <c r="E2951" s="4">
        <v>37.0</v>
      </c>
      <c r="F2951" s="4">
        <v>111.39</v>
      </c>
      <c r="G2951" s="4">
        <v>0.02</v>
      </c>
      <c r="H2951" s="4" t="s">
        <v>22</v>
      </c>
      <c r="I2951" s="6">
        <v>20.06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</v>
      </c>
      <c r="U2951" s="5">
        <f t="shared" ref="U2951:U2952" si="1273">C2951+2</f>
        <v>40753</v>
      </c>
    </row>
    <row r="2952" ht="12.75" customHeight="1">
      <c r="A2952" s="4">
        <v>7961.0</v>
      </c>
      <c r="B2952" s="4">
        <v>56900.0</v>
      </c>
      <c r="C2952" s="5">
        <f>DATE(2012,12,31)-401</f>
        <v>40873</v>
      </c>
      <c r="D2952" s="4" t="s">
        <v>45</v>
      </c>
      <c r="E2952" s="4">
        <v>16.0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3"/>
        <v>40875</v>
      </c>
    </row>
    <row r="2953" ht="12.75" customHeight="1">
      <c r="A2953" s="4">
        <v>7974.0</v>
      </c>
      <c r="B2953" s="4">
        <v>57056.0</v>
      </c>
      <c r="C2953" s="5">
        <f>DATE(2012,12,31)-53</f>
        <v>41221</v>
      </c>
      <c r="D2953" s="4" t="s">
        <v>21</v>
      </c>
      <c r="E2953" s="4">
        <v>29.0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ht="12.75" customHeight="1">
      <c r="A2954" s="4">
        <v>8170.0</v>
      </c>
      <c r="B2954" s="4">
        <v>58372.0</v>
      </c>
      <c r="C2954" s="5">
        <f>DATE(2012,12,31)-639</f>
        <v>40635</v>
      </c>
      <c r="D2954" s="4" t="s">
        <v>21</v>
      </c>
      <c r="E2954" s="4">
        <v>48.0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ht="12.75" customHeight="1">
      <c r="A2955" s="4">
        <v>8297.0</v>
      </c>
      <c r="B2955" s="4">
        <v>59270.0</v>
      </c>
      <c r="C2955" s="5">
        <f t="shared" ref="C2955:C2956" si="1274">DATE(2012,12,31)-1085</f>
        <v>40189</v>
      </c>
      <c r="D2955" s="4" t="s">
        <v>30</v>
      </c>
      <c r="E2955" s="4">
        <v>48.0</v>
      </c>
      <c r="F2955" s="4">
        <v>25312.0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ht="12.75" customHeight="1">
      <c r="A2956" s="4">
        <v>8298.0</v>
      </c>
      <c r="B2956" s="4">
        <v>59270.0</v>
      </c>
      <c r="C2956" s="5">
        <f t="shared" si="1274"/>
        <v>40189</v>
      </c>
      <c r="D2956" s="4" t="s">
        <v>30</v>
      </c>
      <c r="E2956" s="4">
        <v>14.0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</v>
      </c>
      <c r="K2956" s="4">
        <v>19.99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</v>
      </c>
      <c r="U2956" s="5">
        <f>C2956+1</f>
        <v>40190</v>
      </c>
    </row>
    <row r="2957" ht="12.75" customHeight="1">
      <c r="A2957" s="4">
        <v>8343.0</v>
      </c>
      <c r="B2957" s="4">
        <v>59619.0</v>
      </c>
      <c r="C2957" s="5">
        <f>DATE(2012,12,31)-1052</f>
        <v>40222</v>
      </c>
      <c r="D2957" s="4" t="s">
        <v>45</v>
      </c>
      <c r="E2957" s="4">
        <v>12.0</v>
      </c>
      <c r="F2957" s="4">
        <v>76.04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ht="12.75" customHeight="1">
      <c r="A2958" s="4">
        <v>8367.0</v>
      </c>
      <c r="B2958" s="4">
        <v>59781.0</v>
      </c>
      <c r="C2958" s="5">
        <f>DATE(2012,12,31)-19</f>
        <v>41255</v>
      </c>
      <c r="D2958" s="4" t="s">
        <v>45</v>
      </c>
      <c r="E2958" s="4">
        <v>24.0</v>
      </c>
      <c r="F2958" s="4">
        <v>4408.27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30.0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ht="12.75" customHeight="1">
      <c r="A2959" s="4">
        <v>23.0</v>
      </c>
      <c r="B2959" s="4">
        <v>132.0</v>
      </c>
      <c r="C2959" s="5">
        <f>DATE(2012,12,31)-935</f>
        <v>40339</v>
      </c>
      <c r="D2959" s="4" t="s">
        <v>63</v>
      </c>
      <c r="E2959" s="4">
        <v>30.0</v>
      </c>
      <c r="F2959" s="4">
        <v>4011.65</v>
      </c>
      <c r="G2959" s="4">
        <v>0.05</v>
      </c>
      <c r="H2959" s="4" t="s">
        <v>31</v>
      </c>
      <c r="I2959" s="6">
        <v>-603.8</v>
      </c>
      <c r="J2959" s="4">
        <v>130.98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ht="12.75" customHeight="1">
      <c r="A2960" s="4">
        <v>42.0</v>
      </c>
      <c r="B2960" s="4">
        <v>258.0</v>
      </c>
      <c r="C2960" s="5">
        <f t="shared" ref="C2960:C2961" si="1275">DATE(2012,12,31)-734</f>
        <v>40540</v>
      </c>
      <c r="D2960" s="4" t="s">
        <v>78</v>
      </c>
      <c r="E2960" s="4">
        <v>21.0</v>
      </c>
      <c r="F2960" s="4">
        <v>154.35</v>
      </c>
      <c r="G2960" s="4">
        <v>0.0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ht="12.75" customHeight="1">
      <c r="A2961" s="4">
        <v>43.0</v>
      </c>
      <c r="B2961" s="4">
        <v>258.0</v>
      </c>
      <c r="C2961" s="5">
        <f t="shared" si="1275"/>
        <v>40540</v>
      </c>
      <c r="D2961" s="4" t="s">
        <v>78</v>
      </c>
      <c r="E2961" s="4">
        <v>7.0</v>
      </c>
      <c r="F2961" s="4">
        <v>201.36</v>
      </c>
      <c r="G2961" s="4">
        <v>0.0</v>
      </c>
      <c r="H2961" s="4" t="s">
        <v>31</v>
      </c>
      <c r="I2961" s="6">
        <v>-284.4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ht="12.75" customHeight="1">
      <c r="A2962" s="4">
        <v>57.0</v>
      </c>
      <c r="B2962" s="4">
        <v>325.0</v>
      </c>
      <c r="C2962" s="5">
        <f>DATE(2012,12,31)-807</f>
        <v>40467</v>
      </c>
      <c r="D2962" s="4" t="s">
        <v>21</v>
      </c>
      <c r="E2962" s="4">
        <v>9.0</v>
      </c>
      <c r="F2962" s="4">
        <v>884.1275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</v>
      </c>
      <c r="U2962" s="5">
        <f>C2962+4</f>
        <v>40471</v>
      </c>
    </row>
    <row r="2963" ht="12.75" customHeight="1">
      <c r="A2963" s="4">
        <v>217.0</v>
      </c>
      <c r="B2963" s="4">
        <v>1444.0</v>
      </c>
      <c r="C2963" s="5">
        <f>DATE(2012,12,31)-1122</f>
        <v>40152</v>
      </c>
      <c r="D2963" s="4" t="s">
        <v>63</v>
      </c>
      <c r="E2963" s="4">
        <v>32.0</v>
      </c>
      <c r="F2963" s="4">
        <v>21717.36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6">C2963+2</f>
        <v>40154</v>
      </c>
    </row>
    <row r="2964" ht="12.75" customHeight="1">
      <c r="A2964" s="4">
        <v>302.0</v>
      </c>
      <c r="B2964" s="4">
        <v>2084.0</v>
      </c>
      <c r="C2964" s="5">
        <f>DATE(2012,12,31)-1021</f>
        <v>40253</v>
      </c>
      <c r="D2964" s="4" t="s">
        <v>30</v>
      </c>
      <c r="E2964" s="4">
        <v>16.0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6"/>
        <v>40255</v>
      </c>
    </row>
    <row r="2965" ht="12.75" customHeight="1">
      <c r="A2965" s="4">
        <v>480.0</v>
      </c>
      <c r="B2965" s="4">
        <v>3332.0</v>
      </c>
      <c r="C2965" s="5">
        <f>DATE(2012,12,31)-1153</f>
        <v>40121</v>
      </c>
      <c r="D2965" s="4" t="s">
        <v>78</v>
      </c>
      <c r="E2965" s="4">
        <v>6.0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6"/>
        <v>40123</v>
      </c>
    </row>
    <row r="2966" ht="12.75" customHeight="1">
      <c r="A2966" s="4">
        <v>494.0</v>
      </c>
      <c r="B2966" s="4">
        <v>3397.0</v>
      </c>
      <c r="C2966" s="5">
        <f>DATE(2012,12,31)-1288</f>
        <v>39986</v>
      </c>
      <c r="D2966" s="4" t="s">
        <v>63</v>
      </c>
      <c r="E2966" s="4">
        <v>43.0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4.0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6"/>
        <v>39988</v>
      </c>
    </row>
    <row r="2967" ht="12.75" customHeight="1">
      <c r="A2967" s="4">
        <v>519.0</v>
      </c>
      <c r="B2967" s="4">
        <v>3556.0</v>
      </c>
      <c r="C2967" s="5">
        <f>DATE(2012,12,31)-100</f>
        <v>41174</v>
      </c>
      <c r="D2967" s="4" t="s">
        <v>45</v>
      </c>
      <c r="E2967" s="4">
        <v>41.0</v>
      </c>
      <c r="F2967" s="4">
        <v>4933.99</v>
      </c>
      <c r="G2967" s="4">
        <v>0.1</v>
      </c>
      <c r="H2967" s="4" t="s">
        <v>22</v>
      </c>
      <c r="I2967" s="6">
        <v>1161.89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ht="12.75" customHeight="1">
      <c r="A2968" s="4">
        <v>529.0</v>
      </c>
      <c r="B2968" s="4">
        <v>3589.0</v>
      </c>
      <c r="C2968" s="5">
        <f>DATE(2012,12,31)-1316</f>
        <v>39958</v>
      </c>
      <c r="D2968" s="4" t="s">
        <v>30</v>
      </c>
      <c r="E2968" s="4">
        <v>23.0</v>
      </c>
      <c r="F2968" s="4">
        <v>72.93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ht="12.75" customHeight="1">
      <c r="A2969" s="4">
        <v>573.0</v>
      </c>
      <c r="B2969" s="4">
        <v>3905.0</v>
      </c>
      <c r="C2969" s="5">
        <f>DATE(2012,12,31)-742</f>
        <v>40532</v>
      </c>
      <c r="D2969" s="4" t="s">
        <v>45</v>
      </c>
      <c r="E2969" s="4">
        <v>42.0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32.41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</v>
      </c>
      <c r="U2969" s="5">
        <f>C2969+1</f>
        <v>40533</v>
      </c>
    </row>
    <row r="2970" ht="12.75" customHeight="1">
      <c r="A2970" s="4">
        <v>590.0</v>
      </c>
      <c r="B2970" s="4">
        <v>4033.0</v>
      </c>
      <c r="C2970" s="5">
        <f>DATE(2012,12,31)-944</f>
        <v>40330</v>
      </c>
      <c r="D2970" s="4" t="s">
        <v>21</v>
      </c>
      <c r="E2970" s="4">
        <v>38.0</v>
      </c>
      <c r="F2970" s="4">
        <v>19269.05</v>
      </c>
      <c r="G2970" s="4">
        <v>0.0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ht="12.75" customHeight="1">
      <c r="A2971" s="4">
        <v>662.0</v>
      </c>
      <c r="B2971" s="4">
        <v>4647.0</v>
      </c>
      <c r="C2971" s="5">
        <f>DATE(2012,12,31)-1328</f>
        <v>39946</v>
      </c>
      <c r="D2971" s="4" t="s">
        <v>63</v>
      </c>
      <c r="E2971" s="4">
        <v>33.0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5.0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7">C2971+1</f>
        <v>39947</v>
      </c>
    </row>
    <row r="2972" ht="12.75" customHeight="1">
      <c r="A2972" s="4">
        <v>686.0</v>
      </c>
      <c r="B2972" s="4">
        <v>4773.0</v>
      </c>
      <c r="C2972" s="5">
        <f>DATE(2012,12,31)-375</f>
        <v>40899</v>
      </c>
      <c r="D2972" s="4" t="s">
        <v>78</v>
      </c>
      <c r="E2972" s="4">
        <v>26.0</v>
      </c>
      <c r="F2972" s="4">
        <v>311.38</v>
      </c>
      <c r="G2972" s="4">
        <v>0.06</v>
      </c>
      <c r="H2972" s="4" t="s">
        <v>22</v>
      </c>
      <c r="I2972" s="6">
        <v>34.12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7"/>
        <v>40900</v>
      </c>
    </row>
    <row r="2973" ht="12.75" customHeight="1">
      <c r="A2973" s="4">
        <v>724.0</v>
      </c>
      <c r="B2973" s="4">
        <v>5189.0</v>
      </c>
      <c r="C2973" s="5">
        <f>DATE(2012,12,31)-767</f>
        <v>40507</v>
      </c>
      <c r="D2973" s="4" t="s">
        <v>21</v>
      </c>
      <c r="E2973" s="4">
        <v>8.0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0.58</v>
      </c>
      <c r="U2973" s="5">
        <f>C2973+2</f>
        <v>40509</v>
      </c>
    </row>
    <row r="2974" ht="12.75" customHeight="1">
      <c r="A2974" s="4">
        <v>772.0</v>
      </c>
      <c r="B2974" s="4">
        <v>5510.0</v>
      </c>
      <c r="C2974" s="5">
        <f>DATE(2012,12,31)-1089</f>
        <v>40185</v>
      </c>
      <c r="D2974" s="4" t="s">
        <v>63</v>
      </c>
      <c r="E2974" s="4">
        <v>12.0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2.03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ht="12.75" customHeight="1">
      <c r="A2975" s="4">
        <v>886.0</v>
      </c>
      <c r="B2975" s="4">
        <v>6369.0</v>
      </c>
      <c r="C2975" s="5">
        <f>DATE(2012,12,31)-1108</f>
        <v>40166</v>
      </c>
      <c r="D2975" s="4" t="s">
        <v>30</v>
      </c>
      <c r="E2975" s="4">
        <v>30.0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ht="12.75" customHeight="1">
      <c r="A2976" s="4">
        <v>887.0</v>
      </c>
      <c r="B2976" s="4">
        <v>6373.0</v>
      </c>
      <c r="C2976" s="5">
        <f>DATE(2012,12,31)-343</f>
        <v>40931</v>
      </c>
      <c r="D2976" s="4" t="s">
        <v>45</v>
      </c>
      <c r="E2976" s="4">
        <v>1.0</v>
      </c>
      <c r="F2976" s="4">
        <v>62.77</v>
      </c>
      <c r="G2976" s="4">
        <v>0.01</v>
      </c>
      <c r="H2976" s="4" t="s">
        <v>22</v>
      </c>
      <c r="I2976" s="6">
        <v>-36.84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</v>
      </c>
      <c r="U2976" s="5">
        <f>C2976+1</f>
        <v>40932</v>
      </c>
    </row>
    <row r="2977" ht="12.75" customHeight="1">
      <c r="A2977" s="4">
        <v>900.0</v>
      </c>
      <c r="B2977" s="4">
        <v>6465.0</v>
      </c>
      <c r="C2977" s="5">
        <f>DATE(2012,12,31)-507</f>
        <v>40767</v>
      </c>
      <c r="D2977" s="4" t="s">
        <v>21</v>
      </c>
      <c r="E2977" s="4">
        <v>36.0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2.0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ht="12.75" customHeight="1">
      <c r="A2978" s="4">
        <v>953.0</v>
      </c>
      <c r="B2978" s="4">
        <v>6885.0</v>
      </c>
      <c r="C2978" s="5">
        <f>DATE(2012,12,31)-195</f>
        <v>41079</v>
      </c>
      <c r="D2978" s="4" t="s">
        <v>21</v>
      </c>
      <c r="E2978" s="4">
        <v>40.0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ht="12.75" customHeight="1">
      <c r="A2979" s="4">
        <v>1004.0</v>
      </c>
      <c r="B2979" s="4">
        <v>7297.0</v>
      </c>
      <c r="C2979" s="5">
        <f>DATE(2012,12,31)-1204</f>
        <v>40070</v>
      </c>
      <c r="D2979" s="4" t="s">
        <v>30</v>
      </c>
      <c r="E2979" s="4">
        <v>4.0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ht="12.75" customHeight="1">
      <c r="A2980" s="4">
        <v>1009.0</v>
      </c>
      <c r="B2980" s="4">
        <v>7367.0</v>
      </c>
      <c r="C2980" s="5">
        <f>DATE(2012,12,31)-575</f>
        <v>40699</v>
      </c>
      <c r="D2980" s="4" t="s">
        <v>21</v>
      </c>
      <c r="E2980" s="4">
        <v>48.0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ht="12.75" customHeight="1">
      <c r="A2981" s="4">
        <v>1051.0</v>
      </c>
      <c r="B2981" s="4">
        <v>7751.0</v>
      </c>
      <c r="C2981" s="5">
        <f>DATE(2012,12,31)-8</f>
        <v>41266</v>
      </c>
      <c r="D2981" s="4" t="s">
        <v>45</v>
      </c>
      <c r="E2981" s="4">
        <v>45.0</v>
      </c>
      <c r="F2981" s="4">
        <v>4547.9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0.58</v>
      </c>
      <c r="U2981" s="5">
        <f t="shared" ref="U2981:U2983" si="1278">C2981+1</f>
        <v>41267</v>
      </c>
    </row>
    <row r="2982" ht="12.75" customHeight="1">
      <c r="A2982" s="4">
        <v>1159.0</v>
      </c>
      <c r="B2982" s="4">
        <v>8422.0</v>
      </c>
      <c r="C2982" s="5">
        <f>DATE(2012,12,31)-1357</f>
        <v>39917</v>
      </c>
      <c r="D2982" s="4" t="s">
        <v>63</v>
      </c>
      <c r="E2982" s="4">
        <v>18.0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8"/>
        <v>39918</v>
      </c>
    </row>
    <row r="2983" ht="12.75" customHeight="1">
      <c r="A2983" s="4">
        <v>1244.0</v>
      </c>
      <c r="B2983" s="4">
        <v>9062.0</v>
      </c>
      <c r="C2983" s="5">
        <f>DATE(2012,12,31)-652</f>
        <v>40622</v>
      </c>
      <c r="D2983" s="4" t="s">
        <v>30</v>
      </c>
      <c r="E2983" s="4">
        <v>32.0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8"/>
        <v>40623</v>
      </c>
    </row>
    <row r="2984" ht="12.75" customHeight="1">
      <c r="A2984" s="4">
        <v>1403.0</v>
      </c>
      <c r="B2984" s="4">
        <v>10209.0</v>
      </c>
      <c r="C2984" s="5">
        <f>DATE(2012,12,31)-763</f>
        <v>40511</v>
      </c>
      <c r="D2984" s="4" t="s">
        <v>63</v>
      </c>
      <c r="E2984" s="4">
        <v>48.0</v>
      </c>
      <c r="F2984" s="4">
        <v>418.82</v>
      </c>
      <c r="G2984" s="4">
        <v>0.02</v>
      </c>
      <c r="H2984" s="4" t="s">
        <v>22</v>
      </c>
      <c r="I2984" s="6">
        <v>-60.214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9">C2984+2</f>
        <v>40513</v>
      </c>
    </row>
    <row r="2985" ht="12.75" customHeight="1">
      <c r="A2985" s="4">
        <v>1412.0</v>
      </c>
      <c r="B2985" s="4">
        <v>10245.0</v>
      </c>
      <c r="C2985" s="5">
        <f>DATE(2012,12,31)-687</f>
        <v>40587</v>
      </c>
      <c r="D2985" s="4" t="s">
        <v>63</v>
      </c>
      <c r="E2985" s="4">
        <v>23.0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9"/>
        <v>40589</v>
      </c>
    </row>
    <row r="2986" ht="12.75" customHeight="1">
      <c r="A2986" s="4">
        <v>1525.0</v>
      </c>
      <c r="B2986" s="4">
        <v>11008.0</v>
      </c>
      <c r="C2986" s="5">
        <f>DATE(2012,12,31)-1406</f>
        <v>39868</v>
      </c>
      <c r="D2986" s="4" t="s">
        <v>78</v>
      </c>
      <c r="E2986" s="4">
        <v>17.0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138.14</v>
      </c>
      <c r="K2986" s="4">
        <v>35.0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9"/>
        <v>39870</v>
      </c>
    </row>
    <row r="2987" ht="12.75" customHeight="1">
      <c r="A2987" s="4">
        <v>1600.0</v>
      </c>
      <c r="B2987" s="4">
        <v>11585.0</v>
      </c>
      <c r="C2987" s="5">
        <f>DATE(2012,12,31)-1387</f>
        <v>39887</v>
      </c>
      <c r="D2987" s="4" t="s">
        <v>63</v>
      </c>
      <c r="E2987" s="4">
        <v>17.0</v>
      </c>
      <c r="F2987" s="4">
        <v>281.84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4.0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80">C2987+1</f>
        <v>39888</v>
      </c>
    </row>
    <row r="2988" ht="12.75" customHeight="1">
      <c r="A2988" s="4">
        <v>1870.0</v>
      </c>
      <c r="B2988" s="4">
        <v>13472.0</v>
      </c>
      <c r="C2988" s="5">
        <f>DATE(2012,12,31)-432</f>
        <v>40842</v>
      </c>
      <c r="D2988" s="4" t="s">
        <v>78</v>
      </c>
      <c r="E2988" s="4">
        <v>26.0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80"/>
        <v>40843</v>
      </c>
    </row>
    <row r="2989" ht="12.75" customHeight="1">
      <c r="A2989" s="4">
        <v>1973.0</v>
      </c>
      <c r="B2989" s="4">
        <v>14114.0</v>
      </c>
      <c r="C2989" s="5">
        <f>DATE(2012,12,31)-1365</f>
        <v>39909</v>
      </c>
      <c r="D2989" s="4" t="s">
        <v>78</v>
      </c>
      <c r="E2989" s="4">
        <v>29.0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ht="12.75" customHeight="1">
      <c r="A2990" s="4">
        <v>2060.0</v>
      </c>
      <c r="B2990" s="4">
        <v>14727.0</v>
      </c>
      <c r="C2990" s="5">
        <f>DATE(2012,12,31)-165</f>
        <v>41109</v>
      </c>
      <c r="D2990" s="4" t="s">
        <v>63</v>
      </c>
      <c r="E2990" s="4">
        <v>33.0</v>
      </c>
      <c r="F2990" s="4">
        <v>2269.41</v>
      </c>
      <c r="G2990" s="4">
        <v>0.05</v>
      </c>
      <c r="H2990" s="4" t="s">
        <v>22</v>
      </c>
      <c r="I2990" s="6">
        <v>630.18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1">C2990+1</f>
        <v>41110</v>
      </c>
    </row>
    <row r="2991" ht="12.75" customHeight="1">
      <c r="A2991" s="4">
        <v>2153.0</v>
      </c>
      <c r="B2991" s="4">
        <v>15399.0</v>
      </c>
      <c r="C2991" s="5">
        <f>DATE(2012,12,31)-232</f>
        <v>41042</v>
      </c>
      <c r="D2991" s="4" t="s">
        <v>78</v>
      </c>
      <c r="E2991" s="4">
        <v>46.0</v>
      </c>
      <c r="F2991" s="4">
        <v>2514.5125</v>
      </c>
      <c r="G2991" s="4">
        <v>0.04</v>
      </c>
      <c r="H2991" s="4" t="s">
        <v>56</v>
      </c>
      <c r="I2991" s="6">
        <v>601.65</v>
      </c>
      <c r="J2991" s="4">
        <v>65.99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0.57</v>
      </c>
      <c r="U2991" s="5">
        <f t="shared" si="1281"/>
        <v>41043</v>
      </c>
    </row>
    <row r="2992" ht="12.75" customHeight="1">
      <c r="A2992" s="4">
        <v>2168.0</v>
      </c>
      <c r="B2992" s="4">
        <v>15619.0</v>
      </c>
      <c r="C2992" s="5">
        <f>DATE(2012,12,31)-552</f>
        <v>40722</v>
      </c>
      <c r="D2992" s="4" t="s">
        <v>21</v>
      </c>
      <c r="E2992" s="4">
        <v>9.0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160.98</v>
      </c>
      <c r="K2992" s="4">
        <v>30.0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ht="12.75" customHeight="1">
      <c r="A2993" s="4">
        <v>2248.0</v>
      </c>
      <c r="B2993" s="4">
        <v>16194.0</v>
      </c>
      <c r="C2993" s="5">
        <f>DATE(2012,12,31)-816</f>
        <v>40458</v>
      </c>
      <c r="D2993" s="4" t="s">
        <v>45</v>
      </c>
      <c r="E2993" s="4">
        <v>24.0</v>
      </c>
      <c r="F2993" s="4">
        <v>2435.5135</v>
      </c>
      <c r="G2993" s="4">
        <v>0.08</v>
      </c>
      <c r="H2993" s="4" t="s">
        <v>22</v>
      </c>
      <c r="I2993" s="6">
        <v>315.486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2">C2993+2</f>
        <v>40460</v>
      </c>
    </row>
    <row r="2994" ht="12.75" customHeight="1">
      <c r="A2994" s="4">
        <v>2255.0</v>
      </c>
      <c r="B2994" s="4">
        <v>16229.0</v>
      </c>
      <c r="C2994" s="5">
        <f>DATE(2012,12,31)-1373</f>
        <v>39901</v>
      </c>
      <c r="D2994" s="4" t="s">
        <v>30</v>
      </c>
      <c r="E2994" s="4">
        <v>19.0</v>
      </c>
      <c r="F2994" s="4">
        <v>568.7435</v>
      </c>
      <c r="G2994" s="4">
        <v>0.05</v>
      </c>
      <c r="H2994" s="4" t="s">
        <v>22</v>
      </c>
      <c r="I2994" s="6">
        <v>143.793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2"/>
        <v>39903</v>
      </c>
    </row>
    <row r="2995" ht="12.75" customHeight="1">
      <c r="A2995" s="4">
        <v>2260.0</v>
      </c>
      <c r="B2995" s="4">
        <v>16231.0</v>
      </c>
      <c r="C2995" s="5">
        <f>DATE(2012,12,31)-118</f>
        <v>41156</v>
      </c>
      <c r="D2995" s="4" t="s">
        <v>21</v>
      </c>
      <c r="E2995" s="4">
        <v>20.0</v>
      </c>
      <c r="F2995" s="4">
        <v>2506.38</v>
      </c>
      <c r="G2995" s="4">
        <v>0.07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ht="12.75" customHeight="1">
      <c r="A2996" s="4">
        <v>2312.0</v>
      </c>
      <c r="B2996" s="4">
        <v>16674.0</v>
      </c>
      <c r="C2996" s="5">
        <f t="shared" ref="C2996:C2997" si="1283">DATE(2012,12,31)-612</f>
        <v>40662</v>
      </c>
      <c r="D2996" s="4" t="s">
        <v>21</v>
      </c>
      <c r="E2996" s="4">
        <v>49.0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</v>
      </c>
      <c r="U2996" s="5">
        <f>C2996+7</f>
        <v>40669</v>
      </c>
    </row>
    <row r="2997" ht="12.75" customHeight="1">
      <c r="A2997" s="4">
        <v>2313.0</v>
      </c>
      <c r="B2997" s="4">
        <v>16674.0</v>
      </c>
      <c r="C2997" s="5">
        <f t="shared" si="1283"/>
        <v>40662</v>
      </c>
      <c r="D2997" s="4" t="s">
        <v>21</v>
      </c>
      <c r="E2997" s="4">
        <v>39.0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ht="12.75" customHeight="1">
      <c r="A2998" s="4">
        <v>2320.0</v>
      </c>
      <c r="B2998" s="4">
        <v>16710.0</v>
      </c>
      <c r="C2998" s="5">
        <f>DATE(2012,12,31)-617</f>
        <v>40657</v>
      </c>
      <c r="D2998" s="4" t="s">
        <v>30</v>
      </c>
      <c r="E2998" s="4">
        <v>47.0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145.45</v>
      </c>
      <c r="K2998" s="4">
        <v>17.85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</v>
      </c>
      <c r="U2998" s="5">
        <f t="shared" ref="U2998:U3000" si="1284">C2998+2</f>
        <v>40659</v>
      </c>
    </row>
    <row r="2999" ht="12.75" customHeight="1">
      <c r="A2999" s="4">
        <v>2401.0</v>
      </c>
      <c r="B2999" s="4">
        <v>17408.0</v>
      </c>
      <c r="C2999" s="5">
        <f>DATE(2012,12,31)-1314</f>
        <v>39960</v>
      </c>
      <c r="D2999" s="4" t="s">
        <v>45</v>
      </c>
      <c r="E2999" s="4">
        <v>41.0</v>
      </c>
      <c r="F2999" s="4">
        <v>728.127</v>
      </c>
      <c r="G2999" s="4">
        <v>0.02</v>
      </c>
      <c r="H2999" s="4" t="s">
        <v>22</v>
      </c>
      <c r="I2999" s="6">
        <v>49.788</v>
      </c>
      <c r="J2999" s="4">
        <v>20.99</v>
      </c>
      <c r="K2999" s="4">
        <v>4.81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0.58</v>
      </c>
      <c r="U2999" s="5">
        <f t="shared" si="1284"/>
        <v>39962</v>
      </c>
    </row>
    <row r="3000" ht="12.75" customHeight="1">
      <c r="A3000" s="4">
        <v>2437.0</v>
      </c>
      <c r="B3000" s="4">
        <v>17698.0</v>
      </c>
      <c r="C3000" s="5">
        <f t="shared" ref="C3000:C3001" si="1285">DATE(2012,12,31)-232</f>
        <v>41042</v>
      </c>
      <c r="D3000" s="4" t="s">
        <v>30</v>
      </c>
      <c r="E3000" s="4">
        <v>22.0</v>
      </c>
      <c r="F3000" s="4">
        <v>1118.2514999999999</v>
      </c>
      <c r="G3000" s="4">
        <v>0.1</v>
      </c>
      <c r="H3000" s="4" t="s">
        <v>22</v>
      </c>
      <c r="I3000" s="6">
        <v>-59.587</v>
      </c>
      <c r="J3000" s="4">
        <v>65.99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0.58</v>
      </c>
      <c r="U3000" s="5">
        <f t="shared" si="1284"/>
        <v>41044</v>
      </c>
    </row>
    <row r="3001" ht="12.75" customHeight="1">
      <c r="A3001" s="4">
        <v>2438.0</v>
      </c>
      <c r="B3001" s="4">
        <v>17698.0</v>
      </c>
      <c r="C3001" s="5">
        <f t="shared" si="1285"/>
        <v>41042</v>
      </c>
      <c r="D3001" s="4" t="s">
        <v>30</v>
      </c>
      <c r="E3001" s="4">
        <v>40.0</v>
      </c>
      <c r="F3001" s="4">
        <v>609.4</v>
      </c>
      <c r="G3001" s="4">
        <v>0.04</v>
      </c>
      <c r="H3001" s="4" t="s">
        <v>22</v>
      </c>
      <c r="I3001" s="6">
        <v>-89.2285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ht="12.75" customHeight="1">
      <c r="A3002" s="4">
        <v>2570.0</v>
      </c>
      <c r="B3002" s="4">
        <v>18534.0</v>
      </c>
      <c r="C3002" s="5">
        <f>DATE(2012,12,31)-367</f>
        <v>40907</v>
      </c>
      <c r="D3002" s="4" t="s">
        <v>21</v>
      </c>
      <c r="E3002" s="4">
        <v>36.0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ht="12.75" customHeight="1">
      <c r="A3003" s="4">
        <v>2622.0</v>
      </c>
      <c r="B3003" s="4">
        <v>18951.0</v>
      </c>
      <c r="C3003" s="5">
        <f t="shared" ref="C3003:C3004" si="1286">DATE(2012,12,31)-551</f>
        <v>40723</v>
      </c>
      <c r="D3003" s="4" t="s">
        <v>78</v>
      </c>
      <c r="E3003" s="4">
        <v>16.0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ht="12.75" customHeight="1">
      <c r="A3004" s="4">
        <v>2623.0</v>
      </c>
      <c r="B3004" s="4">
        <v>18951.0</v>
      </c>
      <c r="C3004" s="5">
        <f t="shared" si="1286"/>
        <v>40723</v>
      </c>
      <c r="D3004" s="4" t="s">
        <v>78</v>
      </c>
      <c r="E3004" s="4">
        <v>10.0</v>
      </c>
      <c r="F3004" s="4">
        <v>324.3175</v>
      </c>
      <c r="G3004" s="4">
        <v>0.03</v>
      </c>
      <c r="H3004" s="4" t="s">
        <v>56</v>
      </c>
      <c r="I3004" s="6">
        <v>-169.741</v>
      </c>
      <c r="J3004" s="4">
        <v>35.99</v>
      </c>
      <c r="K3004" s="4">
        <v>5.0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7">C3004+2</f>
        <v>40725</v>
      </c>
    </row>
    <row r="3005" ht="12.75" customHeight="1">
      <c r="A3005" s="4">
        <v>2648.0</v>
      </c>
      <c r="B3005" s="4">
        <v>19174.0</v>
      </c>
      <c r="C3005" s="5">
        <f>DATE(2012,12,31)-899</f>
        <v>40375</v>
      </c>
      <c r="D3005" s="4" t="s">
        <v>63</v>
      </c>
      <c r="E3005" s="4">
        <v>49.0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7"/>
        <v>40377</v>
      </c>
    </row>
    <row r="3006" ht="12.75" customHeight="1">
      <c r="A3006" s="4">
        <v>2785.0</v>
      </c>
      <c r="B3006" s="4">
        <v>20098.0</v>
      </c>
      <c r="C3006" s="5">
        <f>DATE(2012,12,31)-389</f>
        <v>40885</v>
      </c>
      <c r="D3006" s="4" t="s">
        <v>63</v>
      </c>
      <c r="E3006" s="4">
        <v>8.0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ht="12.75" customHeight="1">
      <c r="A3007" s="4">
        <v>2942.0</v>
      </c>
      <c r="B3007" s="4">
        <v>21319.0</v>
      </c>
      <c r="C3007" s="5">
        <f t="shared" ref="C3007:C3008" si="1288">DATE(2012,12,31)-977</f>
        <v>40297</v>
      </c>
      <c r="D3007" s="4" t="s">
        <v>63</v>
      </c>
      <c r="E3007" s="4">
        <v>11.0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0.57</v>
      </c>
      <c r="U3007" s="5">
        <f>C3007+3</f>
        <v>40300</v>
      </c>
    </row>
    <row r="3008" ht="12.75" customHeight="1">
      <c r="A3008" s="4">
        <v>2944.0</v>
      </c>
      <c r="B3008" s="4">
        <v>21319.0</v>
      </c>
      <c r="C3008" s="5">
        <f t="shared" si="1288"/>
        <v>40297</v>
      </c>
      <c r="D3008" s="4" t="s">
        <v>63</v>
      </c>
      <c r="E3008" s="4">
        <v>42.0</v>
      </c>
      <c r="F3008" s="4">
        <v>1060.34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ht="12.75" customHeight="1">
      <c r="A3009" s="4">
        <v>3081.0</v>
      </c>
      <c r="B3009" s="4">
        <v>22115.0</v>
      </c>
      <c r="C3009" s="5">
        <f>DATE(2012,12,31)-930</f>
        <v>40344</v>
      </c>
      <c r="D3009" s="4" t="s">
        <v>21</v>
      </c>
      <c r="E3009" s="4">
        <v>5.0</v>
      </c>
      <c r="F3009" s="4">
        <v>751.94</v>
      </c>
      <c r="G3009" s="4">
        <v>0.02</v>
      </c>
      <c r="H3009" s="4" t="s">
        <v>31</v>
      </c>
      <c r="I3009" s="6">
        <v>-283.9419</v>
      </c>
      <c r="J3009" s="4">
        <v>145.45</v>
      </c>
      <c r="K3009" s="4">
        <v>17.85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</v>
      </c>
      <c r="U3009" s="5">
        <f>C3009+0</f>
        <v>40344</v>
      </c>
    </row>
    <row r="3010" ht="12.75" customHeight="1">
      <c r="A3010" s="4">
        <v>3088.0</v>
      </c>
      <c r="B3010" s="4">
        <v>22149.0</v>
      </c>
      <c r="C3010" s="5">
        <f>DATE(2012,12,31)-465</f>
        <v>40809</v>
      </c>
      <c r="D3010" s="4" t="s">
        <v>21</v>
      </c>
      <c r="E3010" s="4">
        <v>17.0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</v>
      </c>
      <c r="U3010" s="5">
        <f>C3010+5</f>
        <v>40814</v>
      </c>
    </row>
    <row r="3011" ht="12.75" customHeight="1">
      <c r="A3011" s="4">
        <v>3108.0</v>
      </c>
      <c r="B3011" s="4">
        <v>22338.0</v>
      </c>
      <c r="C3011" s="5">
        <f>DATE(2012,12,31)-962</f>
        <v>40312</v>
      </c>
      <c r="D3011" s="4" t="s">
        <v>63</v>
      </c>
      <c r="E3011" s="4">
        <v>36.0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ht="12.75" customHeight="1">
      <c r="A3012" s="4">
        <v>3151.0</v>
      </c>
      <c r="B3012" s="4">
        <v>22627.0</v>
      </c>
      <c r="C3012" s="5">
        <f>DATE(2012,12,31)-1003</f>
        <v>40271</v>
      </c>
      <c r="D3012" s="4" t="s">
        <v>21</v>
      </c>
      <c r="E3012" s="4">
        <v>33.0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ht="12.75" customHeight="1">
      <c r="A3013" s="4">
        <v>3175.0</v>
      </c>
      <c r="B3013" s="4">
        <v>22820.0</v>
      </c>
      <c r="C3013" s="5">
        <f>DATE(2012,12,31)-867</f>
        <v>40407</v>
      </c>
      <c r="D3013" s="4" t="s">
        <v>30</v>
      </c>
      <c r="E3013" s="4">
        <v>18.0</v>
      </c>
      <c r="F3013" s="4">
        <v>144.84</v>
      </c>
      <c r="G3013" s="4">
        <v>0.0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9">C3013+3</f>
        <v>40410</v>
      </c>
    </row>
    <row r="3014" ht="12.75" customHeight="1">
      <c r="A3014" s="4">
        <v>3187.0</v>
      </c>
      <c r="B3014" s="4">
        <v>22880.0</v>
      </c>
      <c r="C3014" s="5">
        <f>DATE(2012,12,31)-946</f>
        <v>40328</v>
      </c>
      <c r="D3014" s="4" t="s">
        <v>63</v>
      </c>
      <c r="E3014" s="4">
        <v>13.0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9"/>
        <v>40331</v>
      </c>
    </row>
    <row r="3015" ht="12.75" customHeight="1">
      <c r="A3015" s="4">
        <v>3217.0</v>
      </c>
      <c r="B3015" s="4">
        <v>23078.0</v>
      </c>
      <c r="C3015" s="5">
        <f>DATE(2012,12,31)-473</f>
        <v>40801</v>
      </c>
      <c r="D3015" s="4" t="s">
        <v>63</v>
      </c>
      <c r="E3015" s="4">
        <v>39.0</v>
      </c>
      <c r="F3015" s="4">
        <v>577.95</v>
      </c>
      <c r="G3015" s="4">
        <v>0.07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</v>
      </c>
      <c r="U3015" s="5">
        <f t="shared" ref="U3015:U3017" si="1290">C3015+2</f>
        <v>40803</v>
      </c>
    </row>
    <row r="3016" ht="12.75" customHeight="1">
      <c r="A3016" s="4">
        <v>3246.0</v>
      </c>
      <c r="B3016" s="4">
        <v>23268.0</v>
      </c>
      <c r="C3016" s="5">
        <f>DATE(2012,12,31)-350</f>
        <v>40924</v>
      </c>
      <c r="D3016" s="4" t="s">
        <v>30</v>
      </c>
      <c r="E3016" s="4">
        <v>5.0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90"/>
        <v>40926</v>
      </c>
    </row>
    <row r="3017" ht="12.75" customHeight="1">
      <c r="A3017" s="4">
        <v>3354.0</v>
      </c>
      <c r="B3017" s="4">
        <v>24003.0</v>
      </c>
      <c r="C3017" s="5">
        <f>DATE(2012,12,31)-1157</f>
        <v>40117</v>
      </c>
      <c r="D3017" s="4" t="s">
        <v>78</v>
      </c>
      <c r="E3017" s="4">
        <v>4.0</v>
      </c>
      <c r="F3017" s="4">
        <v>129.7865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90"/>
        <v>40119</v>
      </c>
    </row>
    <row r="3018" ht="12.75" customHeight="1">
      <c r="A3018" s="4">
        <v>3379.0</v>
      </c>
      <c r="B3018" s="4">
        <v>24102.0</v>
      </c>
      <c r="C3018" s="5">
        <f>DATE(2012,12,31)-762</f>
        <v>40512</v>
      </c>
      <c r="D3018" s="4" t="s">
        <v>78</v>
      </c>
      <c r="E3018" s="4">
        <v>50.0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0.57</v>
      </c>
      <c r="U3018" s="5">
        <f>C3018+1</f>
        <v>40513</v>
      </c>
    </row>
    <row r="3019" ht="12.75" customHeight="1">
      <c r="A3019" s="4">
        <v>3423.0</v>
      </c>
      <c r="B3019" s="4">
        <v>24422.0</v>
      </c>
      <c r="C3019" s="5">
        <f>DATE(2012,12,31)-368</f>
        <v>40906</v>
      </c>
      <c r="D3019" s="4" t="s">
        <v>78</v>
      </c>
      <c r="E3019" s="4">
        <v>20.0</v>
      </c>
      <c r="F3019" s="4">
        <v>3467.28</v>
      </c>
      <c r="G3019" s="4">
        <v>0.06</v>
      </c>
      <c r="H3019" s="4" t="s">
        <v>31</v>
      </c>
      <c r="I3019" s="6">
        <v>-433.2901430000001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ht="12.75" customHeight="1">
      <c r="A3020" s="4">
        <v>3459.0</v>
      </c>
      <c r="B3020" s="4">
        <v>24644.0</v>
      </c>
      <c r="C3020" s="5">
        <f>DATE(2012,12,31)-1252</f>
        <v>40022</v>
      </c>
      <c r="D3020" s="4" t="s">
        <v>78</v>
      </c>
      <c r="E3020" s="4">
        <v>46.0</v>
      </c>
      <c r="F3020" s="4">
        <v>5897.47</v>
      </c>
      <c r="G3020" s="4">
        <v>0.0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ht="12.75" customHeight="1">
      <c r="A3021" s="4">
        <v>3693.0</v>
      </c>
      <c r="B3021" s="4">
        <v>26401.0</v>
      </c>
      <c r="C3021" s="5">
        <f>DATE(2012,12,31)-810</f>
        <v>40464</v>
      </c>
      <c r="D3021" s="4" t="s">
        <v>63</v>
      </c>
      <c r="E3021" s="4">
        <v>1.0</v>
      </c>
      <c r="F3021" s="4">
        <v>415.0</v>
      </c>
      <c r="G3021" s="4">
        <v>0.07</v>
      </c>
      <c r="H3021" s="4" t="s">
        <v>22</v>
      </c>
      <c r="I3021" s="6">
        <v>-199.3065</v>
      </c>
      <c r="J3021" s="4">
        <v>420.98</v>
      </c>
      <c r="K3021" s="4">
        <v>19.99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ht="12.75" customHeight="1">
      <c r="A3022" s="4">
        <v>3918.0</v>
      </c>
      <c r="B3022" s="4">
        <v>27938.0</v>
      </c>
      <c r="C3022" s="5">
        <f>DATE(2012,12,31)-1336</f>
        <v>39938</v>
      </c>
      <c r="D3022" s="4" t="s">
        <v>63</v>
      </c>
      <c r="E3022" s="4">
        <v>40.0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ht="12.75" customHeight="1">
      <c r="A3023" s="4">
        <v>3996.0</v>
      </c>
      <c r="B3023" s="4">
        <v>28515.0</v>
      </c>
      <c r="C3023" s="5">
        <f>DATE(2012,12,31)-915</f>
        <v>40359</v>
      </c>
      <c r="D3023" s="4" t="s">
        <v>30</v>
      </c>
      <c r="E3023" s="4">
        <v>48.0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ht="12.75" customHeight="1">
      <c r="A3024" s="4">
        <v>4114.0</v>
      </c>
      <c r="B3024" s="4">
        <v>29280.0</v>
      </c>
      <c r="C3024" s="5">
        <f>DATE(2012,12,31)-278</f>
        <v>40996</v>
      </c>
      <c r="D3024" s="4" t="s">
        <v>63</v>
      </c>
      <c r="E3024" s="4">
        <v>30.0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ht="12.75" customHeight="1">
      <c r="A3025" s="4">
        <v>4127.0</v>
      </c>
      <c r="B3025" s="4">
        <v>29346.0</v>
      </c>
      <c r="C3025" s="5">
        <f>DATE(2012,12,31)-1233</f>
        <v>40041</v>
      </c>
      <c r="D3025" s="4" t="s">
        <v>21</v>
      </c>
      <c r="E3025" s="4">
        <v>2.0</v>
      </c>
      <c r="F3025" s="4">
        <v>29.06</v>
      </c>
      <c r="G3025" s="4">
        <v>0.1</v>
      </c>
      <c r="H3025" s="4" t="s">
        <v>22</v>
      </c>
      <c r="I3025" s="6">
        <v>-16.15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ht="12.75" customHeight="1">
      <c r="A3026" s="4">
        <v>4129.0</v>
      </c>
      <c r="B3026" s="4">
        <v>29349.0</v>
      </c>
      <c r="C3026" s="5">
        <f>DATE(2012,12,31)-935</f>
        <v>40339</v>
      </c>
      <c r="D3026" s="4" t="s">
        <v>30</v>
      </c>
      <c r="E3026" s="4">
        <v>46.0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65.99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</v>
      </c>
      <c r="U3026" s="5">
        <f t="shared" ref="U3026:U3027" si="1291">C3026+2</f>
        <v>40341</v>
      </c>
    </row>
    <row r="3027" ht="12.75" customHeight="1">
      <c r="A3027" s="4">
        <v>4153.0</v>
      </c>
      <c r="B3027" s="4">
        <v>29473.0</v>
      </c>
      <c r="C3027" s="5">
        <f>DATE(2012,12,31)-320</f>
        <v>40954</v>
      </c>
      <c r="D3027" s="4" t="s">
        <v>63</v>
      </c>
      <c r="E3027" s="4">
        <v>31.0</v>
      </c>
      <c r="F3027" s="4">
        <v>206.2865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1"/>
        <v>40956</v>
      </c>
    </row>
    <row r="3028" ht="12.75" customHeight="1">
      <c r="A3028" s="4">
        <v>4205.0</v>
      </c>
      <c r="B3028" s="4">
        <v>29893.0</v>
      </c>
      <c r="C3028" s="5">
        <f>DATE(2012,12,31)-198</f>
        <v>41076</v>
      </c>
      <c r="D3028" s="4" t="s">
        <v>63</v>
      </c>
      <c r="E3028" s="4">
        <v>24.0</v>
      </c>
      <c r="F3028" s="4">
        <v>5452.9</v>
      </c>
      <c r="G3028" s="4">
        <v>0.07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ht="12.75" customHeight="1">
      <c r="A3029" s="4">
        <v>4228.0</v>
      </c>
      <c r="B3029" s="4">
        <v>30023.0</v>
      </c>
      <c r="C3029" s="5">
        <f>DATE(2012,12,31)-808</f>
        <v>40466</v>
      </c>
      <c r="D3029" s="4" t="s">
        <v>21</v>
      </c>
      <c r="E3029" s="4">
        <v>36.0</v>
      </c>
      <c r="F3029" s="4">
        <v>840.24</v>
      </c>
      <c r="G3029" s="4">
        <v>0.0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ht="12.75" customHeight="1">
      <c r="A3030" s="4">
        <v>4247.0</v>
      </c>
      <c r="B3030" s="4">
        <v>30215.0</v>
      </c>
      <c r="C3030" s="5">
        <f>DATE(2012,12,31)-1404</f>
        <v>39870</v>
      </c>
      <c r="D3030" s="4" t="s">
        <v>63</v>
      </c>
      <c r="E3030" s="4">
        <v>23.0</v>
      </c>
      <c r="F3030" s="4">
        <v>3637.728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ht="12.75" customHeight="1">
      <c r="A3031" s="4">
        <v>4311.0</v>
      </c>
      <c r="B3031" s="4">
        <v>30720.0</v>
      </c>
      <c r="C3031" s="5">
        <f>DATE(2012,12,31)-95</f>
        <v>41179</v>
      </c>
      <c r="D3031" s="4" t="s">
        <v>21</v>
      </c>
      <c r="E3031" s="4">
        <v>27.0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</v>
      </c>
      <c r="U3031" s="5">
        <f t="shared" ref="U3031:U3032" si="1292">C3031+5</f>
        <v>41184</v>
      </c>
    </row>
    <row r="3032" ht="12.75" customHeight="1">
      <c r="A3032" s="4">
        <v>4333.0</v>
      </c>
      <c r="B3032" s="4">
        <v>30884.0</v>
      </c>
      <c r="C3032" s="5">
        <f>DATE(2012,12,31)-827</f>
        <v>40447</v>
      </c>
      <c r="D3032" s="4" t="s">
        <v>21</v>
      </c>
      <c r="E3032" s="4">
        <v>6.0</v>
      </c>
      <c r="F3032" s="4">
        <v>763.448</v>
      </c>
      <c r="G3032" s="4">
        <v>0.05</v>
      </c>
      <c r="H3032" s="4" t="s">
        <v>31</v>
      </c>
      <c r="I3032" s="6">
        <v>-352.9590350000001</v>
      </c>
      <c r="J3032" s="4">
        <v>146.05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2"/>
        <v>40452</v>
      </c>
    </row>
    <row r="3033" ht="12.75" customHeight="1">
      <c r="A3033" s="4">
        <v>4398.0</v>
      </c>
      <c r="B3033" s="4">
        <v>31303.0</v>
      </c>
      <c r="C3033" s="5">
        <f>DATE(2012,12,31)-652</f>
        <v>40622</v>
      </c>
      <c r="D3033" s="4" t="s">
        <v>21</v>
      </c>
      <c r="E3033" s="4">
        <v>50.0</v>
      </c>
      <c r="F3033" s="4">
        <v>306.13</v>
      </c>
      <c r="G3033" s="4">
        <v>0.09</v>
      </c>
      <c r="H3033" s="4" t="s">
        <v>56</v>
      </c>
      <c r="I3033" s="6">
        <v>87.601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ht="12.75" customHeight="1">
      <c r="A3034" s="4">
        <v>4402.0</v>
      </c>
      <c r="B3034" s="4">
        <v>31392.0</v>
      </c>
      <c r="C3034" s="5">
        <f>DATE(2012,12,31)-970</f>
        <v>40304</v>
      </c>
      <c r="D3034" s="4" t="s">
        <v>21</v>
      </c>
      <c r="E3034" s="4">
        <v>21.0</v>
      </c>
      <c r="F3034" s="4">
        <v>128.86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ht="12.75" customHeight="1">
      <c r="A3035" s="4">
        <v>4449.0</v>
      </c>
      <c r="B3035" s="4">
        <v>31715.0</v>
      </c>
      <c r="C3035" s="5">
        <f>DATE(2012,12,31)-1452</f>
        <v>39822</v>
      </c>
      <c r="D3035" s="4" t="s">
        <v>45</v>
      </c>
      <c r="E3035" s="4">
        <v>24.0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3">C3035+2</f>
        <v>39824</v>
      </c>
    </row>
    <row r="3036" ht="12.75" customHeight="1">
      <c r="A3036" s="4">
        <v>4557.0</v>
      </c>
      <c r="B3036" s="4">
        <v>32420.0</v>
      </c>
      <c r="C3036" s="5">
        <f>DATE(2012,12,31)-1251</f>
        <v>40023</v>
      </c>
      <c r="D3036" s="4" t="s">
        <v>63</v>
      </c>
      <c r="E3036" s="4">
        <v>19.0</v>
      </c>
      <c r="F3036" s="4">
        <v>5369.46</v>
      </c>
      <c r="G3036" s="4">
        <v>0.07</v>
      </c>
      <c r="H3036" s="4" t="s">
        <v>31</v>
      </c>
      <c r="I3036" s="6">
        <v>-439.62</v>
      </c>
      <c r="J3036" s="4">
        <v>280.98</v>
      </c>
      <c r="K3036" s="4">
        <v>57.0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3"/>
        <v>40025</v>
      </c>
    </row>
    <row r="3037" ht="12.75" customHeight="1">
      <c r="A3037" s="4">
        <v>4630.0</v>
      </c>
      <c r="B3037" s="4">
        <v>32965.0</v>
      </c>
      <c r="C3037" s="5">
        <f>DATE(2012,12,31)-676</f>
        <v>40598</v>
      </c>
      <c r="D3037" s="4" t="s">
        <v>30</v>
      </c>
      <c r="E3037" s="4">
        <v>2.0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ht="12.75" customHeight="1">
      <c r="A3038" s="4">
        <v>4674.0</v>
      </c>
      <c r="B3038" s="4">
        <v>33253.0</v>
      </c>
      <c r="C3038" s="5">
        <f>DATE(2012,12,31)-397</f>
        <v>40877</v>
      </c>
      <c r="D3038" s="4" t="s">
        <v>45</v>
      </c>
      <c r="E3038" s="4">
        <v>17.0</v>
      </c>
      <c r="F3038" s="4">
        <v>524.212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ht="12.75" customHeight="1">
      <c r="A3039" s="4">
        <v>4784.0</v>
      </c>
      <c r="B3039" s="4">
        <v>33959.0</v>
      </c>
      <c r="C3039" s="5">
        <f>DATE(2012,12,31)-1249</f>
        <v>40025</v>
      </c>
      <c r="D3039" s="4" t="s">
        <v>78</v>
      </c>
      <c r="E3039" s="4">
        <v>23.0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4">C3039+1</f>
        <v>40026</v>
      </c>
    </row>
    <row r="3040" ht="12.75" customHeight="1">
      <c r="A3040" s="4">
        <v>4959.0</v>
      </c>
      <c r="B3040" s="4">
        <v>35271.0</v>
      </c>
      <c r="C3040" s="5">
        <f>DATE(2012,12,31)-889</f>
        <v>40385</v>
      </c>
      <c r="D3040" s="4" t="s">
        <v>30</v>
      </c>
      <c r="E3040" s="4">
        <v>19.0</v>
      </c>
      <c r="F3040" s="4">
        <v>1083.4015</v>
      </c>
      <c r="G3040" s="4">
        <v>0.02</v>
      </c>
      <c r="H3040" s="4" t="s">
        <v>22</v>
      </c>
      <c r="I3040" s="6">
        <v>64.53</v>
      </c>
      <c r="J3040" s="4">
        <v>65.99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</v>
      </c>
      <c r="U3040" s="5">
        <f t="shared" si="1294"/>
        <v>40386</v>
      </c>
    </row>
    <row r="3041" ht="12.75" customHeight="1">
      <c r="A3041" s="4">
        <v>5108.0</v>
      </c>
      <c r="B3041" s="4">
        <v>36390.0</v>
      </c>
      <c r="C3041" s="5">
        <f>DATE(2012,12,31)-80</f>
        <v>41194</v>
      </c>
      <c r="D3041" s="4" t="s">
        <v>30</v>
      </c>
      <c r="E3041" s="4">
        <v>3.0</v>
      </c>
      <c r="F3041" s="4">
        <v>329.63</v>
      </c>
      <c r="G3041" s="4">
        <v>0.05</v>
      </c>
      <c r="H3041" s="4" t="s">
        <v>22</v>
      </c>
      <c r="I3041" s="6">
        <v>-541.332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ht="12.75" customHeight="1">
      <c r="A3042" s="4">
        <v>5265.0</v>
      </c>
      <c r="B3042" s="4">
        <v>37447.0</v>
      </c>
      <c r="C3042" s="5">
        <f>DATE(2012,12,31)-1272</f>
        <v>40002</v>
      </c>
      <c r="D3042" s="4" t="s">
        <v>21</v>
      </c>
      <c r="E3042" s="4">
        <v>23.0</v>
      </c>
      <c r="F3042" s="4">
        <v>139.45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ht="12.75" customHeight="1">
      <c r="A3043" s="4">
        <v>5394.0</v>
      </c>
      <c r="B3043" s="4">
        <v>38341.0</v>
      </c>
      <c r="C3043" s="5">
        <f t="shared" ref="C3043:C3044" si="1295">DATE(2012,12,31)-1323</f>
        <v>39951</v>
      </c>
      <c r="D3043" s="4" t="s">
        <v>63</v>
      </c>
      <c r="E3043" s="4">
        <v>15.0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ht="12.75" customHeight="1">
      <c r="A3044" s="4">
        <v>5395.0</v>
      </c>
      <c r="B3044" s="4">
        <v>38341.0</v>
      </c>
      <c r="C3044" s="5">
        <f t="shared" si="1295"/>
        <v>39951</v>
      </c>
      <c r="D3044" s="4" t="s">
        <v>63</v>
      </c>
      <c r="E3044" s="4">
        <v>5.0</v>
      </c>
      <c r="F3044" s="4">
        <v>64.25</v>
      </c>
      <c r="G3044" s="4">
        <v>0.07</v>
      </c>
      <c r="H3044" s="4" t="s">
        <v>22</v>
      </c>
      <c r="I3044" s="6">
        <v>-7.94</v>
      </c>
      <c r="J3044" s="4">
        <v>12.28</v>
      </c>
      <c r="K3044" s="4">
        <v>4.86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6">C3044+2</f>
        <v>39953</v>
      </c>
    </row>
    <row r="3045" ht="12.75" customHeight="1">
      <c r="A3045" s="4">
        <v>5453.0</v>
      </c>
      <c r="B3045" s="4">
        <v>38723.0</v>
      </c>
      <c r="C3045" s="5">
        <f>DATE(2012,12,31)-102</f>
        <v>41172</v>
      </c>
      <c r="D3045" s="4" t="s">
        <v>78</v>
      </c>
      <c r="E3045" s="4">
        <v>39.0</v>
      </c>
      <c r="F3045" s="4">
        <v>2617.13</v>
      </c>
      <c r="G3045" s="4">
        <v>0.0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6"/>
        <v>41174</v>
      </c>
    </row>
    <row r="3046" ht="12.75" customHeight="1">
      <c r="A3046" s="4">
        <v>5467.0</v>
      </c>
      <c r="B3046" s="4">
        <v>38851.0</v>
      </c>
      <c r="C3046" s="5">
        <f>DATE(2012,12,31)-204</f>
        <v>41070</v>
      </c>
      <c r="D3046" s="4" t="s">
        <v>78</v>
      </c>
      <c r="E3046" s="4">
        <v>1.0</v>
      </c>
      <c r="F3046" s="4">
        <v>8.49</v>
      </c>
      <c r="G3046" s="4">
        <v>0.06</v>
      </c>
      <c r="H3046" s="4" t="s">
        <v>22</v>
      </c>
      <c r="I3046" s="6">
        <v>-5.7385</v>
      </c>
      <c r="J3046" s="4">
        <v>3.74</v>
      </c>
      <c r="K3046" s="4">
        <v>4.69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ht="12.75" customHeight="1">
      <c r="A3047" s="4">
        <v>5470.0</v>
      </c>
      <c r="B3047" s="4">
        <v>38882.0</v>
      </c>
      <c r="C3047" s="5">
        <f>DATE(2012,12,31)-1113</f>
        <v>40161</v>
      </c>
      <c r="D3047" s="4" t="s">
        <v>78</v>
      </c>
      <c r="E3047" s="4">
        <v>40.0</v>
      </c>
      <c r="F3047" s="4">
        <v>2169.49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4.85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ht="12.75" customHeight="1">
      <c r="A3048" s="4">
        <v>5540.0</v>
      </c>
      <c r="B3048" s="4">
        <v>39266.0</v>
      </c>
      <c r="C3048" s="5">
        <f>DATE(2012,12,31)-126</f>
        <v>41148</v>
      </c>
      <c r="D3048" s="4" t="s">
        <v>30</v>
      </c>
      <c r="E3048" s="4">
        <v>4.0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ht="12.75" customHeight="1">
      <c r="A3049" s="4">
        <v>5614.0</v>
      </c>
      <c r="B3049" s="4">
        <v>39780.0</v>
      </c>
      <c r="C3049" s="5">
        <f>DATE(2012,12,31)-1303</f>
        <v>39971</v>
      </c>
      <c r="D3049" s="4" t="s">
        <v>21</v>
      </c>
      <c r="E3049" s="4">
        <v>48.0</v>
      </c>
      <c r="F3049" s="4">
        <v>2208.31</v>
      </c>
      <c r="G3049" s="4">
        <v>0.04</v>
      </c>
      <c r="H3049" s="4" t="s">
        <v>22</v>
      </c>
      <c r="I3049" s="6">
        <v>569.08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ht="12.75" customHeight="1">
      <c r="A3050" s="4">
        <v>5625.0</v>
      </c>
      <c r="B3050" s="4">
        <v>39842.0</v>
      </c>
      <c r="C3050" s="5">
        <f>DATE(2012,12,31)-743</f>
        <v>40531</v>
      </c>
      <c r="D3050" s="4" t="s">
        <v>63</v>
      </c>
      <c r="E3050" s="4">
        <v>22.0</v>
      </c>
      <c r="F3050" s="4">
        <v>1295.502</v>
      </c>
      <c r="G3050" s="4">
        <v>0.01</v>
      </c>
      <c r="H3050" s="4" t="s">
        <v>56</v>
      </c>
      <c r="I3050" s="6">
        <v>224.856</v>
      </c>
      <c r="J3050" s="4">
        <v>65.99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ht="12.75" customHeight="1">
      <c r="A3051" s="4">
        <v>5652.0</v>
      </c>
      <c r="B3051" s="4">
        <v>40005.0</v>
      </c>
      <c r="C3051" s="5">
        <f>DATE(2012,12,31)-890</f>
        <v>40384</v>
      </c>
      <c r="D3051" s="4" t="s">
        <v>30</v>
      </c>
      <c r="E3051" s="4">
        <v>20.0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ht="12.75" customHeight="1">
      <c r="A3052" s="4">
        <v>5733.0</v>
      </c>
      <c r="B3052" s="4">
        <v>40704.0</v>
      </c>
      <c r="C3052" s="5">
        <f>DATE(2012,12,31)-1454</f>
        <v>39820</v>
      </c>
      <c r="D3052" s="4" t="s">
        <v>21</v>
      </c>
      <c r="E3052" s="4">
        <v>6.0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</v>
      </c>
      <c r="U3052" s="5">
        <f>C3052+5</f>
        <v>39825</v>
      </c>
    </row>
    <row r="3053" ht="12.75" customHeight="1">
      <c r="A3053" s="4">
        <v>5833.0</v>
      </c>
      <c r="B3053" s="4">
        <v>41383.0</v>
      </c>
      <c r="C3053" s="5">
        <f>DATE(2012,12,31)-964</f>
        <v>40310</v>
      </c>
      <c r="D3053" s="4" t="s">
        <v>21</v>
      </c>
      <c r="E3053" s="4">
        <v>36.0</v>
      </c>
      <c r="F3053" s="4">
        <v>1449.45</v>
      </c>
      <c r="G3053" s="4">
        <v>0.04</v>
      </c>
      <c r="H3053" s="4" t="s">
        <v>22</v>
      </c>
      <c r="I3053" s="6">
        <v>620.0665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ht="12.75" customHeight="1">
      <c r="A3054" s="4">
        <v>5840.0</v>
      </c>
      <c r="B3054" s="4">
        <v>41415.0</v>
      </c>
      <c r="C3054" s="5">
        <f>DATE(2012,12,31)-1147</f>
        <v>40127</v>
      </c>
      <c r="D3054" s="4" t="s">
        <v>21</v>
      </c>
      <c r="E3054" s="4">
        <v>10.0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ht="12.75" customHeight="1">
      <c r="A3055" s="4">
        <v>5898.0</v>
      </c>
      <c r="B3055" s="4">
        <v>41825.0</v>
      </c>
      <c r="C3055" s="5">
        <f>DATE(2012,12,31)-1227</f>
        <v>40047</v>
      </c>
      <c r="D3055" s="4" t="s">
        <v>78</v>
      </c>
      <c r="E3055" s="4">
        <v>50.0</v>
      </c>
      <c r="F3055" s="4">
        <v>7817.45</v>
      </c>
      <c r="G3055" s="4">
        <v>0.03</v>
      </c>
      <c r="H3055" s="4" t="s">
        <v>31</v>
      </c>
      <c r="I3055" s="6">
        <v>-1303.6</v>
      </c>
      <c r="J3055" s="4">
        <v>150.89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ht="12.75" customHeight="1">
      <c r="A3056" s="4">
        <v>5899.0</v>
      </c>
      <c r="B3056" s="4">
        <v>41826.0</v>
      </c>
      <c r="C3056" s="5">
        <f>DATE(2012,12,31)-807</f>
        <v>40467</v>
      </c>
      <c r="D3056" s="4" t="s">
        <v>63</v>
      </c>
      <c r="E3056" s="4">
        <v>4.0</v>
      </c>
      <c r="F3056" s="4">
        <v>63.93</v>
      </c>
      <c r="G3056" s="4">
        <v>0.03</v>
      </c>
      <c r="H3056" s="4" t="s">
        <v>56</v>
      </c>
      <c r="I3056" s="6">
        <v>40.63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7">C3056+2</f>
        <v>40469</v>
      </c>
    </row>
    <row r="3057" ht="12.75" customHeight="1">
      <c r="A3057" s="4">
        <v>5946.0</v>
      </c>
      <c r="B3057" s="4">
        <v>42213.0</v>
      </c>
      <c r="C3057" s="5">
        <f>DATE(2012,12,31)-651</f>
        <v>40623</v>
      </c>
      <c r="D3057" s="4" t="s">
        <v>78</v>
      </c>
      <c r="E3057" s="4">
        <v>46.0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7"/>
        <v>40625</v>
      </c>
    </row>
    <row r="3058" ht="12.75" customHeight="1">
      <c r="A3058" s="4">
        <v>5995.0</v>
      </c>
      <c r="B3058" s="4">
        <v>42469.0</v>
      </c>
      <c r="C3058" s="5">
        <f>DATE(2012,12,31)-53</f>
        <v>41221</v>
      </c>
      <c r="D3058" s="4" t="s">
        <v>45</v>
      </c>
      <c r="E3058" s="4">
        <v>18.0</v>
      </c>
      <c r="F3058" s="4">
        <v>2130.82</v>
      </c>
      <c r="G3058" s="4">
        <v>0.05</v>
      </c>
      <c r="H3058" s="4" t="s">
        <v>22</v>
      </c>
      <c r="I3058" s="6">
        <v>818.9155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ht="12.75" customHeight="1">
      <c r="A3059" s="4">
        <v>6117.0</v>
      </c>
      <c r="B3059" s="4">
        <v>43302.0</v>
      </c>
      <c r="C3059" s="5">
        <f>DATE(2012,12,31)-496</f>
        <v>40778</v>
      </c>
      <c r="D3059" s="4" t="s">
        <v>21</v>
      </c>
      <c r="E3059" s="4">
        <v>43.0</v>
      </c>
      <c r="F3059" s="4">
        <v>720.6129999999999</v>
      </c>
      <c r="G3059" s="4">
        <v>0.07</v>
      </c>
      <c r="H3059" s="4" t="s">
        <v>22</v>
      </c>
      <c r="I3059" s="6">
        <v>329.679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ht="12.75" customHeight="1">
      <c r="A3060" s="4">
        <v>6156.0</v>
      </c>
      <c r="B3060" s="4">
        <v>43588.0</v>
      </c>
      <c r="C3060" s="5">
        <f>DATE(2012,12,31)-121</f>
        <v>41153</v>
      </c>
      <c r="D3060" s="4" t="s">
        <v>63</v>
      </c>
      <c r="E3060" s="4">
        <v>16.0</v>
      </c>
      <c r="F3060" s="4">
        <v>3075.7520000000004</v>
      </c>
      <c r="G3060" s="4">
        <v>0.04</v>
      </c>
      <c r="H3060" s="4" t="s">
        <v>31</v>
      </c>
      <c r="I3060" s="6">
        <v>-572.6853990000002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ht="12.75" customHeight="1">
      <c r="A3061" s="4">
        <v>6208.0</v>
      </c>
      <c r="B3061" s="4">
        <v>44000.0</v>
      </c>
      <c r="C3061" s="5">
        <f>DATE(2012,12,31)-88</f>
        <v>41186</v>
      </c>
      <c r="D3061" s="4" t="s">
        <v>45</v>
      </c>
      <c r="E3061" s="4">
        <v>18.0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ht="12.75" customHeight="1">
      <c r="A3062" s="4">
        <v>6389.0</v>
      </c>
      <c r="B3062" s="4">
        <v>45381.0</v>
      </c>
      <c r="C3062" s="5">
        <f t="shared" ref="C3062:C3063" si="1298">DATE(2012,12,31)-498</f>
        <v>40776</v>
      </c>
      <c r="D3062" s="4" t="s">
        <v>63</v>
      </c>
      <c r="E3062" s="4">
        <v>26.0</v>
      </c>
      <c r="F3062" s="4">
        <v>164.1</v>
      </c>
      <c r="G3062" s="4">
        <v>0.03</v>
      </c>
      <c r="H3062" s="4" t="s">
        <v>56</v>
      </c>
      <c r="I3062" s="6">
        <v>-41.216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ht="12.75" customHeight="1">
      <c r="A3063" s="4">
        <v>6390.0</v>
      </c>
      <c r="B3063" s="4">
        <v>45381.0</v>
      </c>
      <c r="C3063" s="5">
        <f t="shared" si="1298"/>
        <v>40776</v>
      </c>
      <c r="D3063" s="4" t="s">
        <v>63</v>
      </c>
      <c r="E3063" s="4">
        <v>23.0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ht="12.75" customHeight="1">
      <c r="A3064" s="4">
        <v>6431.0</v>
      </c>
      <c r="B3064" s="4">
        <v>45728.0</v>
      </c>
      <c r="C3064" s="5">
        <f>DATE(2012,12,31)-924</f>
        <v>40350</v>
      </c>
      <c r="D3064" s="4" t="s">
        <v>30</v>
      </c>
      <c r="E3064" s="4">
        <v>11.0</v>
      </c>
      <c r="F3064" s="4">
        <v>38.24</v>
      </c>
      <c r="G3064" s="4">
        <v>0.02</v>
      </c>
      <c r="H3064" s="4" t="s">
        <v>22</v>
      </c>
      <c r="I3064" s="6">
        <v>-37.55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ht="12.75" customHeight="1">
      <c r="A3065" s="4">
        <v>6456.0</v>
      </c>
      <c r="B3065" s="4">
        <v>45984.0</v>
      </c>
      <c r="C3065" s="5">
        <f>DATE(2012,12,31)-339</f>
        <v>40935</v>
      </c>
      <c r="D3065" s="4" t="s">
        <v>63</v>
      </c>
      <c r="E3065" s="4">
        <v>27.0</v>
      </c>
      <c r="F3065" s="4">
        <v>80.33</v>
      </c>
      <c r="G3065" s="4">
        <v>0.01</v>
      </c>
      <c r="H3065" s="4" t="s">
        <v>22</v>
      </c>
      <c r="I3065" s="6">
        <v>2.49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0.58</v>
      </c>
      <c r="U3065" s="5">
        <f>C3065+2</f>
        <v>40937</v>
      </c>
    </row>
    <row r="3066" ht="12.75" customHeight="1">
      <c r="A3066" s="4">
        <v>6459.0</v>
      </c>
      <c r="B3066" s="4">
        <v>45988.0</v>
      </c>
      <c r="C3066" s="5">
        <f>DATE(2012,12,31)-1217</f>
        <v>40057</v>
      </c>
      <c r="D3066" s="4" t="s">
        <v>78</v>
      </c>
      <c r="E3066" s="4">
        <v>43.0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ht="12.75" customHeight="1">
      <c r="A3067" s="4">
        <v>6489.0</v>
      </c>
      <c r="B3067" s="4">
        <v>46177.0</v>
      </c>
      <c r="C3067" s="5">
        <f>DATE(2012,12,31)-757</f>
        <v>40517</v>
      </c>
      <c r="D3067" s="4" t="s">
        <v>21</v>
      </c>
      <c r="E3067" s="4">
        <v>48.0</v>
      </c>
      <c r="F3067" s="4">
        <v>9708.64</v>
      </c>
      <c r="G3067" s="4">
        <v>0.1</v>
      </c>
      <c r="H3067" s="4" t="s">
        <v>31</v>
      </c>
      <c r="I3067" s="6">
        <v>-528.653125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9">C3067+2</f>
        <v>40519</v>
      </c>
    </row>
    <row r="3068" ht="12.75" customHeight="1">
      <c r="A3068" s="4">
        <v>6620.0</v>
      </c>
      <c r="B3068" s="4">
        <v>47106.0</v>
      </c>
      <c r="C3068" s="5">
        <f>DATE(2012,12,31)-433</f>
        <v>40841</v>
      </c>
      <c r="D3068" s="4" t="s">
        <v>63</v>
      </c>
      <c r="E3068" s="4">
        <v>40.0</v>
      </c>
      <c r="F3068" s="4">
        <v>6618.457</v>
      </c>
      <c r="G3068" s="4">
        <v>0.1</v>
      </c>
      <c r="H3068" s="4" t="s">
        <v>22</v>
      </c>
      <c r="I3068" s="6">
        <v>1489.959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9"/>
        <v>40843</v>
      </c>
    </row>
    <row r="3069" ht="12.75" customHeight="1">
      <c r="A3069" s="4">
        <v>6630.0</v>
      </c>
      <c r="B3069" s="4">
        <v>47169.0</v>
      </c>
      <c r="C3069" s="5">
        <f>DATE(2012,12,31)-1034</f>
        <v>40240</v>
      </c>
      <c r="D3069" s="4" t="s">
        <v>63</v>
      </c>
      <c r="E3069" s="4">
        <v>15.0</v>
      </c>
      <c r="F3069" s="4">
        <v>803.2669999999999</v>
      </c>
      <c r="G3069" s="4">
        <v>0.06</v>
      </c>
      <c r="H3069" s="4" t="s">
        <v>22</v>
      </c>
      <c r="I3069" s="6">
        <v>-19.965</v>
      </c>
      <c r="J3069" s="4">
        <v>65.99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</v>
      </c>
      <c r="U3069" s="5">
        <f>C3069+1</f>
        <v>40241</v>
      </c>
    </row>
    <row r="3070" ht="12.75" customHeight="1">
      <c r="A3070" s="4">
        <v>6751.0</v>
      </c>
      <c r="B3070" s="4">
        <v>48071.0</v>
      </c>
      <c r="C3070" s="5">
        <f>DATE(2012,12,31)-669</f>
        <v>40605</v>
      </c>
      <c r="D3070" s="4" t="s">
        <v>21</v>
      </c>
      <c r="E3070" s="4">
        <v>1.0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ht="12.75" customHeight="1">
      <c r="A3071" s="4">
        <v>6910.0</v>
      </c>
      <c r="B3071" s="4">
        <v>49312.0</v>
      </c>
      <c r="C3071" s="5">
        <f>DATE(2012,12,31)-679</f>
        <v>40595</v>
      </c>
      <c r="D3071" s="4" t="s">
        <v>78</v>
      </c>
      <c r="E3071" s="4">
        <v>19.0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ht="12.75" customHeight="1">
      <c r="A3072" s="4">
        <v>6930.0</v>
      </c>
      <c r="B3072" s="4">
        <v>49472.0</v>
      </c>
      <c r="C3072" s="5">
        <f>DATE(2012,12,31)-899</f>
        <v>40375</v>
      </c>
      <c r="D3072" s="4" t="s">
        <v>21</v>
      </c>
      <c r="E3072" s="4">
        <v>23.0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</v>
      </c>
      <c r="U3072" s="5">
        <f>C3072+5</f>
        <v>40380</v>
      </c>
    </row>
    <row r="3073" ht="12.75" customHeight="1">
      <c r="A3073" s="4">
        <v>6980.0</v>
      </c>
      <c r="B3073" s="4">
        <v>49891.0</v>
      </c>
      <c r="C3073" s="5">
        <f>DATE(2012,12,31)-1206</f>
        <v>40068</v>
      </c>
      <c r="D3073" s="4" t="s">
        <v>45</v>
      </c>
      <c r="E3073" s="4">
        <v>19.0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ht="12.75" customHeight="1">
      <c r="A3074" s="4">
        <v>7041.0</v>
      </c>
      <c r="B3074" s="4">
        <v>50276.0</v>
      </c>
      <c r="C3074" s="5">
        <f>DATE(2012,12,31)-686</f>
        <v>40588</v>
      </c>
      <c r="D3074" s="4" t="s">
        <v>45</v>
      </c>
      <c r="E3074" s="4">
        <v>34.0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</v>
      </c>
      <c r="U3074" s="5">
        <f t="shared" ref="U3074:U3075" si="1300">C3074+1</f>
        <v>40589</v>
      </c>
    </row>
    <row r="3075" ht="12.75" customHeight="1">
      <c r="A3075" s="4">
        <v>7162.0</v>
      </c>
      <c r="B3075" s="4">
        <v>51107.0</v>
      </c>
      <c r="C3075" s="5">
        <f>DATE(2012,12,31)-97</f>
        <v>41177</v>
      </c>
      <c r="D3075" s="4" t="s">
        <v>45</v>
      </c>
      <c r="E3075" s="4">
        <v>36.0</v>
      </c>
      <c r="F3075" s="4">
        <v>772.67</v>
      </c>
      <c r="G3075" s="4">
        <v>0.0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300"/>
        <v>41178</v>
      </c>
    </row>
    <row r="3076" ht="12.75" customHeight="1">
      <c r="A3076" s="4">
        <v>7260.0</v>
      </c>
      <c r="B3076" s="4">
        <v>51783.0</v>
      </c>
      <c r="C3076" s="5">
        <f>DATE(2012,12,31)-416</f>
        <v>40858</v>
      </c>
      <c r="D3076" s="4" t="s">
        <v>63</v>
      </c>
      <c r="E3076" s="4">
        <v>10.0</v>
      </c>
      <c r="F3076" s="4">
        <v>1875.18</v>
      </c>
      <c r="G3076" s="4">
        <v>0.01</v>
      </c>
      <c r="H3076" s="4" t="s">
        <v>31</v>
      </c>
      <c r="I3076" s="6">
        <v>-433.2901430000001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1">C3076+2</f>
        <v>40860</v>
      </c>
    </row>
    <row r="3077" ht="12.75" customHeight="1">
      <c r="A3077" s="4">
        <v>7295.0</v>
      </c>
      <c r="B3077" s="4">
        <v>52006.0</v>
      </c>
      <c r="C3077" s="5">
        <f>DATE(2012,12,31)-1286</f>
        <v>39988</v>
      </c>
      <c r="D3077" s="4" t="s">
        <v>63</v>
      </c>
      <c r="E3077" s="4">
        <v>42.0</v>
      </c>
      <c r="F3077" s="4">
        <v>375.76</v>
      </c>
      <c r="G3077" s="4">
        <v>0.0</v>
      </c>
      <c r="H3077" s="4" t="s">
        <v>22</v>
      </c>
      <c r="I3077" s="6">
        <v>-241.63</v>
      </c>
      <c r="J3077" s="4">
        <v>8.37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1"/>
        <v>39990</v>
      </c>
    </row>
    <row r="3078" ht="12.75" customHeight="1">
      <c r="A3078" s="4">
        <v>7429.0</v>
      </c>
      <c r="B3078" s="4">
        <v>52934.0</v>
      </c>
      <c r="C3078" s="5">
        <f>DATE(2012,12,31)-523</f>
        <v>40751</v>
      </c>
      <c r="D3078" s="4" t="s">
        <v>78</v>
      </c>
      <c r="E3078" s="4">
        <v>20.0</v>
      </c>
      <c r="F3078" s="4">
        <v>92.15</v>
      </c>
      <c r="G3078" s="4">
        <v>0.08</v>
      </c>
      <c r="H3078" s="4" t="s">
        <v>22</v>
      </c>
      <c r="I3078" s="6">
        <v>36.98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2">C3078+1</f>
        <v>40752</v>
      </c>
    </row>
    <row r="3079" ht="12.75" customHeight="1">
      <c r="A3079" s="4">
        <v>7555.0</v>
      </c>
      <c r="B3079" s="4">
        <v>54053.0</v>
      </c>
      <c r="C3079" s="5">
        <f>DATE(2012,12,31)-321</f>
        <v>40953</v>
      </c>
      <c r="D3079" s="4" t="s">
        <v>30</v>
      </c>
      <c r="E3079" s="4">
        <v>18.0</v>
      </c>
      <c r="F3079" s="4">
        <v>821.7884999999999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5.0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2"/>
        <v>40954</v>
      </c>
    </row>
    <row r="3080" ht="12.75" customHeight="1">
      <c r="A3080" s="4">
        <v>7708.0</v>
      </c>
      <c r="B3080" s="4">
        <v>55239.0</v>
      </c>
      <c r="C3080" s="5">
        <f>DATE(2012,12,31)-28</f>
        <v>41246</v>
      </c>
      <c r="D3080" s="4" t="s">
        <v>78</v>
      </c>
      <c r="E3080" s="4">
        <v>13.0</v>
      </c>
      <c r="F3080" s="4">
        <v>95.68</v>
      </c>
      <c r="G3080" s="4">
        <v>0.07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2"/>
        <v>41247</v>
      </c>
    </row>
    <row r="3081" ht="12.75" customHeight="1">
      <c r="A3081" s="4">
        <v>7739.0</v>
      </c>
      <c r="B3081" s="4">
        <v>55425.0</v>
      </c>
      <c r="C3081" s="5">
        <f>DATE(2012,12,31)-426</f>
        <v>40848</v>
      </c>
      <c r="D3081" s="4" t="s">
        <v>78</v>
      </c>
      <c r="E3081" s="4">
        <v>7.0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</v>
      </c>
      <c r="K3081" s="4">
        <v>9.45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2"/>
        <v>40849</v>
      </c>
    </row>
    <row r="3082" ht="12.75" customHeight="1">
      <c r="A3082" s="4">
        <v>7901.0</v>
      </c>
      <c r="B3082" s="4">
        <v>56515.0</v>
      </c>
      <c r="C3082" s="5">
        <f>DATE(2012,12,31)-584</f>
        <v>40690</v>
      </c>
      <c r="D3082" s="4" t="s">
        <v>63</v>
      </c>
      <c r="E3082" s="4">
        <v>17.0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ht="12.75" customHeight="1">
      <c r="A3083" s="4">
        <v>8079.0</v>
      </c>
      <c r="B3083" s="4">
        <v>57638.0</v>
      </c>
      <c r="C3083" s="5">
        <f>DATE(2012,12,31)-253</f>
        <v>41021</v>
      </c>
      <c r="D3083" s="4" t="s">
        <v>21</v>
      </c>
      <c r="E3083" s="4">
        <v>35.0</v>
      </c>
      <c r="F3083" s="4">
        <v>5740.624</v>
      </c>
      <c r="G3083" s="4">
        <v>0.09</v>
      </c>
      <c r="H3083" s="4" t="s">
        <v>31</v>
      </c>
      <c r="I3083" s="6">
        <v>-526.478095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ht="12.75" customHeight="1">
      <c r="A3084" s="4">
        <v>8195.0</v>
      </c>
      <c r="B3084" s="4">
        <v>58599.0</v>
      </c>
      <c r="C3084" s="5">
        <f>DATE(2012,12,31)-1082</f>
        <v>40192</v>
      </c>
      <c r="D3084" s="4" t="s">
        <v>78</v>
      </c>
      <c r="E3084" s="4">
        <v>49.0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30.0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ht="12.75" customHeight="1">
      <c r="A3085" s="4">
        <v>8265.0</v>
      </c>
      <c r="B3085" s="4">
        <v>59075.0</v>
      </c>
      <c r="C3085" s="5">
        <f>DATE(2012,12,31)-309</f>
        <v>40965</v>
      </c>
      <c r="D3085" s="4" t="s">
        <v>21</v>
      </c>
      <c r="E3085" s="4">
        <v>4.0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4.77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ht="12.75" customHeight="1">
      <c r="A3086" s="4">
        <v>8300.0</v>
      </c>
      <c r="B3086" s="4">
        <v>59270.0</v>
      </c>
      <c r="C3086" s="5">
        <f>DATE(2012,12,31)-1085</f>
        <v>40189</v>
      </c>
      <c r="D3086" s="4" t="s">
        <v>30</v>
      </c>
      <c r="E3086" s="4">
        <v>47.0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ht="12.75" customHeight="1">
      <c r="A3087" s="4">
        <v>58.0</v>
      </c>
      <c r="B3087" s="4">
        <v>326.0</v>
      </c>
      <c r="C3087" s="5">
        <f t="shared" ref="C3087:C3088" si="1303">DATE(2012,12,31)-577</f>
        <v>40697</v>
      </c>
      <c r="D3087" s="4" t="s">
        <v>30</v>
      </c>
      <c r="E3087" s="4">
        <v>34.0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4">C3087+1</f>
        <v>40698</v>
      </c>
    </row>
    <row r="3088" ht="12.75" customHeight="1">
      <c r="A3088" s="4">
        <v>59.0</v>
      </c>
      <c r="B3088" s="4">
        <v>326.0</v>
      </c>
      <c r="C3088" s="5">
        <f t="shared" si="1303"/>
        <v>40697</v>
      </c>
      <c r="D3088" s="4" t="s">
        <v>30</v>
      </c>
      <c r="E3088" s="4">
        <v>17.0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4"/>
        <v>40698</v>
      </c>
    </row>
    <row r="3089" ht="12.75" customHeight="1">
      <c r="A3089" s="4">
        <v>99.0</v>
      </c>
      <c r="B3089" s="4">
        <v>614.0</v>
      </c>
      <c r="C3089" s="5">
        <f t="shared" ref="C3089:C3090" si="1305">DATE(2012,12,31)-31</f>
        <v>41243</v>
      </c>
      <c r="D3089" s="4" t="s">
        <v>30</v>
      </c>
      <c r="E3089" s="4">
        <v>41.0</v>
      </c>
      <c r="F3089" s="4">
        <v>628.22</v>
      </c>
      <c r="G3089" s="4">
        <v>0.0</v>
      </c>
      <c r="H3089" s="4" t="s">
        <v>22</v>
      </c>
      <c r="I3089" s="6">
        <v>163.81</v>
      </c>
      <c r="J3089" s="4">
        <v>14.34</v>
      </c>
      <c r="K3089" s="4">
        <v>5.0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ht="12.75" customHeight="1">
      <c r="A3090" s="4">
        <v>100.0</v>
      </c>
      <c r="B3090" s="4">
        <v>614.0</v>
      </c>
      <c r="C3090" s="5">
        <f t="shared" si="1305"/>
        <v>41243</v>
      </c>
      <c r="D3090" s="4" t="s">
        <v>30</v>
      </c>
      <c r="E3090" s="4">
        <v>24.0</v>
      </c>
      <c r="F3090" s="4">
        <v>3366.1</v>
      </c>
      <c r="G3090" s="4">
        <v>0.07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ht="12.75" customHeight="1">
      <c r="A3091" s="4">
        <v>139.0</v>
      </c>
      <c r="B3091" s="4">
        <v>898.0</v>
      </c>
      <c r="C3091" s="5">
        <f t="shared" ref="C3091:C3092" si="1306">DATE(2012,12,31)-943</f>
        <v>40331</v>
      </c>
      <c r="D3091" s="4" t="s">
        <v>30</v>
      </c>
      <c r="E3091" s="4">
        <v>40.0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ht="12.75" customHeight="1">
      <c r="A3092" s="4">
        <v>140.0</v>
      </c>
      <c r="B3092" s="4">
        <v>898.0</v>
      </c>
      <c r="C3092" s="5">
        <f t="shared" si="1306"/>
        <v>40331</v>
      </c>
      <c r="D3092" s="4" t="s">
        <v>30</v>
      </c>
      <c r="E3092" s="4">
        <v>26.0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ht="12.75" customHeight="1">
      <c r="A3093" s="4">
        <v>166.0</v>
      </c>
      <c r="B3093" s="4">
        <v>1031.0</v>
      </c>
      <c r="C3093" s="5">
        <f>DATE(2012,12,31)-1218</f>
        <v>40056</v>
      </c>
      <c r="D3093" s="4" t="s">
        <v>63</v>
      </c>
      <c r="E3093" s="4">
        <v>34.0</v>
      </c>
      <c r="F3093" s="4">
        <v>226.1</v>
      </c>
      <c r="G3093" s="4">
        <v>0.0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ht="12.75" customHeight="1">
      <c r="A3094" s="4">
        <v>224.0</v>
      </c>
      <c r="B3094" s="4">
        <v>1447.0</v>
      </c>
      <c r="C3094" s="5">
        <f>DATE(2012,12,31)-78</f>
        <v>41196</v>
      </c>
      <c r="D3094" s="4" t="s">
        <v>30</v>
      </c>
      <c r="E3094" s="4">
        <v>40.0</v>
      </c>
      <c r="F3094" s="4">
        <v>2135.9734999999996</v>
      </c>
      <c r="G3094" s="4">
        <v>0.07</v>
      </c>
      <c r="H3094" s="4" t="s">
        <v>22</v>
      </c>
      <c r="I3094" s="6">
        <v>239.4</v>
      </c>
      <c r="J3094" s="4">
        <v>65.99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ht="12.75" customHeight="1">
      <c r="A3095" s="4">
        <v>311.0</v>
      </c>
      <c r="B3095" s="4">
        <v>2150.0</v>
      </c>
      <c r="C3095" s="5">
        <f>DATE(2012,12,31)-1308</f>
        <v>39966</v>
      </c>
      <c r="D3095" s="4" t="s">
        <v>63</v>
      </c>
      <c r="E3095" s="4">
        <v>21.0</v>
      </c>
      <c r="F3095" s="4">
        <v>3905.75</v>
      </c>
      <c r="G3095" s="4">
        <v>0.01</v>
      </c>
      <c r="H3095" s="4" t="s">
        <v>31</v>
      </c>
      <c r="I3095" s="6">
        <v>55.30185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ht="12.75" customHeight="1">
      <c r="A3096" s="4">
        <v>320.0</v>
      </c>
      <c r="B3096" s="4">
        <v>2211.0</v>
      </c>
      <c r="C3096" s="5">
        <f t="shared" ref="C3096:C3098" si="1307">DATE(2012,12,31)-1281</f>
        <v>39993</v>
      </c>
      <c r="D3096" s="4" t="s">
        <v>30</v>
      </c>
      <c r="E3096" s="4">
        <v>22.0</v>
      </c>
      <c r="F3096" s="4">
        <v>1651.09</v>
      </c>
      <c r="G3096" s="4">
        <v>0.05</v>
      </c>
      <c r="H3096" s="4" t="s">
        <v>22</v>
      </c>
      <c r="I3096" s="6">
        <v>-2.380000000000024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ht="12.75" customHeight="1">
      <c r="A3097" s="4">
        <v>321.0</v>
      </c>
      <c r="B3097" s="4">
        <v>2211.0</v>
      </c>
      <c r="C3097" s="5">
        <f t="shared" si="1307"/>
        <v>39993</v>
      </c>
      <c r="D3097" s="4" t="s">
        <v>30</v>
      </c>
      <c r="E3097" s="4">
        <v>14.0</v>
      </c>
      <c r="F3097" s="4">
        <v>95.89</v>
      </c>
      <c r="G3097" s="4">
        <v>0.0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8">C3097+2</f>
        <v>39995</v>
      </c>
    </row>
    <row r="3098" ht="12.75" customHeight="1">
      <c r="A3098" s="4">
        <v>322.0</v>
      </c>
      <c r="B3098" s="4">
        <v>2211.0</v>
      </c>
      <c r="C3098" s="5">
        <f t="shared" si="1307"/>
        <v>39993</v>
      </c>
      <c r="D3098" s="4" t="s">
        <v>30</v>
      </c>
      <c r="E3098" s="4">
        <v>23.0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8"/>
        <v>39995</v>
      </c>
    </row>
    <row r="3099" ht="12.75" customHeight="1">
      <c r="A3099" s="4">
        <v>339.0</v>
      </c>
      <c r="B3099" s="4">
        <v>2307.0</v>
      </c>
      <c r="C3099" s="5">
        <f>DATE(2012,12,31)-917</f>
        <v>40357</v>
      </c>
      <c r="D3099" s="4" t="s">
        <v>21</v>
      </c>
      <c r="E3099" s="4">
        <v>32.0</v>
      </c>
      <c r="F3099" s="4">
        <v>182.33</v>
      </c>
      <c r="G3099" s="4">
        <v>0.1</v>
      </c>
      <c r="H3099" s="4" t="s">
        <v>22</v>
      </c>
      <c r="I3099" s="6">
        <v>40.851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ht="12.75" customHeight="1">
      <c r="A3100" s="4">
        <v>345.0</v>
      </c>
      <c r="B3100" s="4">
        <v>2370.0</v>
      </c>
      <c r="C3100" s="5">
        <f t="shared" ref="C3100:C3101" si="1309">DATE(2012,12,31)-1445</f>
        <v>39829</v>
      </c>
      <c r="D3100" s="4" t="s">
        <v>78</v>
      </c>
      <c r="E3100" s="4">
        <v>6.0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10">C3100+2</f>
        <v>39831</v>
      </c>
    </row>
    <row r="3101" ht="12.75" customHeight="1">
      <c r="A3101" s="4">
        <v>346.0</v>
      </c>
      <c r="B3101" s="4">
        <v>2370.0</v>
      </c>
      <c r="C3101" s="5">
        <f t="shared" si="1309"/>
        <v>39829</v>
      </c>
      <c r="D3101" s="4" t="s">
        <v>78</v>
      </c>
      <c r="E3101" s="4">
        <v>30.0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10"/>
        <v>39831</v>
      </c>
    </row>
    <row r="3102" ht="12.75" customHeight="1">
      <c r="A3102" s="4">
        <v>348.0</v>
      </c>
      <c r="B3102" s="4">
        <v>2374.0</v>
      </c>
      <c r="C3102" s="5">
        <f>DATE(2012,12,31)-795</f>
        <v>40479</v>
      </c>
      <c r="D3102" s="4" t="s">
        <v>45</v>
      </c>
      <c r="E3102" s="4">
        <v>21.0</v>
      </c>
      <c r="F3102" s="4">
        <v>78.17</v>
      </c>
      <c r="G3102" s="4">
        <v>0.01</v>
      </c>
      <c r="H3102" s="4" t="s">
        <v>56</v>
      </c>
      <c r="I3102" s="6">
        <v>-72.703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10"/>
        <v>40481</v>
      </c>
    </row>
    <row r="3103" ht="12.75" customHeight="1">
      <c r="A3103" s="4">
        <v>462.0</v>
      </c>
      <c r="B3103" s="4">
        <v>3138.0</v>
      </c>
      <c r="C3103" s="5">
        <f>DATE(2012,12,31)-1422</f>
        <v>39852</v>
      </c>
      <c r="D3103" s="4" t="s">
        <v>45</v>
      </c>
      <c r="E3103" s="4">
        <v>4.0</v>
      </c>
      <c r="F3103" s="4">
        <v>718.03</v>
      </c>
      <c r="G3103" s="4">
        <v>0.07</v>
      </c>
      <c r="H3103" s="4" t="s">
        <v>56</v>
      </c>
      <c r="I3103" s="6">
        <v>-427.47</v>
      </c>
      <c r="J3103" s="4">
        <v>179.99</v>
      </c>
      <c r="K3103" s="4">
        <v>19.99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ht="12.75" customHeight="1">
      <c r="A3104" s="4">
        <v>463.0</v>
      </c>
      <c r="B3104" s="4">
        <v>3141.0</v>
      </c>
      <c r="C3104" s="5">
        <f>DATE(2012,12,31)-418</f>
        <v>40856</v>
      </c>
      <c r="D3104" s="4" t="s">
        <v>78</v>
      </c>
      <c r="E3104" s="4">
        <v>30.0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ht="12.75" customHeight="1">
      <c r="A3105" s="4">
        <v>641.0</v>
      </c>
      <c r="B3105" s="4">
        <v>4515.0</v>
      </c>
      <c r="C3105" s="5">
        <f>DATE(2012,12,31)-290</f>
        <v>40984</v>
      </c>
      <c r="D3105" s="4" t="s">
        <v>78</v>
      </c>
      <c r="E3105" s="4">
        <v>7.0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ht="12.75" customHeight="1">
      <c r="A3106" s="4">
        <v>675.0</v>
      </c>
      <c r="B3106" s="4">
        <v>4708.0</v>
      </c>
      <c r="C3106" s="5">
        <f>DATE(2012,12,31)-1188</f>
        <v>40086</v>
      </c>
      <c r="D3106" s="4" t="s">
        <v>78</v>
      </c>
      <c r="E3106" s="4">
        <v>29.0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ht="12.75" customHeight="1">
      <c r="A3107" s="4">
        <v>720.0</v>
      </c>
      <c r="B3107" s="4">
        <v>5155.0</v>
      </c>
      <c r="C3107" s="5">
        <f>DATE(2012,12,31)-1299</f>
        <v>39975</v>
      </c>
      <c r="D3107" s="4" t="s">
        <v>30</v>
      </c>
      <c r="E3107" s="4">
        <v>14.0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39.98</v>
      </c>
      <c r="K3107" s="4">
        <v>4.0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ht="12.75" customHeight="1">
      <c r="A3108" s="4">
        <v>752.0</v>
      </c>
      <c r="B3108" s="4">
        <v>5382.0</v>
      </c>
      <c r="C3108" s="5">
        <f>DATE(2012,12,31)-354</f>
        <v>40920</v>
      </c>
      <c r="D3108" s="4" t="s">
        <v>21</v>
      </c>
      <c r="E3108" s="4">
        <v>30.0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ht="12.75" customHeight="1">
      <c r="A3109" s="4">
        <v>756.0</v>
      </c>
      <c r="B3109" s="4">
        <v>5414.0</v>
      </c>
      <c r="C3109" s="5">
        <f>DATE(2012,12,31)-1013</f>
        <v>40261</v>
      </c>
      <c r="D3109" s="4" t="s">
        <v>45</v>
      </c>
      <c r="E3109" s="4">
        <v>14.0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1">C3109+1</f>
        <v>40262</v>
      </c>
    </row>
    <row r="3110" ht="12.75" customHeight="1">
      <c r="A3110" s="4">
        <v>894.0</v>
      </c>
      <c r="B3110" s="4">
        <v>6433.0</v>
      </c>
      <c r="C3110" s="5">
        <f>DATE(2012,12,31)-405</f>
        <v>40869</v>
      </c>
      <c r="D3110" s="4" t="s">
        <v>63</v>
      </c>
      <c r="E3110" s="4">
        <v>41.0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1"/>
        <v>40870</v>
      </c>
    </row>
    <row r="3111" ht="12.75" customHeight="1">
      <c r="A3111" s="4">
        <v>898.0</v>
      </c>
      <c r="B3111" s="4">
        <v>6464.0</v>
      </c>
      <c r="C3111" s="5">
        <f t="shared" ref="C3111:C3112" si="1312">DATE(2012,12,31)-1313</f>
        <v>39961</v>
      </c>
      <c r="D3111" s="4" t="s">
        <v>63</v>
      </c>
      <c r="E3111" s="4">
        <v>1.0</v>
      </c>
      <c r="F3111" s="4">
        <v>57.84</v>
      </c>
      <c r="G3111" s="4">
        <v>0.07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</v>
      </c>
      <c r="U3111" s="5">
        <f t="shared" ref="U3111:U3112" si="1313">C3111+2</f>
        <v>39963</v>
      </c>
    </row>
    <row r="3112" ht="12.75" customHeight="1">
      <c r="A3112" s="4">
        <v>899.0</v>
      </c>
      <c r="B3112" s="4">
        <v>6464.0</v>
      </c>
      <c r="C3112" s="5">
        <f t="shared" si="1312"/>
        <v>39961</v>
      </c>
      <c r="D3112" s="4" t="s">
        <v>63</v>
      </c>
      <c r="E3112" s="4">
        <v>42.0</v>
      </c>
      <c r="F3112" s="4">
        <v>3991.99</v>
      </c>
      <c r="G3112" s="4">
        <v>0.0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3"/>
        <v>39963</v>
      </c>
    </row>
    <row r="3113" ht="12.75" customHeight="1">
      <c r="A3113" s="4">
        <v>1064.0</v>
      </c>
      <c r="B3113" s="4">
        <v>7846.0</v>
      </c>
      <c r="C3113" s="5">
        <f t="shared" ref="C3113:C3116" si="1314">DATE(2012,12,31)-555</f>
        <v>40719</v>
      </c>
      <c r="D3113" s="4" t="s">
        <v>21</v>
      </c>
      <c r="E3113" s="4">
        <v>47.0</v>
      </c>
      <c r="F3113" s="4">
        <v>2926.33</v>
      </c>
      <c r="G3113" s="4">
        <v>0.09</v>
      </c>
      <c r="H3113" s="4" t="s">
        <v>22</v>
      </c>
      <c r="I3113" s="6">
        <v>499.273</v>
      </c>
      <c r="J3113" s="4">
        <v>67.28</v>
      </c>
      <c r="K3113" s="4">
        <v>19.99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5">C3113+5</f>
        <v>40724</v>
      </c>
    </row>
    <row r="3114" ht="12.75" customHeight="1">
      <c r="A3114" s="4">
        <v>1065.0</v>
      </c>
      <c r="B3114" s="4">
        <v>7846.0</v>
      </c>
      <c r="C3114" s="5">
        <f t="shared" si="1314"/>
        <v>40719</v>
      </c>
      <c r="D3114" s="4" t="s">
        <v>21</v>
      </c>
      <c r="E3114" s="4">
        <v>20.0</v>
      </c>
      <c r="F3114" s="4">
        <v>40.05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5"/>
        <v>40724</v>
      </c>
    </row>
    <row r="3115" ht="12.75" customHeight="1">
      <c r="A3115" s="4">
        <v>1066.0</v>
      </c>
      <c r="B3115" s="4">
        <v>7846.0</v>
      </c>
      <c r="C3115" s="5">
        <f t="shared" si="1314"/>
        <v>40719</v>
      </c>
      <c r="D3115" s="4" t="s">
        <v>21</v>
      </c>
      <c r="E3115" s="4">
        <v>20.0</v>
      </c>
      <c r="F3115" s="4">
        <v>552.87</v>
      </c>
      <c r="G3115" s="4">
        <v>0.01</v>
      </c>
      <c r="H3115" s="4" t="s">
        <v>22</v>
      </c>
      <c r="I3115" s="6">
        <v>-64.82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ht="12.75" customHeight="1">
      <c r="A3116" s="4">
        <v>1067.0</v>
      </c>
      <c r="B3116" s="4">
        <v>7846.0</v>
      </c>
      <c r="C3116" s="5">
        <f t="shared" si="1314"/>
        <v>40719</v>
      </c>
      <c r="D3116" s="4" t="s">
        <v>21</v>
      </c>
      <c r="E3116" s="4">
        <v>12.0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6">C3116+0</f>
        <v>40719</v>
      </c>
    </row>
    <row r="3117" ht="12.75" customHeight="1">
      <c r="A3117" s="4">
        <v>1077.0</v>
      </c>
      <c r="B3117" s="4">
        <v>7936.0</v>
      </c>
      <c r="C3117" s="5">
        <f t="shared" ref="C3117:C3118" si="1317">DATE(2012,12,31)-1001</f>
        <v>40273</v>
      </c>
      <c r="D3117" s="4" t="s">
        <v>21</v>
      </c>
      <c r="E3117" s="4">
        <v>50.0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6"/>
        <v>40273</v>
      </c>
    </row>
    <row r="3118" ht="12.75" customHeight="1">
      <c r="A3118" s="4">
        <v>1078.0</v>
      </c>
      <c r="B3118" s="4">
        <v>7936.0</v>
      </c>
      <c r="C3118" s="5">
        <f t="shared" si="1317"/>
        <v>40273</v>
      </c>
      <c r="D3118" s="4" t="s">
        <v>21</v>
      </c>
      <c r="E3118" s="4">
        <v>15.0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0.57</v>
      </c>
      <c r="U3118" s="5">
        <f>C3118+5</f>
        <v>40278</v>
      </c>
    </row>
    <row r="3119" ht="12.75" customHeight="1">
      <c r="A3119" s="4">
        <v>1118.0</v>
      </c>
      <c r="B3119" s="4">
        <v>8195.0</v>
      </c>
      <c r="C3119" s="5">
        <f t="shared" ref="C3119:C3121" si="1318">DATE(2012,12,31)-725</f>
        <v>40549</v>
      </c>
      <c r="D3119" s="4" t="s">
        <v>63</v>
      </c>
      <c r="E3119" s="4">
        <v>5.0</v>
      </c>
      <c r="F3119" s="4">
        <v>51.3</v>
      </c>
      <c r="G3119" s="4">
        <v>0.05</v>
      </c>
      <c r="H3119" s="4" t="s">
        <v>56</v>
      </c>
      <c r="I3119" s="6">
        <v>-32.48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ht="12.75" customHeight="1">
      <c r="A3120" s="4">
        <v>1119.0</v>
      </c>
      <c r="B3120" s="4">
        <v>8195.0</v>
      </c>
      <c r="C3120" s="5">
        <f t="shared" si="1318"/>
        <v>40549</v>
      </c>
      <c r="D3120" s="4" t="s">
        <v>63</v>
      </c>
      <c r="E3120" s="4">
        <v>1.0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ht="12.75" customHeight="1">
      <c r="A3121" s="4">
        <v>1120.0</v>
      </c>
      <c r="B3121" s="4">
        <v>8195.0</v>
      </c>
      <c r="C3121" s="5">
        <f t="shared" si="1318"/>
        <v>40549</v>
      </c>
      <c r="D3121" s="4" t="s">
        <v>63</v>
      </c>
      <c r="E3121" s="4">
        <v>26.0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</v>
      </c>
      <c r="U3121" s="5">
        <f>C3121+1</f>
        <v>40550</v>
      </c>
    </row>
    <row r="3122" ht="12.75" customHeight="1">
      <c r="A3122" s="4">
        <v>1137.0</v>
      </c>
      <c r="B3122" s="4">
        <v>8293.0</v>
      </c>
      <c r="C3122" s="5">
        <f>DATE(2012,12,31)-143</f>
        <v>41131</v>
      </c>
      <c r="D3122" s="4" t="s">
        <v>21</v>
      </c>
      <c r="E3122" s="4">
        <v>50.0</v>
      </c>
      <c r="F3122" s="4">
        <v>1497.7595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</v>
      </c>
      <c r="U3122" s="5">
        <f>C3122+5</f>
        <v>41136</v>
      </c>
    </row>
    <row r="3123" ht="12.75" customHeight="1">
      <c r="A3123" s="4">
        <v>1270.0</v>
      </c>
      <c r="B3123" s="4">
        <v>9248.0</v>
      </c>
      <c r="C3123" s="5">
        <f>DATE(2012,12,31)-1104</f>
        <v>40170</v>
      </c>
      <c r="D3123" s="4" t="s">
        <v>45</v>
      </c>
      <c r="E3123" s="4">
        <v>41.0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69.0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ht="12.75" customHeight="1">
      <c r="A3124" s="4">
        <v>1284.0</v>
      </c>
      <c r="B3124" s="4">
        <v>9347.0</v>
      </c>
      <c r="C3124" s="5">
        <f>DATE(2012,12,31)-144</f>
        <v>41130</v>
      </c>
      <c r="D3124" s="4" t="s">
        <v>21</v>
      </c>
      <c r="E3124" s="4">
        <v>31.0</v>
      </c>
      <c r="F3124" s="4">
        <v>131.2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ht="12.75" customHeight="1">
      <c r="A3125" s="4">
        <v>1289.0</v>
      </c>
      <c r="B3125" s="4">
        <v>9472.0</v>
      </c>
      <c r="C3125" s="5">
        <f>DATE(2012,12,31)-564</f>
        <v>40710</v>
      </c>
      <c r="D3125" s="4" t="s">
        <v>78</v>
      </c>
      <c r="E3125" s="4">
        <v>17.0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ht="12.75" customHeight="1">
      <c r="A3126" s="4">
        <v>1333.0</v>
      </c>
      <c r="B3126" s="4">
        <v>9733.0</v>
      </c>
      <c r="C3126" s="5">
        <f>DATE(2012,12,31)-1385</f>
        <v>39889</v>
      </c>
      <c r="D3126" s="4" t="s">
        <v>45</v>
      </c>
      <c r="E3126" s="4">
        <v>39.0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ht="12.75" customHeight="1">
      <c r="A3127" s="4">
        <v>1388.0</v>
      </c>
      <c r="B3127" s="4">
        <v>10054.0</v>
      </c>
      <c r="C3127" s="5">
        <f t="shared" ref="C3127:C3128" si="1319">DATE(2012,12,31)-613</f>
        <v>40661</v>
      </c>
      <c r="D3127" s="4" t="s">
        <v>30</v>
      </c>
      <c r="E3127" s="4">
        <v>2.0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ht="12.75" customHeight="1">
      <c r="A3128" s="4">
        <v>1389.0</v>
      </c>
      <c r="B3128" s="4">
        <v>10054.0</v>
      </c>
      <c r="C3128" s="5">
        <f t="shared" si="1319"/>
        <v>40661</v>
      </c>
      <c r="D3128" s="4" t="s">
        <v>30</v>
      </c>
      <c r="E3128" s="4">
        <v>2.0</v>
      </c>
      <c r="F3128" s="4">
        <v>196.8515</v>
      </c>
      <c r="G3128" s="4">
        <v>0.09</v>
      </c>
      <c r="H3128" s="4" t="s">
        <v>22</v>
      </c>
      <c r="I3128" s="6">
        <v>-606.595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</v>
      </c>
      <c r="U3128" s="5">
        <f>C3128+0</f>
        <v>40661</v>
      </c>
    </row>
    <row r="3129" ht="12.75" customHeight="1">
      <c r="A3129" s="4">
        <v>1471.0</v>
      </c>
      <c r="B3129" s="4">
        <v>10627.0</v>
      </c>
      <c r="C3129" s="5">
        <f>DATE(2012,12,31)-1041</f>
        <v>40233</v>
      </c>
      <c r="D3129" s="4" t="s">
        <v>21</v>
      </c>
      <c r="E3129" s="4">
        <v>4.0</v>
      </c>
      <c r="F3129" s="4">
        <v>40.23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0.58</v>
      </c>
      <c r="U3129" s="5">
        <f>C3129+5</f>
        <v>40238</v>
      </c>
    </row>
    <row r="3130" ht="12.75" customHeight="1">
      <c r="A3130" s="4">
        <v>1472.0</v>
      </c>
      <c r="B3130" s="4">
        <v>10629.0</v>
      </c>
      <c r="C3130" s="5">
        <f t="shared" ref="C3130:C3131" si="1320">DATE(2012,12,31)-1207</f>
        <v>40067</v>
      </c>
      <c r="D3130" s="4" t="s">
        <v>78</v>
      </c>
      <c r="E3130" s="4">
        <v>39.0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8.37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1">C3130+2</f>
        <v>40069</v>
      </c>
    </row>
    <row r="3131" ht="12.75" customHeight="1">
      <c r="A3131" s="4">
        <v>1473.0</v>
      </c>
      <c r="B3131" s="4">
        <v>10629.0</v>
      </c>
      <c r="C3131" s="5">
        <f t="shared" si="1320"/>
        <v>40067</v>
      </c>
      <c r="D3131" s="4" t="s">
        <v>78</v>
      </c>
      <c r="E3131" s="4">
        <v>14.0</v>
      </c>
      <c r="F3131" s="4">
        <v>98.37</v>
      </c>
      <c r="G3131" s="4">
        <v>0.09</v>
      </c>
      <c r="H3131" s="4" t="s">
        <v>56</v>
      </c>
      <c r="I3131" s="6">
        <v>-76.54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1"/>
        <v>40069</v>
      </c>
    </row>
    <row r="3132" ht="12.75" customHeight="1">
      <c r="A3132" s="4">
        <v>1493.0</v>
      </c>
      <c r="B3132" s="4">
        <v>10784.0</v>
      </c>
      <c r="C3132" s="5">
        <f t="shared" ref="C3132:C3133" si="1322">DATE(2012,12,31)-910</f>
        <v>40364</v>
      </c>
      <c r="D3132" s="4" t="s">
        <v>45</v>
      </c>
      <c r="E3132" s="4">
        <v>2.0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ht="12.75" customHeight="1">
      <c r="A3133" s="4">
        <v>1494.0</v>
      </c>
      <c r="B3133" s="4">
        <v>10784.0</v>
      </c>
      <c r="C3133" s="5">
        <f t="shared" si="1322"/>
        <v>40364</v>
      </c>
      <c r="D3133" s="4" t="s">
        <v>45</v>
      </c>
      <c r="E3133" s="4">
        <v>30.0</v>
      </c>
      <c r="F3133" s="4">
        <v>206.27</v>
      </c>
      <c r="G3133" s="4">
        <v>0.09</v>
      </c>
      <c r="H3133" s="4" t="s">
        <v>22</v>
      </c>
      <c r="I3133" s="6">
        <v>-54.441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ht="12.75" customHeight="1">
      <c r="A3134" s="4">
        <v>1500.0</v>
      </c>
      <c r="B3134" s="4">
        <v>10823.0</v>
      </c>
      <c r="C3134" s="5">
        <f>DATE(2012,12,31)-202</f>
        <v>41072</v>
      </c>
      <c r="D3134" s="4" t="s">
        <v>21</v>
      </c>
      <c r="E3134" s="4">
        <v>3.0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3">C3134+0</f>
        <v>41072</v>
      </c>
    </row>
    <row r="3135" ht="12.75" customHeight="1">
      <c r="A3135" s="4">
        <v>1511.0</v>
      </c>
      <c r="B3135" s="4">
        <v>10919.0</v>
      </c>
      <c r="C3135" s="5">
        <f>DATE(2012,12,31)-1010</f>
        <v>40264</v>
      </c>
      <c r="D3135" s="4" t="s">
        <v>30</v>
      </c>
      <c r="E3135" s="4">
        <v>42.0</v>
      </c>
      <c r="F3135" s="4">
        <v>2040.95</v>
      </c>
      <c r="G3135" s="4">
        <v>0.07</v>
      </c>
      <c r="H3135" s="4" t="s">
        <v>22</v>
      </c>
      <c r="I3135" s="6">
        <v>-1231.87</v>
      </c>
      <c r="J3135" s="4">
        <v>48.91</v>
      </c>
      <c r="K3135" s="4">
        <v>35.0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3"/>
        <v>40264</v>
      </c>
    </row>
    <row r="3136" ht="12.75" customHeight="1">
      <c r="A3136" s="4">
        <v>1585.0</v>
      </c>
      <c r="B3136" s="4">
        <v>11429.0</v>
      </c>
      <c r="C3136" s="5">
        <f t="shared" ref="C3136:C3137" si="1324">DATE(2012,12,31)-1034</f>
        <v>40240</v>
      </c>
      <c r="D3136" s="4" t="s">
        <v>21</v>
      </c>
      <c r="E3136" s="4">
        <v>39.0</v>
      </c>
      <c r="F3136" s="4">
        <v>446.04</v>
      </c>
      <c r="G3136" s="4">
        <v>0.01</v>
      </c>
      <c r="H3136" s="4" t="s">
        <v>22</v>
      </c>
      <c r="I3136" s="6">
        <v>59.041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ht="12.75" customHeight="1">
      <c r="A3137" s="4">
        <v>1586.0</v>
      </c>
      <c r="B3137" s="4">
        <v>11429.0</v>
      </c>
      <c r="C3137" s="5">
        <f t="shared" si="1324"/>
        <v>40240</v>
      </c>
      <c r="D3137" s="4" t="s">
        <v>21</v>
      </c>
      <c r="E3137" s="4">
        <v>46.0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5">C3137+2</f>
        <v>40242</v>
      </c>
    </row>
    <row r="3138" ht="12.75" customHeight="1">
      <c r="A3138" s="4">
        <v>1605.0</v>
      </c>
      <c r="B3138" s="4">
        <v>11650.0</v>
      </c>
      <c r="C3138" s="5">
        <f>DATE(2012,12,31)-98</f>
        <v>41176</v>
      </c>
      <c r="D3138" s="4" t="s">
        <v>45</v>
      </c>
      <c r="E3138" s="4">
        <v>26.0</v>
      </c>
      <c r="F3138" s="4">
        <v>1090.4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5"/>
        <v>41178</v>
      </c>
    </row>
    <row r="3139" ht="12.75" customHeight="1">
      <c r="A3139" s="4">
        <v>1793.0</v>
      </c>
      <c r="B3139" s="4">
        <v>12837.0</v>
      </c>
      <c r="C3139" s="5">
        <f>DATE(2012,12,31)-29</f>
        <v>41245</v>
      </c>
      <c r="D3139" s="4" t="s">
        <v>63</v>
      </c>
      <c r="E3139" s="4">
        <v>50.0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ht="12.75" customHeight="1">
      <c r="A3140" s="4">
        <v>1856.0</v>
      </c>
      <c r="B3140" s="4">
        <v>13347.0</v>
      </c>
      <c r="C3140" s="5">
        <f>DATE(2012,12,31)-983</f>
        <v>40291</v>
      </c>
      <c r="D3140" s="4" t="s">
        <v>45</v>
      </c>
      <c r="E3140" s="4">
        <v>24.0</v>
      </c>
      <c r="F3140" s="4">
        <v>104.89</v>
      </c>
      <c r="G3140" s="4">
        <v>0.07</v>
      </c>
      <c r="H3140" s="4" t="s">
        <v>56</v>
      </c>
      <c r="I3140" s="6">
        <v>22.8395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ht="12.75" customHeight="1">
      <c r="A3141" s="4">
        <v>1861.0</v>
      </c>
      <c r="B3141" s="4">
        <v>13381.0</v>
      </c>
      <c r="C3141" s="5">
        <f>DATE(2012,12,31)-502</f>
        <v>40772</v>
      </c>
      <c r="D3141" s="4" t="s">
        <v>63</v>
      </c>
      <c r="E3141" s="4">
        <v>41.0</v>
      </c>
      <c r="F3141" s="4">
        <v>10714.78</v>
      </c>
      <c r="G3141" s="4">
        <v>0.0</v>
      </c>
      <c r="H3141" s="4" t="s">
        <v>31</v>
      </c>
      <c r="I3141" s="6">
        <v>-627.641157</v>
      </c>
      <c r="J3141" s="4">
        <v>259.71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6">C3141+0</f>
        <v>40772</v>
      </c>
    </row>
    <row r="3142" ht="12.75" customHeight="1">
      <c r="A3142" s="4">
        <v>1905.0</v>
      </c>
      <c r="B3142" s="4">
        <v>13634.0</v>
      </c>
      <c r="C3142" s="5">
        <f t="shared" ref="C3142:C3143" si="1327">DATE(2012,12,31)-623</f>
        <v>40651</v>
      </c>
      <c r="D3142" s="4" t="s">
        <v>30</v>
      </c>
      <c r="E3142" s="4">
        <v>46.0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39.98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6"/>
        <v>40651</v>
      </c>
    </row>
    <row r="3143" ht="12.75" customHeight="1">
      <c r="A3143" s="4">
        <v>1906.0</v>
      </c>
      <c r="B3143" s="4">
        <v>13634.0</v>
      </c>
      <c r="C3143" s="5">
        <f t="shared" si="1327"/>
        <v>40651</v>
      </c>
      <c r="D3143" s="4" t="s">
        <v>30</v>
      </c>
      <c r="E3143" s="4">
        <v>27.0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ht="12.75" customHeight="1">
      <c r="A3144" s="4">
        <v>1914.0</v>
      </c>
      <c r="B3144" s="4">
        <v>13729.0</v>
      </c>
      <c r="C3144" s="5">
        <f>DATE(2012,12,31)-1460</f>
        <v>39814</v>
      </c>
      <c r="D3144" s="4" t="s">
        <v>45</v>
      </c>
      <c r="E3144" s="4">
        <v>9.0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35.0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8">C3144+2</f>
        <v>39816</v>
      </c>
    </row>
    <row r="3145" ht="12.75" customHeight="1">
      <c r="A3145" s="4">
        <v>1915.0</v>
      </c>
      <c r="B3145" s="4">
        <v>13730.0</v>
      </c>
      <c r="C3145" s="5">
        <f>DATE(2012,12,31)-602</f>
        <v>40672</v>
      </c>
      <c r="D3145" s="4" t="s">
        <v>30</v>
      </c>
      <c r="E3145" s="4">
        <v>26.0</v>
      </c>
      <c r="F3145" s="4">
        <v>3617.64</v>
      </c>
      <c r="G3145" s="4">
        <v>0.07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8"/>
        <v>40674</v>
      </c>
    </row>
    <row r="3146" ht="12.75" customHeight="1">
      <c r="A3146" s="4">
        <v>1972.0</v>
      </c>
      <c r="B3146" s="4">
        <v>14113.0</v>
      </c>
      <c r="C3146" s="5">
        <f>DATE(2012,12,31)-515</f>
        <v>40759</v>
      </c>
      <c r="D3146" s="4" t="s">
        <v>30</v>
      </c>
      <c r="E3146" s="4">
        <v>22.0</v>
      </c>
      <c r="F3146" s="4">
        <v>8218.16</v>
      </c>
      <c r="G3146" s="4">
        <v>0.09</v>
      </c>
      <c r="H3146" s="4" t="s">
        <v>31</v>
      </c>
      <c r="I3146" s="6">
        <v>-774.1448000000001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8"/>
        <v>40761</v>
      </c>
    </row>
    <row r="3147" ht="12.75" customHeight="1">
      <c r="A3147" s="4">
        <v>1989.0</v>
      </c>
      <c r="B3147" s="4">
        <v>14210.0</v>
      </c>
      <c r="C3147" s="5">
        <f>DATE(2012,12,31)-188</f>
        <v>41086</v>
      </c>
      <c r="D3147" s="4" t="s">
        <v>45</v>
      </c>
      <c r="E3147" s="4">
        <v>19.0</v>
      </c>
      <c r="F3147" s="4">
        <v>676.79</v>
      </c>
      <c r="G3147" s="4">
        <v>0.0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8"/>
        <v>41088</v>
      </c>
    </row>
    <row r="3148" ht="12.75" customHeight="1">
      <c r="A3148" s="4">
        <v>2000.0</v>
      </c>
      <c r="B3148" s="4">
        <v>14272.0</v>
      </c>
      <c r="C3148" s="5">
        <f>DATE(2012,12,31)-323</f>
        <v>40951</v>
      </c>
      <c r="D3148" s="4" t="s">
        <v>63</v>
      </c>
      <c r="E3148" s="4">
        <v>32.0</v>
      </c>
      <c r="F3148" s="4">
        <v>2409.96</v>
      </c>
      <c r="G3148" s="4">
        <v>0.07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8"/>
        <v>40953</v>
      </c>
    </row>
    <row r="3149" ht="12.75" customHeight="1">
      <c r="A3149" s="4">
        <v>2019.0</v>
      </c>
      <c r="B3149" s="4">
        <v>14401.0</v>
      </c>
      <c r="C3149" s="5">
        <f>DATE(2012,12,31)-515</f>
        <v>40759</v>
      </c>
      <c r="D3149" s="4" t="s">
        <v>45</v>
      </c>
      <c r="E3149" s="4">
        <v>10.0</v>
      </c>
      <c r="F3149" s="4">
        <v>931.1495</v>
      </c>
      <c r="G3149" s="4">
        <v>0.06</v>
      </c>
      <c r="H3149" s="4" t="s">
        <v>22</v>
      </c>
      <c r="I3149" s="6">
        <v>-128.832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0.57</v>
      </c>
      <c r="U3149" s="5">
        <f t="shared" si="1328"/>
        <v>40761</v>
      </c>
    </row>
    <row r="3150" ht="12.75" customHeight="1">
      <c r="A3150" s="4">
        <v>2211.0</v>
      </c>
      <c r="B3150" s="4">
        <v>15941.0</v>
      </c>
      <c r="C3150" s="5">
        <f>DATE(2012,12,31)-387</f>
        <v>40887</v>
      </c>
      <c r="D3150" s="4" t="s">
        <v>45</v>
      </c>
      <c r="E3150" s="4">
        <v>15.0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8"/>
        <v>40889</v>
      </c>
    </row>
    <row r="3151" ht="12.75" customHeight="1">
      <c r="A3151" s="4">
        <v>2479.0</v>
      </c>
      <c r="B3151" s="4">
        <v>18023.0</v>
      </c>
      <c r="C3151" s="5">
        <f t="shared" ref="C3151:C3152" si="1329">DATE(2012,12,31)-676</f>
        <v>40598</v>
      </c>
      <c r="D3151" s="4" t="s">
        <v>63</v>
      </c>
      <c r="E3151" s="4">
        <v>38.0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30">C3151+1</f>
        <v>40599</v>
      </c>
    </row>
    <row r="3152" ht="12.75" customHeight="1">
      <c r="A3152" s="4">
        <v>2480.0</v>
      </c>
      <c r="B3152" s="4">
        <v>18023.0</v>
      </c>
      <c r="C3152" s="5">
        <f t="shared" si="1329"/>
        <v>40598</v>
      </c>
      <c r="D3152" s="4" t="s">
        <v>63</v>
      </c>
      <c r="E3152" s="4">
        <v>34.0</v>
      </c>
      <c r="F3152" s="4">
        <v>192.23</v>
      </c>
      <c r="G3152" s="4">
        <v>0.07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30"/>
        <v>40599</v>
      </c>
    </row>
    <row r="3153" ht="12.75" customHeight="1">
      <c r="A3153" s="4">
        <v>2526.0</v>
      </c>
      <c r="B3153" s="4">
        <v>18341.0</v>
      </c>
      <c r="C3153" s="5">
        <f>DATE(2012,12,31)-897</f>
        <v>40377</v>
      </c>
      <c r="D3153" s="4" t="s">
        <v>78</v>
      </c>
      <c r="E3153" s="4">
        <v>39.0</v>
      </c>
      <c r="F3153" s="4">
        <v>237.89</v>
      </c>
      <c r="G3153" s="4">
        <v>0.0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ht="12.75" customHeight="1">
      <c r="A3154" s="4">
        <v>2535.0</v>
      </c>
      <c r="B3154" s="4">
        <v>18400.0</v>
      </c>
      <c r="C3154" s="5">
        <f>DATE(2012,12,31)-391</f>
        <v>40883</v>
      </c>
      <c r="D3154" s="4" t="s">
        <v>45</v>
      </c>
      <c r="E3154" s="4">
        <v>29.0</v>
      </c>
      <c r="F3154" s="4">
        <v>598.49</v>
      </c>
      <c r="G3154" s="4">
        <v>0.05</v>
      </c>
      <c r="H3154" s="4" t="s">
        <v>22</v>
      </c>
      <c r="I3154" s="6">
        <v>34.16</v>
      </c>
      <c r="J3154" s="4">
        <v>20.95</v>
      </c>
      <c r="K3154" s="4">
        <v>4.0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ht="12.75" customHeight="1">
      <c r="A3155" s="4">
        <v>2621.0</v>
      </c>
      <c r="B3155" s="4">
        <v>18950.0</v>
      </c>
      <c r="C3155" s="5">
        <f>DATE(2012,12,31)-308</f>
        <v>40966</v>
      </c>
      <c r="D3155" s="4" t="s">
        <v>21</v>
      </c>
      <c r="E3155" s="4">
        <v>33.0</v>
      </c>
      <c r="F3155" s="4">
        <v>3008.5</v>
      </c>
      <c r="G3155" s="4">
        <v>0.05</v>
      </c>
      <c r="H3155" s="4" t="s">
        <v>31</v>
      </c>
      <c r="I3155" s="6">
        <v>1101.9</v>
      </c>
      <c r="J3155" s="4">
        <v>90.97</v>
      </c>
      <c r="K3155" s="4">
        <v>14.0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ht="12.75" customHeight="1">
      <c r="A3156" s="4">
        <v>2641.0</v>
      </c>
      <c r="B3156" s="4">
        <v>19111.0</v>
      </c>
      <c r="C3156" s="5">
        <f>DATE(2012,12,31)-1184</f>
        <v>40090</v>
      </c>
      <c r="D3156" s="4" t="s">
        <v>21</v>
      </c>
      <c r="E3156" s="4">
        <v>24.0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ht="12.75" customHeight="1">
      <c r="A3157" s="4">
        <v>2644.0</v>
      </c>
      <c r="B3157" s="4">
        <v>19139.0</v>
      </c>
      <c r="C3157" s="5">
        <f>DATE(2012,12,31)-759</f>
        <v>40515</v>
      </c>
      <c r="D3157" s="4" t="s">
        <v>45</v>
      </c>
      <c r="E3157" s="4">
        <v>15.0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ht="12.75" customHeight="1">
      <c r="A3158" s="4">
        <v>2672.0</v>
      </c>
      <c r="B3158" s="4">
        <v>19332.0</v>
      </c>
      <c r="C3158" s="5">
        <f>DATE(2012,12,31)-308</f>
        <v>40966</v>
      </c>
      <c r="D3158" s="4" t="s">
        <v>30</v>
      </c>
      <c r="E3158" s="4">
        <v>46.0</v>
      </c>
      <c r="F3158" s="4">
        <v>8246.86</v>
      </c>
      <c r="G3158" s="4">
        <v>0.06</v>
      </c>
      <c r="H3158" s="4" t="s">
        <v>31</v>
      </c>
      <c r="I3158" s="6">
        <v>-433.2901430000001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ht="12.75" customHeight="1">
      <c r="A3159" s="4">
        <v>2904.0</v>
      </c>
      <c r="B3159" s="4">
        <v>20965.0</v>
      </c>
      <c r="C3159" s="5">
        <f t="shared" ref="C3159:C3160" si="1331">DATE(2012,12,31)-1107</f>
        <v>40167</v>
      </c>
      <c r="D3159" s="4" t="s">
        <v>78</v>
      </c>
      <c r="E3159" s="4">
        <v>38.0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0.57</v>
      </c>
      <c r="U3159" s="5">
        <f t="shared" ref="U3159:U3160" si="1332">C3159+3</f>
        <v>40170</v>
      </c>
    </row>
    <row r="3160" ht="12.75" customHeight="1">
      <c r="A3160" s="4">
        <v>2905.0</v>
      </c>
      <c r="B3160" s="4">
        <v>20965.0</v>
      </c>
      <c r="C3160" s="5">
        <f t="shared" si="1331"/>
        <v>40167</v>
      </c>
      <c r="D3160" s="4" t="s">
        <v>78</v>
      </c>
      <c r="E3160" s="4">
        <v>8.0</v>
      </c>
      <c r="F3160" s="4">
        <v>1264.2305</v>
      </c>
      <c r="G3160" s="4">
        <v>0.07</v>
      </c>
      <c r="H3160" s="4" t="s">
        <v>22</v>
      </c>
      <c r="I3160" s="6">
        <v>-444.686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</v>
      </c>
      <c r="U3160" s="5">
        <f t="shared" si="1332"/>
        <v>40170</v>
      </c>
    </row>
    <row r="3161" ht="12.75" customHeight="1">
      <c r="A3161" s="4">
        <v>2932.0</v>
      </c>
      <c r="B3161" s="4">
        <v>21249.0</v>
      </c>
      <c r="C3161" s="5">
        <f t="shared" ref="C3161:C3162" si="1333">DATE(2012,12,31)-834</f>
        <v>40440</v>
      </c>
      <c r="D3161" s="4" t="s">
        <v>21</v>
      </c>
      <c r="E3161" s="4">
        <v>22.0</v>
      </c>
      <c r="F3161" s="4">
        <v>1082.8</v>
      </c>
      <c r="G3161" s="4">
        <v>0.02</v>
      </c>
      <c r="H3161" s="4" t="s">
        <v>22</v>
      </c>
      <c r="I3161" s="6">
        <v>299.35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</v>
      </c>
      <c r="U3161" s="5">
        <f t="shared" ref="U3161:U3162" si="1334">C3161+2</f>
        <v>40442</v>
      </c>
    </row>
    <row r="3162" ht="12.75" customHeight="1">
      <c r="A3162" s="4">
        <v>2933.0</v>
      </c>
      <c r="B3162" s="4">
        <v>21249.0</v>
      </c>
      <c r="C3162" s="5">
        <f t="shared" si="1333"/>
        <v>40440</v>
      </c>
      <c r="D3162" s="4" t="s">
        <v>21</v>
      </c>
      <c r="E3162" s="4">
        <v>7.0</v>
      </c>
      <c r="F3162" s="4">
        <v>1260.2015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4"/>
        <v>40442</v>
      </c>
    </row>
    <row r="3163" ht="12.75" customHeight="1">
      <c r="A3163" s="4">
        <v>3139.0</v>
      </c>
      <c r="B3163" s="4">
        <v>22529.0</v>
      </c>
      <c r="C3163" s="5">
        <f>DATE(2012,12,31)-969</f>
        <v>40305</v>
      </c>
      <c r="D3163" s="4" t="s">
        <v>63</v>
      </c>
      <c r="E3163" s="4">
        <v>28.0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</v>
      </c>
      <c r="U3163" s="5">
        <f>C3163+0</f>
        <v>40305</v>
      </c>
    </row>
    <row r="3164" ht="12.75" customHeight="1">
      <c r="A3164" s="4">
        <v>3255.0</v>
      </c>
      <c r="B3164" s="4">
        <v>23303.0</v>
      </c>
      <c r="C3164" s="5">
        <f>DATE(2012,12,31)-1290</f>
        <v>39984</v>
      </c>
      <c r="D3164" s="4" t="s">
        <v>45</v>
      </c>
      <c r="E3164" s="4">
        <v>39.0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ht="12.75" customHeight="1">
      <c r="A3165" s="4">
        <v>3274.0</v>
      </c>
      <c r="B3165" s="4">
        <v>23398.0</v>
      </c>
      <c r="C3165" s="5">
        <f>DATE(2012,12,31)-1389</f>
        <v>39885</v>
      </c>
      <c r="D3165" s="4" t="s">
        <v>63</v>
      </c>
      <c r="E3165" s="4">
        <v>19.0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ht="12.75" customHeight="1">
      <c r="A3166" s="4">
        <v>3410.0</v>
      </c>
      <c r="B3166" s="4">
        <v>24356.0</v>
      </c>
      <c r="C3166" s="5">
        <f>DATE(2012,12,31)-965</f>
        <v>40309</v>
      </c>
      <c r="D3166" s="4" t="s">
        <v>63</v>
      </c>
      <c r="E3166" s="4">
        <v>37.0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39.0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</v>
      </c>
      <c r="U3166" s="5">
        <f t="shared" ref="U3166:U3168" si="1335">C3166+2</f>
        <v>40311</v>
      </c>
    </row>
    <row r="3167" ht="12.75" customHeight="1">
      <c r="A3167" s="4">
        <v>3539.0</v>
      </c>
      <c r="B3167" s="4">
        <v>25188.0</v>
      </c>
      <c r="C3167" s="5">
        <f>DATE(2012,12,31)-728</f>
        <v>40546</v>
      </c>
      <c r="D3167" s="4" t="s">
        <v>63</v>
      </c>
      <c r="E3167" s="4">
        <v>20.0</v>
      </c>
      <c r="F3167" s="4">
        <v>1564.1615</v>
      </c>
      <c r="G3167" s="4">
        <v>0.0</v>
      </c>
      <c r="H3167" s="4" t="s">
        <v>22</v>
      </c>
      <c r="I3167" s="6">
        <v>682.4789999999999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5"/>
        <v>40548</v>
      </c>
    </row>
    <row r="3168" ht="12.75" customHeight="1">
      <c r="A3168" s="4">
        <v>3543.0</v>
      </c>
      <c r="B3168" s="4">
        <v>25249.0</v>
      </c>
      <c r="C3168" s="5">
        <f>DATE(2012,12,31)-55</f>
        <v>41219</v>
      </c>
      <c r="D3168" s="4" t="s">
        <v>63</v>
      </c>
      <c r="E3168" s="4">
        <v>34.0</v>
      </c>
      <c r="F3168" s="4">
        <v>926.85</v>
      </c>
      <c r="G3168" s="4">
        <v>0.09</v>
      </c>
      <c r="H3168" s="4" t="s">
        <v>22</v>
      </c>
      <c r="I3168" s="6">
        <v>382.942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5"/>
        <v>41221</v>
      </c>
    </row>
    <row r="3169" ht="12.75" customHeight="1">
      <c r="A3169" s="4">
        <v>3774.0</v>
      </c>
      <c r="B3169" s="4">
        <v>26948.0</v>
      </c>
      <c r="C3169" s="5">
        <f>DATE(2012,12,31)-405</f>
        <v>40869</v>
      </c>
      <c r="D3169" s="4" t="s">
        <v>30</v>
      </c>
      <c r="E3169" s="4">
        <v>21.0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ht="12.75" customHeight="1">
      <c r="A3170" s="4">
        <v>3819.0</v>
      </c>
      <c r="B3170" s="4">
        <v>27232.0</v>
      </c>
      <c r="C3170" s="5">
        <f>DATE(2012,12,31)-866</f>
        <v>40408</v>
      </c>
      <c r="D3170" s="4" t="s">
        <v>45</v>
      </c>
      <c r="E3170" s="4">
        <v>19.0</v>
      </c>
      <c r="F3170" s="4">
        <v>639.3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ht="12.75" customHeight="1">
      <c r="A3171" s="4">
        <v>3871.0</v>
      </c>
      <c r="B3171" s="4">
        <v>27622.0</v>
      </c>
      <c r="C3171" s="5">
        <f>DATE(2012,12,31)-694</f>
        <v>40580</v>
      </c>
      <c r="D3171" s="4" t="s">
        <v>63</v>
      </c>
      <c r="E3171" s="4">
        <v>4.0</v>
      </c>
      <c r="F3171" s="4">
        <v>1280.73</v>
      </c>
      <c r="G3171" s="4">
        <v>0.09</v>
      </c>
      <c r="H3171" s="4" t="s">
        <v>31</v>
      </c>
      <c r="I3171" s="6">
        <v>-774.8906880000001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ht="12.75" customHeight="1">
      <c r="A3172" s="4">
        <v>3928.0</v>
      </c>
      <c r="B3172" s="4">
        <v>28002.0</v>
      </c>
      <c r="C3172" s="5">
        <f>DATE(2012,12,31)-1178</f>
        <v>40096</v>
      </c>
      <c r="D3172" s="4" t="s">
        <v>78</v>
      </c>
      <c r="E3172" s="4">
        <v>5.0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6">C3172+2</f>
        <v>40098</v>
      </c>
    </row>
    <row r="3173" ht="12.75" customHeight="1">
      <c r="A3173" s="4">
        <v>3978.0</v>
      </c>
      <c r="B3173" s="4">
        <v>28390.0</v>
      </c>
      <c r="C3173" s="5">
        <f>DATE(2012,12,31)-328</f>
        <v>40946</v>
      </c>
      <c r="D3173" s="4" t="s">
        <v>30</v>
      </c>
      <c r="E3173" s="4">
        <v>44.0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6"/>
        <v>40948</v>
      </c>
    </row>
    <row r="3174" ht="12.75" customHeight="1">
      <c r="A3174" s="4">
        <v>4108.0</v>
      </c>
      <c r="B3174" s="4">
        <v>29223.0</v>
      </c>
      <c r="C3174" s="5">
        <f>DATE(2012,12,31)-346</f>
        <v>40928</v>
      </c>
      <c r="D3174" s="4" t="s">
        <v>30</v>
      </c>
      <c r="E3174" s="4">
        <v>48.0</v>
      </c>
      <c r="F3174" s="4">
        <v>24701.12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26.0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6"/>
        <v>40930</v>
      </c>
    </row>
    <row r="3175" ht="12.75" customHeight="1">
      <c r="A3175" s="4">
        <v>4134.0</v>
      </c>
      <c r="B3175" s="4">
        <v>29351.0</v>
      </c>
      <c r="C3175" s="5">
        <f>DATE(2012,12,31)-455</f>
        <v>40819</v>
      </c>
      <c r="D3175" s="4" t="s">
        <v>63</v>
      </c>
      <c r="E3175" s="4">
        <v>17.0</v>
      </c>
      <c r="F3175" s="4">
        <v>5122.61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19.99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6"/>
        <v>40821</v>
      </c>
    </row>
    <row r="3176" ht="12.75" customHeight="1">
      <c r="A3176" s="4">
        <v>4160.0</v>
      </c>
      <c r="B3176" s="4">
        <v>29506.0</v>
      </c>
      <c r="C3176" s="5">
        <f t="shared" ref="C3176:C3177" si="1337">DATE(2012,12,31)-566</f>
        <v>40708</v>
      </c>
      <c r="D3176" s="4" t="s">
        <v>78</v>
      </c>
      <c r="E3176" s="4">
        <v>46.0</v>
      </c>
      <c r="F3176" s="4">
        <v>221.13</v>
      </c>
      <c r="G3176" s="4">
        <v>0.01</v>
      </c>
      <c r="H3176" s="4" t="s">
        <v>22</v>
      </c>
      <c r="I3176" s="6">
        <v>59.70399999999999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6"/>
        <v>40710</v>
      </c>
    </row>
    <row r="3177" ht="12.75" customHeight="1">
      <c r="A3177" s="4">
        <v>4161.0</v>
      </c>
      <c r="B3177" s="4">
        <v>29506.0</v>
      </c>
      <c r="C3177" s="5">
        <f t="shared" si="1337"/>
        <v>40708</v>
      </c>
      <c r="D3177" s="4" t="s">
        <v>78</v>
      </c>
      <c r="E3177" s="4">
        <v>8.0</v>
      </c>
      <c r="F3177" s="4">
        <v>16.35</v>
      </c>
      <c r="G3177" s="4">
        <v>0.05</v>
      </c>
      <c r="H3177" s="4" t="s">
        <v>22</v>
      </c>
      <c r="I3177" s="6">
        <v>-5.6235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8">C3177+1</f>
        <v>40709</v>
      </c>
    </row>
    <row r="3178" ht="12.75" customHeight="1">
      <c r="A3178" s="4">
        <v>4175.0</v>
      </c>
      <c r="B3178" s="4">
        <v>29633.0</v>
      </c>
      <c r="C3178" s="5">
        <f>DATE(2012,12,31)-1288</f>
        <v>39986</v>
      </c>
      <c r="D3178" s="4" t="s">
        <v>78</v>
      </c>
      <c r="E3178" s="4">
        <v>11.0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8"/>
        <v>39987</v>
      </c>
    </row>
    <row r="3179" ht="12.75" customHeight="1">
      <c r="A3179" s="4">
        <v>4189.0</v>
      </c>
      <c r="B3179" s="4">
        <v>29764.0</v>
      </c>
      <c r="C3179" s="5">
        <f>DATE(2012,12,31)-162</f>
        <v>41112</v>
      </c>
      <c r="D3179" s="4" t="s">
        <v>78</v>
      </c>
      <c r="E3179" s="4">
        <v>10.0</v>
      </c>
      <c r="F3179" s="4">
        <v>165.09</v>
      </c>
      <c r="G3179" s="4">
        <v>0.0</v>
      </c>
      <c r="H3179" s="4" t="s">
        <v>56</v>
      </c>
      <c r="I3179" s="6">
        <v>-8.590499999999999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8"/>
        <v>41113</v>
      </c>
    </row>
    <row r="3180" ht="12.75" customHeight="1">
      <c r="A3180" s="4">
        <v>4216.0</v>
      </c>
      <c r="B3180" s="4">
        <v>29958.0</v>
      </c>
      <c r="C3180" s="5">
        <f t="shared" ref="C3180:C3181" si="1339">DATE(2012,12,31)-725</f>
        <v>40549</v>
      </c>
      <c r="D3180" s="4" t="s">
        <v>30</v>
      </c>
      <c r="E3180" s="4">
        <v>47.0</v>
      </c>
      <c r="F3180" s="4">
        <v>307.57</v>
      </c>
      <c r="G3180" s="4">
        <v>0.0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8"/>
        <v>40550</v>
      </c>
    </row>
    <row r="3181" ht="12.75" customHeight="1">
      <c r="A3181" s="4">
        <v>4217.0</v>
      </c>
      <c r="B3181" s="4">
        <v>29958.0</v>
      </c>
      <c r="C3181" s="5">
        <f t="shared" si="1339"/>
        <v>40549</v>
      </c>
      <c r="D3181" s="4" t="s">
        <v>30</v>
      </c>
      <c r="E3181" s="4">
        <v>32.0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26.0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ht="12.75" customHeight="1">
      <c r="A3182" s="4">
        <v>4435.0</v>
      </c>
      <c r="B3182" s="4">
        <v>31616.0</v>
      </c>
      <c r="C3182" s="5">
        <f t="shared" ref="C3182:C3183" si="1340">DATE(2012,12,31)-856</f>
        <v>40418</v>
      </c>
      <c r="D3182" s="4" t="s">
        <v>78</v>
      </c>
      <c r="E3182" s="4">
        <v>45.0</v>
      </c>
      <c r="F3182" s="4">
        <v>182.7</v>
      </c>
      <c r="G3182" s="4">
        <v>0.08</v>
      </c>
      <c r="H3182" s="4" t="s">
        <v>22</v>
      </c>
      <c r="I3182" s="6">
        <v>-156.4115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1">C3182+1</f>
        <v>40419</v>
      </c>
    </row>
    <row r="3183" ht="12.75" customHeight="1">
      <c r="A3183" s="4">
        <v>4436.0</v>
      </c>
      <c r="B3183" s="4">
        <v>31616.0</v>
      </c>
      <c r="C3183" s="5">
        <f t="shared" si="1340"/>
        <v>40418</v>
      </c>
      <c r="D3183" s="4" t="s">
        <v>78</v>
      </c>
      <c r="E3183" s="4">
        <v>46.0</v>
      </c>
      <c r="F3183" s="4">
        <v>141.08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1"/>
        <v>40419</v>
      </c>
    </row>
    <row r="3184" ht="12.75" customHeight="1">
      <c r="A3184" s="4">
        <v>4483.0</v>
      </c>
      <c r="B3184" s="4">
        <v>31907.0</v>
      </c>
      <c r="C3184" s="5">
        <f>DATE(2012,12,31)-958</f>
        <v>40316</v>
      </c>
      <c r="D3184" s="4" t="s">
        <v>21</v>
      </c>
      <c r="E3184" s="4">
        <v>38.0</v>
      </c>
      <c r="F3184" s="4">
        <v>331.53</v>
      </c>
      <c r="G3184" s="4">
        <v>0.0</v>
      </c>
      <c r="H3184" s="4" t="s">
        <v>22</v>
      </c>
      <c r="I3184" s="6">
        <v>-35.97</v>
      </c>
      <c r="J3184" s="4">
        <v>8.46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2">C3184+5</f>
        <v>40321</v>
      </c>
    </row>
    <row r="3185" ht="12.75" customHeight="1">
      <c r="A3185" s="4">
        <v>4494.0</v>
      </c>
      <c r="B3185" s="4">
        <v>32001.0</v>
      </c>
      <c r="C3185" s="5">
        <f t="shared" ref="C3185:C3186" si="1343">DATE(2012,12,31)-430</f>
        <v>40844</v>
      </c>
      <c r="D3185" s="4" t="s">
        <v>21</v>
      </c>
      <c r="E3185" s="4">
        <v>22.0</v>
      </c>
      <c r="F3185" s="4">
        <v>494.84</v>
      </c>
      <c r="G3185" s="4">
        <v>0.07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2"/>
        <v>40849</v>
      </c>
    </row>
    <row r="3186" ht="12.75" customHeight="1">
      <c r="A3186" s="4">
        <v>4495.0</v>
      </c>
      <c r="B3186" s="4">
        <v>32001.0</v>
      </c>
      <c r="C3186" s="5">
        <f t="shared" si="1343"/>
        <v>40844</v>
      </c>
      <c r="D3186" s="4" t="s">
        <v>21</v>
      </c>
      <c r="E3186" s="4">
        <v>11.0</v>
      </c>
      <c r="F3186" s="4">
        <v>3443.21</v>
      </c>
      <c r="G3186" s="4">
        <v>0.0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ht="12.75" customHeight="1">
      <c r="A3187" s="4">
        <v>4506.0</v>
      </c>
      <c r="B3187" s="4">
        <v>32069.0</v>
      </c>
      <c r="C3187" s="5">
        <f>DATE(2012,12,31)-408</f>
        <v>40866</v>
      </c>
      <c r="D3187" s="4" t="s">
        <v>45</v>
      </c>
      <c r="E3187" s="4">
        <v>8.0</v>
      </c>
      <c r="F3187" s="4">
        <v>1100.0</v>
      </c>
      <c r="G3187" s="4">
        <v>0.07</v>
      </c>
      <c r="H3187" s="4" t="s">
        <v>31</v>
      </c>
      <c r="I3187" s="6">
        <v>-240.31140000000002</v>
      </c>
      <c r="J3187" s="4">
        <v>145.45</v>
      </c>
      <c r="K3187" s="4">
        <v>17.85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</v>
      </c>
      <c r="U3187" s="5">
        <f>C3187+0</f>
        <v>40866</v>
      </c>
    </row>
    <row r="3188" ht="12.75" customHeight="1">
      <c r="A3188" s="4">
        <v>4512.0</v>
      </c>
      <c r="B3188" s="4">
        <v>32102.0</v>
      </c>
      <c r="C3188" s="5">
        <f>DATE(2012,12,31)-17</f>
        <v>41257</v>
      </c>
      <c r="D3188" s="4" t="s">
        <v>63</v>
      </c>
      <c r="E3188" s="4">
        <v>2.0</v>
      </c>
      <c r="F3188" s="4">
        <v>19.81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ht="12.75" customHeight="1">
      <c r="A3189" s="4">
        <v>4561.0</v>
      </c>
      <c r="B3189" s="4">
        <v>32450.0</v>
      </c>
      <c r="C3189" s="5">
        <f>DATE(2012,12,31)-378</f>
        <v>40896</v>
      </c>
      <c r="D3189" s="4" t="s">
        <v>63</v>
      </c>
      <c r="E3189" s="4">
        <v>37.0</v>
      </c>
      <c r="F3189" s="4">
        <v>2638.79</v>
      </c>
      <c r="G3189" s="4">
        <v>0.1</v>
      </c>
      <c r="H3189" s="4" t="s">
        <v>31</v>
      </c>
      <c r="I3189" s="6">
        <v>54.23085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ht="12.75" customHeight="1">
      <c r="A3190" s="4">
        <v>4572.0</v>
      </c>
      <c r="B3190" s="4">
        <v>32546.0</v>
      </c>
      <c r="C3190" s="5">
        <f t="shared" ref="C3190:C3191" si="1344">DATE(2012,12,31)-654</f>
        <v>40620</v>
      </c>
      <c r="D3190" s="4" t="s">
        <v>78</v>
      </c>
      <c r="E3190" s="4">
        <v>6.0</v>
      </c>
      <c r="F3190" s="4">
        <v>156.09</v>
      </c>
      <c r="G3190" s="4">
        <v>0.0</v>
      </c>
      <c r="H3190" s="4" t="s">
        <v>22</v>
      </c>
      <c r="I3190" s="6">
        <v>-34.845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ht="12.75" customHeight="1">
      <c r="A3191" s="4">
        <v>4573.0</v>
      </c>
      <c r="B3191" s="4">
        <v>32546.0</v>
      </c>
      <c r="C3191" s="5">
        <f t="shared" si="1344"/>
        <v>40620</v>
      </c>
      <c r="D3191" s="4" t="s">
        <v>78</v>
      </c>
      <c r="E3191" s="4">
        <v>47.0</v>
      </c>
      <c r="F3191" s="4">
        <v>1294.0230000000001</v>
      </c>
      <c r="G3191" s="4">
        <v>0.1</v>
      </c>
      <c r="H3191" s="4" t="s">
        <v>22</v>
      </c>
      <c r="I3191" s="6">
        <v>607.2570000000001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ht="12.75" customHeight="1">
      <c r="A3192" s="4">
        <v>4640.0</v>
      </c>
      <c r="B3192" s="4">
        <v>33029.0</v>
      </c>
      <c r="C3192" s="5">
        <f t="shared" ref="C3192:C3193" si="1345">DATE(2012,12,31)-214</f>
        <v>41060</v>
      </c>
      <c r="D3192" s="4" t="s">
        <v>30</v>
      </c>
      <c r="E3192" s="4">
        <v>39.0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ht="12.75" customHeight="1">
      <c r="A3193" s="4">
        <v>4641.0</v>
      </c>
      <c r="B3193" s="4">
        <v>33029.0</v>
      </c>
      <c r="C3193" s="5">
        <f t="shared" si="1345"/>
        <v>41060</v>
      </c>
      <c r="D3193" s="4" t="s">
        <v>30</v>
      </c>
      <c r="E3193" s="4">
        <v>8.0</v>
      </c>
      <c r="F3193" s="4">
        <v>738.2505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0.57</v>
      </c>
      <c r="U3193" s="5">
        <f>C3193+1</f>
        <v>41061</v>
      </c>
    </row>
    <row r="3194" ht="12.75" customHeight="1">
      <c r="A3194" s="4">
        <v>4645.0</v>
      </c>
      <c r="B3194" s="4">
        <v>33061.0</v>
      </c>
      <c r="C3194" s="5">
        <f>DATE(2012,12,31)-535</f>
        <v>40739</v>
      </c>
      <c r="D3194" s="4" t="s">
        <v>30</v>
      </c>
      <c r="E3194" s="4">
        <v>48.0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6">C3194+2</f>
        <v>40741</v>
      </c>
    </row>
    <row r="3195" ht="12.75" customHeight="1">
      <c r="A3195" s="4">
        <v>4698.0</v>
      </c>
      <c r="B3195" s="4">
        <v>33478.0</v>
      </c>
      <c r="C3195" s="5">
        <f>DATE(2012,12,31)-931</f>
        <v>40343</v>
      </c>
      <c r="D3195" s="4" t="s">
        <v>30</v>
      </c>
      <c r="E3195" s="4">
        <v>21.0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6"/>
        <v>40345</v>
      </c>
    </row>
    <row r="3196" ht="12.75" customHeight="1">
      <c r="A3196" s="4">
        <v>4708.0</v>
      </c>
      <c r="B3196" s="4">
        <v>33540.0</v>
      </c>
      <c r="C3196" s="5">
        <f>DATE(2012,12,31)-574</f>
        <v>40700</v>
      </c>
      <c r="D3196" s="4" t="s">
        <v>21</v>
      </c>
      <c r="E3196" s="4">
        <v>21.0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ht="12.75" customHeight="1">
      <c r="A3197" s="4">
        <v>4762.0</v>
      </c>
      <c r="B3197" s="4">
        <v>33862.0</v>
      </c>
      <c r="C3197" s="5">
        <f>DATE(2012,12,31)-923</f>
        <v>40351</v>
      </c>
      <c r="D3197" s="4" t="s">
        <v>45</v>
      </c>
      <c r="E3197" s="4">
        <v>22.0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7">C3197+1</f>
        <v>40352</v>
      </c>
    </row>
    <row r="3198" ht="12.75" customHeight="1">
      <c r="A3198" s="4">
        <v>4845.0</v>
      </c>
      <c r="B3198" s="4">
        <v>34470.0</v>
      </c>
      <c r="C3198" s="5">
        <f>DATE(2012,12,31)-334</f>
        <v>40940</v>
      </c>
      <c r="D3198" s="4" t="s">
        <v>78</v>
      </c>
      <c r="E3198" s="4">
        <v>31.0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7"/>
        <v>40941</v>
      </c>
    </row>
    <row r="3199" ht="12.75" customHeight="1">
      <c r="A3199" s="4">
        <v>5077.0</v>
      </c>
      <c r="B3199" s="4">
        <v>36161.0</v>
      </c>
      <c r="C3199" s="5">
        <f>DATE(2012,12,31)-1080</f>
        <v>40194</v>
      </c>
      <c r="D3199" s="4" t="s">
        <v>78</v>
      </c>
      <c r="E3199" s="4">
        <v>6.0</v>
      </c>
      <c r="F3199" s="4">
        <v>29.19</v>
      </c>
      <c r="G3199" s="4">
        <v>0.03</v>
      </c>
      <c r="H3199" s="4" t="s">
        <v>22</v>
      </c>
      <c r="I3199" s="6">
        <v>0.646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7"/>
        <v>40195</v>
      </c>
    </row>
    <row r="3200" ht="12.75" customHeight="1">
      <c r="A3200" s="4">
        <v>5302.0</v>
      </c>
      <c r="B3200" s="4">
        <v>37760.0</v>
      </c>
      <c r="C3200" s="5">
        <f t="shared" ref="C3200:C3201" si="1348">DATE(2012,12,31)-1235</f>
        <v>40039</v>
      </c>
      <c r="D3200" s="4" t="s">
        <v>30</v>
      </c>
      <c r="E3200" s="4">
        <v>18.0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7"/>
        <v>40040</v>
      </c>
    </row>
    <row r="3201" ht="12.75" customHeight="1">
      <c r="A3201" s="4">
        <v>5303.0</v>
      </c>
      <c r="B3201" s="4">
        <v>37760.0</v>
      </c>
      <c r="C3201" s="5">
        <f t="shared" si="1348"/>
        <v>40039</v>
      </c>
      <c r="D3201" s="4" t="s">
        <v>30</v>
      </c>
      <c r="E3201" s="4">
        <v>38.0</v>
      </c>
      <c r="F3201" s="4">
        <v>2773.0314999999996</v>
      </c>
      <c r="G3201" s="4">
        <v>0.04</v>
      </c>
      <c r="H3201" s="4" t="s">
        <v>22</v>
      </c>
      <c r="I3201" s="6">
        <v>897.867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</v>
      </c>
      <c r="U3201" s="5">
        <f>C3201+2</f>
        <v>40041</v>
      </c>
    </row>
    <row r="3202" ht="12.75" customHeight="1">
      <c r="A3202" s="4">
        <v>5335.0</v>
      </c>
      <c r="B3202" s="4">
        <v>37895.0</v>
      </c>
      <c r="C3202" s="5">
        <f>DATE(2012,12,31)-276</f>
        <v>40998</v>
      </c>
      <c r="D3202" s="4" t="s">
        <v>78</v>
      </c>
      <c r="E3202" s="4">
        <v>14.0</v>
      </c>
      <c r="F3202" s="4">
        <v>304.65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ht="12.75" customHeight="1">
      <c r="A3203" s="4">
        <v>5402.0</v>
      </c>
      <c r="B3203" s="4">
        <v>38403.0</v>
      </c>
      <c r="C3203" s="5">
        <f>DATE(2012,12,31)-590</f>
        <v>40684</v>
      </c>
      <c r="D3203" s="4" t="s">
        <v>21</v>
      </c>
      <c r="E3203" s="4">
        <v>49.0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ht="12.75" customHeight="1">
      <c r="A3204" s="4">
        <v>5440.0</v>
      </c>
      <c r="B3204" s="4">
        <v>38630.0</v>
      </c>
      <c r="C3204" s="5">
        <f>DATE(2012,12,31)-989</f>
        <v>40285</v>
      </c>
      <c r="D3204" s="4" t="s">
        <v>63</v>
      </c>
      <c r="E3204" s="4">
        <v>13.0</v>
      </c>
      <c r="F3204" s="4">
        <v>2175.218</v>
      </c>
      <c r="G3204" s="4">
        <v>0.07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0.58</v>
      </c>
      <c r="U3204" s="5">
        <f>C3204+1</f>
        <v>40286</v>
      </c>
    </row>
    <row r="3205" ht="12.75" customHeight="1">
      <c r="A3205" s="4">
        <v>5684.0</v>
      </c>
      <c r="B3205" s="4">
        <v>40165.0</v>
      </c>
      <c r="C3205" s="5">
        <f>DATE(2012,12,31)-670</f>
        <v>40604</v>
      </c>
      <c r="D3205" s="4" t="s">
        <v>30</v>
      </c>
      <c r="E3205" s="4">
        <v>50.0</v>
      </c>
      <c r="F3205" s="4">
        <v>421.36</v>
      </c>
      <c r="G3205" s="4">
        <v>0.07</v>
      </c>
      <c r="H3205" s="4" t="s">
        <v>22</v>
      </c>
      <c r="I3205" s="6">
        <v>-75.17</v>
      </c>
      <c r="J3205" s="4">
        <v>8.62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ht="12.75" customHeight="1">
      <c r="A3206" s="4">
        <v>5686.0</v>
      </c>
      <c r="B3206" s="4">
        <v>40194.0</v>
      </c>
      <c r="C3206" s="5">
        <f t="shared" ref="C3206:C3208" si="1349">DATE(2012,12,31)-817</f>
        <v>40457</v>
      </c>
      <c r="D3206" s="4" t="s">
        <v>45</v>
      </c>
      <c r="E3206" s="4">
        <v>30.0</v>
      </c>
      <c r="F3206" s="4">
        <v>4506.85</v>
      </c>
      <c r="G3206" s="4">
        <v>0.1</v>
      </c>
      <c r="H3206" s="4" t="s">
        <v>31</v>
      </c>
      <c r="I3206" s="6">
        <v>290.66</v>
      </c>
      <c r="J3206" s="4">
        <v>160.98</v>
      </c>
      <c r="K3206" s="4">
        <v>30.0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ht="12.75" customHeight="1">
      <c r="A3207" s="4">
        <v>5687.0</v>
      </c>
      <c r="B3207" s="4">
        <v>40194.0</v>
      </c>
      <c r="C3207" s="5">
        <f t="shared" si="1349"/>
        <v>40457</v>
      </c>
      <c r="D3207" s="4" t="s">
        <v>45</v>
      </c>
      <c r="E3207" s="4">
        <v>16.0</v>
      </c>
      <c r="F3207" s="4">
        <v>2110.37</v>
      </c>
      <c r="G3207" s="4">
        <v>0.0</v>
      </c>
      <c r="H3207" s="4" t="s">
        <v>31</v>
      </c>
      <c r="I3207" s="6">
        <v>-14.4159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50">C3207+2</f>
        <v>40459</v>
      </c>
    </row>
    <row r="3208" ht="12.75" customHeight="1">
      <c r="A3208" s="4">
        <v>5688.0</v>
      </c>
      <c r="B3208" s="4">
        <v>40194.0</v>
      </c>
      <c r="C3208" s="5">
        <f t="shared" si="1349"/>
        <v>40457</v>
      </c>
      <c r="D3208" s="4" t="s">
        <v>45</v>
      </c>
      <c r="E3208" s="4">
        <v>34.0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5.0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50"/>
        <v>40459</v>
      </c>
    </row>
    <row r="3209" ht="12.75" customHeight="1">
      <c r="A3209" s="4">
        <v>5713.0</v>
      </c>
      <c r="B3209" s="4">
        <v>40454.0</v>
      </c>
      <c r="C3209" s="5">
        <f>DATE(2012,12,31)-620</f>
        <v>40654</v>
      </c>
      <c r="D3209" s="4" t="s">
        <v>45</v>
      </c>
      <c r="E3209" s="4">
        <v>43.0</v>
      </c>
      <c r="F3209" s="4">
        <v>1243.88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0.58</v>
      </c>
      <c r="U3209" s="5">
        <f>C3209+3</f>
        <v>40657</v>
      </c>
    </row>
    <row r="3210" ht="12.75" customHeight="1">
      <c r="A3210" s="4">
        <v>5730.0</v>
      </c>
      <c r="B3210" s="4">
        <v>40672.0</v>
      </c>
      <c r="C3210" s="5">
        <f>DATE(2012,12,31)-63</f>
        <v>41211</v>
      </c>
      <c r="D3210" s="4" t="s">
        <v>21</v>
      </c>
      <c r="E3210" s="4">
        <v>16.0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ht="12.75" customHeight="1">
      <c r="A3211" s="4">
        <v>5749.0</v>
      </c>
      <c r="B3211" s="4">
        <v>40833.0</v>
      </c>
      <c r="C3211" s="5">
        <f>DATE(2012,12,31)-900</f>
        <v>40374</v>
      </c>
      <c r="D3211" s="4" t="s">
        <v>21</v>
      </c>
      <c r="E3211" s="4">
        <v>48.0</v>
      </c>
      <c r="F3211" s="4">
        <v>2688.0825</v>
      </c>
      <c r="G3211" s="4">
        <v>0.04</v>
      </c>
      <c r="H3211" s="4" t="s">
        <v>22</v>
      </c>
      <c r="I3211" s="6">
        <v>844.821</v>
      </c>
      <c r="J3211" s="4">
        <v>65.99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</v>
      </c>
      <c r="U3211" s="5">
        <f>C3211+9</f>
        <v>40383</v>
      </c>
    </row>
    <row r="3212" ht="12.75" customHeight="1">
      <c r="A3212" s="4">
        <v>5843.0</v>
      </c>
      <c r="B3212" s="4">
        <v>41441.0</v>
      </c>
      <c r="C3212" s="5">
        <f>DATE(2012,12,31)-343</f>
        <v>40931</v>
      </c>
      <c r="D3212" s="4" t="s">
        <v>63</v>
      </c>
      <c r="E3212" s="4">
        <v>41.0</v>
      </c>
      <c r="F3212" s="4">
        <v>221.08</v>
      </c>
      <c r="G3212" s="4">
        <v>0.0</v>
      </c>
      <c r="H3212" s="4" t="s">
        <v>22</v>
      </c>
      <c r="I3212" s="6">
        <v>-108.2035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ht="12.75" customHeight="1">
      <c r="A3213" s="4">
        <v>6079.0</v>
      </c>
      <c r="B3213" s="4">
        <v>43076.0</v>
      </c>
      <c r="C3213" s="5">
        <f>DATE(2012,12,31)-929</f>
        <v>40345</v>
      </c>
      <c r="D3213" s="4" t="s">
        <v>45</v>
      </c>
      <c r="E3213" s="4">
        <v>33.0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30.0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ht="12.75" customHeight="1">
      <c r="A3214" s="4">
        <v>6102.0</v>
      </c>
      <c r="B3214" s="4">
        <v>43233.0</v>
      </c>
      <c r="C3214" s="5">
        <f>DATE(2012,12,31)-926</f>
        <v>40348</v>
      </c>
      <c r="D3214" s="4" t="s">
        <v>78</v>
      </c>
      <c r="E3214" s="4">
        <v>30.0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ht="12.75" customHeight="1">
      <c r="A3215" s="4">
        <v>6120.0</v>
      </c>
      <c r="B3215" s="4">
        <v>43332.0</v>
      </c>
      <c r="C3215" s="5">
        <f>DATE(2012,12,31)-112</f>
        <v>41162</v>
      </c>
      <c r="D3215" s="4" t="s">
        <v>30</v>
      </c>
      <c r="E3215" s="4">
        <v>31.0</v>
      </c>
      <c r="F3215" s="4">
        <v>1750.0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ht="12.75" customHeight="1">
      <c r="A3216" s="4">
        <v>6122.0</v>
      </c>
      <c r="B3216" s="4">
        <v>43362.0</v>
      </c>
      <c r="C3216" s="5">
        <f t="shared" ref="C3216:C3217" si="1351">DATE(2012,12,31)-1449</f>
        <v>39825</v>
      </c>
      <c r="D3216" s="4" t="s">
        <v>78</v>
      </c>
      <c r="E3216" s="4">
        <v>45.0</v>
      </c>
      <c r="F3216" s="4">
        <v>15963.09</v>
      </c>
      <c r="G3216" s="4">
        <v>0.03</v>
      </c>
      <c r="H3216" s="4" t="s">
        <v>31</v>
      </c>
      <c r="I3216" s="6">
        <v>4276.73</v>
      </c>
      <c r="J3216" s="4">
        <v>350.98</v>
      </c>
      <c r="K3216" s="4">
        <v>30.0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ht="12.75" customHeight="1">
      <c r="A3217" s="4">
        <v>6123.0</v>
      </c>
      <c r="B3217" s="4">
        <v>43362.0</v>
      </c>
      <c r="C3217" s="5">
        <f t="shared" si="1351"/>
        <v>39825</v>
      </c>
      <c r="D3217" s="4" t="s">
        <v>78</v>
      </c>
      <c r="E3217" s="4">
        <v>33.0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1.0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ht="12.75" customHeight="1">
      <c r="A3218" s="4">
        <v>6138.0</v>
      </c>
      <c r="B3218" s="4">
        <v>43488.0</v>
      </c>
      <c r="C3218" s="5">
        <f t="shared" ref="C3218:C3222" si="1352">DATE(2012,12,31)-196</f>
        <v>41078</v>
      </c>
      <c r="D3218" s="4" t="s">
        <v>78</v>
      </c>
      <c r="E3218" s="4">
        <v>46.0</v>
      </c>
      <c r="F3218" s="4">
        <v>2116.2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3">C3218+1</f>
        <v>41079</v>
      </c>
    </row>
    <row r="3219" ht="12.75" customHeight="1">
      <c r="A3219" s="4">
        <v>6139.0</v>
      </c>
      <c r="B3219" s="4">
        <v>43488.0</v>
      </c>
      <c r="C3219" s="5">
        <f t="shared" si="1352"/>
        <v>41078</v>
      </c>
      <c r="D3219" s="4" t="s">
        <v>78</v>
      </c>
      <c r="E3219" s="4">
        <v>46.0</v>
      </c>
      <c r="F3219" s="4">
        <v>766.36</v>
      </c>
      <c r="G3219" s="4">
        <v>0.0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3"/>
        <v>41079</v>
      </c>
    </row>
    <row r="3220" ht="12.75" customHeight="1">
      <c r="A3220" s="4">
        <v>6140.0</v>
      </c>
      <c r="B3220" s="4">
        <v>43488.0</v>
      </c>
      <c r="C3220" s="5">
        <f t="shared" si="1352"/>
        <v>41078</v>
      </c>
      <c r="D3220" s="4" t="s">
        <v>78</v>
      </c>
      <c r="E3220" s="4">
        <v>28.0</v>
      </c>
      <c r="F3220" s="4">
        <v>547.32</v>
      </c>
      <c r="G3220" s="4">
        <v>0.1</v>
      </c>
      <c r="H3220" s="4" t="s">
        <v>22</v>
      </c>
      <c r="I3220" s="6">
        <v>42.39</v>
      </c>
      <c r="J3220" s="4">
        <v>20.24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3"/>
        <v>41079</v>
      </c>
    </row>
    <row r="3221" ht="12.75" customHeight="1">
      <c r="A3221" s="4">
        <v>6141.0</v>
      </c>
      <c r="B3221" s="4">
        <v>43488.0</v>
      </c>
      <c r="C3221" s="5">
        <f t="shared" si="1352"/>
        <v>41078</v>
      </c>
      <c r="D3221" s="4" t="s">
        <v>78</v>
      </c>
      <c r="E3221" s="4">
        <v>13.0</v>
      </c>
      <c r="F3221" s="4">
        <v>192.44</v>
      </c>
      <c r="G3221" s="4">
        <v>0.05</v>
      </c>
      <c r="H3221" s="4" t="s">
        <v>22</v>
      </c>
      <c r="I3221" s="6">
        <v>6.7745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4">C3221+2</f>
        <v>41080</v>
      </c>
    </row>
    <row r="3222" ht="12.75" customHeight="1">
      <c r="A3222" s="4">
        <v>6142.0</v>
      </c>
      <c r="B3222" s="4">
        <v>43488.0</v>
      </c>
      <c r="C3222" s="5">
        <f t="shared" si="1352"/>
        <v>41078</v>
      </c>
      <c r="D3222" s="4" t="s">
        <v>78</v>
      </c>
      <c r="E3222" s="4">
        <v>3.0</v>
      </c>
      <c r="F3222" s="4">
        <v>1294.35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4"/>
        <v>41080</v>
      </c>
    </row>
    <row r="3223" ht="12.75" customHeight="1">
      <c r="A3223" s="4">
        <v>6148.0</v>
      </c>
      <c r="B3223" s="4">
        <v>43526.0</v>
      </c>
      <c r="C3223" s="5">
        <f t="shared" ref="C3223:C3224" si="1355">DATE(2012,12,31)-950</f>
        <v>40324</v>
      </c>
      <c r="D3223" s="4" t="s">
        <v>30</v>
      </c>
      <c r="E3223" s="4">
        <v>49.0</v>
      </c>
      <c r="F3223" s="4">
        <v>561.06</v>
      </c>
      <c r="G3223" s="4">
        <v>0.07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ht="12.75" customHeight="1">
      <c r="A3224" s="4">
        <v>6149.0</v>
      </c>
      <c r="B3224" s="4">
        <v>43526.0</v>
      </c>
      <c r="C3224" s="5">
        <f t="shared" si="1355"/>
        <v>40324</v>
      </c>
      <c r="D3224" s="4" t="s">
        <v>30</v>
      </c>
      <c r="E3224" s="4">
        <v>19.0</v>
      </c>
      <c r="F3224" s="4">
        <v>320.03</v>
      </c>
      <c r="G3224" s="4">
        <v>0.0</v>
      </c>
      <c r="H3224" s="4" t="s">
        <v>22</v>
      </c>
      <c r="I3224" s="6">
        <v>-43.22</v>
      </c>
      <c r="J3224" s="4">
        <v>15.31</v>
      </c>
      <c r="K3224" s="4">
        <v>8.78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0.57</v>
      </c>
      <c r="U3224" s="5">
        <f>C3224+1</f>
        <v>40325</v>
      </c>
    </row>
    <row r="3225" ht="12.75" customHeight="1">
      <c r="A3225" s="4">
        <v>6232.0</v>
      </c>
      <c r="B3225" s="4">
        <v>44134.0</v>
      </c>
      <c r="C3225" s="5">
        <f>DATE(2012,12,31)-1158</f>
        <v>40116</v>
      </c>
      <c r="D3225" s="4" t="s">
        <v>30</v>
      </c>
      <c r="E3225" s="4">
        <v>35.0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ht="12.75" customHeight="1">
      <c r="A3226" s="4">
        <v>6235.0</v>
      </c>
      <c r="B3226" s="4">
        <v>44196.0</v>
      </c>
      <c r="C3226" s="5">
        <f>DATE(2012,12,31)-1227</f>
        <v>40047</v>
      </c>
      <c r="D3226" s="4" t="s">
        <v>45</v>
      </c>
      <c r="E3226" s="4">
        <v>12.0</v>
      </c>
      <c r="F3226" s="4">
        <v>653.786</v>
      </c>
      <c r="G3226" s="4">
        <v>0.09</v>
      </c>
      <c r="H3226" s="4" t="s">
        <v>22</v>
      </c>
      <c r="I3226" s="6">
        <v>-83.46799999999999</v>
      </c>
      <c r="J3226" s="4">
        <v>65.99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0.57</v>
      </c>
      <c r="U3226" s="5">
        <f>C3226+1</f>
        <v>40048</v>
      </c>
    </row>
    <row r="3227" ht="12.75" customHeight="1">
      <c r="A3227" s="4">
        <v>6266.0</v>
      </c>
      <c r="B3227" s="4">
        <v>44358.0</v>
      </c>
      <c r="C3227" s="5">
        <f>DATE(2012,12,31)-1005</f>
        <v>40269</v>
      </c>
      <c r="D3227" s="4" t="s">
        <v>30</v>
      </c>
      <c r="E3227" s="4">
        <v>22.0</v>
      </c>
      <c r="F3227" s="4">
        <v>5288.89</v>
      </c>
      <c r="G3227" s="4">
        <v>0.0</v>
      </c>
      <c r="H3227" s="4" t="s">
        <v>31</v>
      </c>
      <c r="I3227" s="6">
        <v>547.0362</v>
      </c>
      <c r="J3227" s="4">
        <v>227.55</v>
      </c>
      <c r="K3227" s="4">
        <v>32.48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6">C3227+2</f>
        <v>40271</v>
      </c>
    </row>
    <row r="3228" ht="12.75" customHeight="1">
      <c r="A3228" s="4">
        <v>6284.0</v>
      </c>
      <c r="B3228" s="4">
        <v>44480.0</v>
      </c>
      <c r="C3228" s="5">
        <f>DATE(2012,12,31)-964</f>
        <v>40310</v>
      </c>
      <c r="D3228" s="4" t="s">
        <v>63</v>
      </c>
      <c r="E3228" s="4">
        <v>25.0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6"/>
        <v>40312</v>
      </c>
    </row>
    <row r="3229" ht="12.75" customHeight="1">
      <c r="A3229" s="4">
        <v>6293.0</v>
      </c>
      <c r="B3229" s="4">
        <v>44546.0</v>
      </c>
      <c r="C3229" s="5">
        <f>DATE(2012,12,31)-1013</f>
        <v>40261</v>
      </c>
      <c r="D3229" s="4" t="s">
        <v>78</v>
      </c>
      <c r="E3229" s="4">
        <v>15.0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ht="12.75" customHeight="1">
      <c r="A3230" s="4">
        <v>6311.0</v>
      </c>
      <c r="B3230" s="4">
        <v>44647.0</v>
      </c>
      <c r="C3230" s="5">
        <f t="shared" ref="C3230:C3231" si="1357">DATE(2012,12,31)-342</f>
        <v>40932</v>
      </c>
      <c r="D3230" s="4" t="s">
        <v>21</v>
      </c>
      <c r="E3230" s="4">
        <v>47.0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26.0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ht="12.75" customHeight="1">
      <c r="A3231" s="4">
        <v>6312.0</v>
      </c>
      <c r="B3231" s="4">
        <v>44647.0</v>
      </c>
      <c r="C3231" s="5">
        <f t="shared" si="1357"/>
        <v>40932</v>
      </c>
      <c r="D3231" s="4" t="s">
        <v>21</v>
      </c>
      <c r="E3231" s="4">
        <v>24.0</v>
      </c>
      <c r="F3231" s="4">
        <v>302.91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0.57</v>
      </c>
      <c r="U3231" s="5">
        <f>C3231+4</f>
        <v>40936</v>
      </c>
    </row>
    <row r="3232" ht="12.75" customHeight="1">
      <c r="A3232" s="4">
        <v>6385.0</v>
      </c>
      <c r="B3232" s="4">
        <v>45376.0</v>
      </c>
      <c r="C3232" s="5">
        <f>DATE(2012,12,31)-395</f>
        <v>40879</v>
      </c>
      <c r="D3232" s="4" t="s">
        <v>78</v>
      </c>
      <c r="E3232" s="4">
        <v>19.0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99.0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ht="12.75" customHeight="1">
      <c r="A3233" s="4">
        <v>6477.0</v>
      </c>
      <c r="B3233" s="4">
        <v>46115.0</v>
      </c>
      <c r="C3233" s="5">
        <f t="shared" ref="C3233:C3234" si="1358">DATE(2012,12,31)-670</f>
        <v>40604</v>
      </c>
      <c r="D3233" s="4" t="s">
        <v>78</v>
      </c>
      <c r="E3233" s="4">
        <v>35.0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4.0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ht="12.75" customHeight="1">
      <c r="A3234" s="4">
        <v>6478.0</v>
      </c>
      <c r="B3234" s="4">
        <v>46115.0</v>
      </c>
      <c r="C3234" s="5">
        <f t="shared" si="1358"/>
        <v>40604</v>
      </c>
      <c r="D3234" s="4" t="s">
        <v>78</v>
      </c>
      <c r="E3234" s="4">
        <v>38.0</v>
      </c>
      <c r="F3234" s="4">
        <v>491.78</v>
      </c>
      <c r="G3234" s="4">
        <v>0.0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ht="12.75" customHeight="1">
      <c r="A3235" s="4">
        <v>6625.0</v>
      </c>
      <c r="B3235" s="4">
        <v>47109.0</v>
      </c>
      <c r="C3235" s="5">
        <f>DATE(2012,12,31)-477</f>
        <v>40797</v>
      </c>
      <c r="D3235" s="4" t="s">
        <v>30</v>
      </c>
      <c r="E3235" s="4">
        <v>47.0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9">C3235+2</f>
        <v>40799</v>
      </c>
    </row>
    <row r="3236" ht="12.75" customHeight="1">
      <c r="A3236" s="4">
        <v>6687.0</v>
      </c>
      <c r="B3236" s="4">
        <v>47556.0</v>
      </c>
      <c r="C3236" s="5">
        <f>DATE(2012,12,31)-890</f>
        <v>40384</v>
      </c>
      <c r="D3236" s="4" t="s">
        <v>21</v>
      </c>
      <c r="E3236" s="4">
        <v>29.0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4.0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9"/>
        <v>40386</v>
      </c>
    </row>
    <row r="3237" ht="12.75" customHeight="1">
      <c r="A3237" s="4">
        <v>6698.0</v>
      </c>
      <c r="B3237" s="4">
        <v>47712.0</v>
      </c>
      <c r="C3237" s="5">
        <f>DATE(2012,12,31)-902</f>
        <v>40372</v>
      </c>
      <c r="D3237" s="4" t="s">
        <v>21</v>
      </c>
      <c r="E3237" s="4">
        <v>50.0</v>
      </c>
      <c r="F3237" s="4">
        <v>274.04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ht="12.75" customHeight="1">
      <c r="A3238" s="4">
        <v>6756.0</v>
      </c>
      <c r="B3238" s="4">
        <v>48135.0</v>
      </c>
      <c r="C3238" s="5">
        <f>DATE(2012,12,31)-1352</f>
        <v>39922</v>
      </c>
      <c r="D3238" s="4" t="s">
        <v>30</v>
      </c>
      <c r="E3238" s="4">
        <v>20.0</v>
      </c>
      <c r="F3238" s="4">
        <v>3960.99</v>
      </c>
      <c r="G3238" s="4">
        <v>0.09</v>
      </c>
      <c r="H3238" s="4" t="s">
        <v>56</v>
      </c>
      <c r="I3238" s="6">
        <v>631.33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60">C3238+2</f>
        <v>39924</v>
      </c>
    </row>
    <row r="3239" ht="12.75" customHeight="1">
      <c r="A3239" s="4">
        <v>6758.0</v>
      </c>
      <c r="B3239" s="4">
        <v>48161.0</v>
      </c>
      <c r="C3239" s="5">
        <f t="shared" ref="C3239:C3240" si="1361">DATE(2012,12,31)-588</f>
        <v>40686</v>
      </c>
      <c r="D3239" s="4" t="s">
        <v>45</v>
      </c>
      <c r="E3239" s="4">
        <v>16.0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0.58</v>
      </c>
      <c r="U3239" s="5">
        <f t="shared" si="1360"/>
        <v>40688</v>
      </c>
    </row>
    <row r="3240" ht="12.75" customHeight="1">
      <c r="A3240" s="4">
        <v>6759.0</v>
      </c>
      <c r="B3240" s="4">
        <v>48161.0</v>
      </c>
      <c r="C3240" s="5">
        <f t="shared" si="1361"/>
        <v>40686</v>
      </c>
      <c r="D3240" s="4" t="s">
        <v>45</v>
      </c>
      <c r="E3240" s="4">
        <v>39.0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0.58</v>
      </c>
      <c r="U3240" s="5">
        <f>C3240+1</f>
        <v>40687</v>
      </c>
    </row>
    <row r="3241" ht="12.75" customHeight="1">
      <c r="A3241" s="4">
        <v>6816.0</v>
      </c>
      <c r="B3241" s="4">
        <v>48515.0</v>
      </c>
      <c r="C3241" s="5">
        <f>DATE(2012,12,31)-377</f>
        <v>40897</v>
      </c>
      <c r="D3241" s="4" t="s">
        <v>78</v>
      </c>
      <c r="E3241" s="4">
        <v>47.0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2">C3241+0</f>
        <v>40897</v>
      </c>
    </row>
    <row r="3242" ht="12.75" customHeight="1">
      <c r="A3242" s="4">
        <v>6829.0</v>
      </c>
      <c r="B3242" s="4">
        <v>48642.0</v>
      </c>
      <c r="C3242" s="5">
        <f t="shared" ref="C3242:C3243" si="1363">DATE(2012,12,31)-1064</f>
        <v>40210</v>
      </c>
      <c r="D3242" s="4" t="s">
        <v>30</v>
      </c>
      <c r="E3242" s="4">
        <v>36.0</v>
      </c>
      <c r="F3242" s="4">
        <v>111.83</v>
      </c>
      <c r="G3242" s="4">
        <v>0.0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0.58</v>
      </c>
      <c r="U3242" s="5">
        <f t="shared" si="1362"/>
        <v>40210</v>
      </c>
    </row>
    <row r="3243" ht="12.75" customHeight="1">
      <c r="A3243" s="4">
        <v>6830.0</v>
      </c>
      <c r="B3243" s="4">
        <v>48642.0</v>
      </c>
      <c r="C3243" s="5">
        <f t="shared" si="1363"/>
        <v>40210</v>
      </c>
      <c r="D3243" s="4" t="s">
        <v>30</v>
      </c>
      <c r="E3243" s="4">
        <v>50.0</v>
      </c>
      <c r="F3243" s="4">
        <v>4159.628</v>
      </c>
      <c r="G3243" s="4">
        <v>0.05</v>
      </c>
      <c r="H3243" s="4" t="s">
        <v>56</v>
      </c>
      <c r="I3243" s="6">
        <v>1332.909</v>
      </c>
      <c r="J3243" s="4">
        <v>95.99</v>
      </c>
      <c r="K3243" s="4">
        <v>4.9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</v>
      </c>
      <c r="U3243" s="5">
        <f t="shared" si="1362"/>
        <v>40210</v>
      </c>
    </row>
    <row r="3244" ht="12.75" customHeight="1">
      <c r="A3244" s="4">
        <v>7089.0</v>
      </c>
      <c r="B3244" s="4">
        <v>50567.0</v>
      </c>
      <c r="C3244" s="5">
        <f>DATE(2012,12,31)-330</f>
        <v>40944</v>
      </c>
      <c r="D3244" s="4" t="s">
        <v>63</v>
      </c>
      <c r="E3244" s="4">
        <v>22.0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30.0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ht="12.75" customHeight="1">
      <c r="A3245" s="4">
        <v>7241.0</v>
      </c>
      <c r="B3245" s="4">
        <v>51623.0</v>
      </c>
      <c r="C3245" s="5">
        <f>DATE(2012,12,31)-1448</f>
        <v>39826</v>
      </c>
      <c r="D3245" s="4" t="s">
        <v>78</v>
      </c>
      <c r="E3245" s="4">
        <v>17.0</v>
      </c>
      <c r="F3245" s="4">
        <v>39.23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ht="12.75" customHeight="1">
      <c r="A3246" s="4">
        <v>7320.0</v>
      </c>
      <c r="B3246" s="4">
        <v>52194.0</v>
      </c>
      <c r="C3246" s="5">
        <f t="shared" ref="C3246:C3247" si="1364">DATE(2012,12,31)-751</f>
        <v>40523</v>
      </c>
      <c r="D3246" s="4" t="s">
        <v>78</v>
      </c>
      <c r="E3246" s="4">
        <v>25.0</v>
      </c>
      <c r="F3246" s="4">
        <v>612.93</v>
      </c>
      <c r="G3246" s="4">
        <v>0.1</v>
      </c>
      <c r="H3246" s="4" t="s">
        <v>22</v>
      </c>
      <c r="I3246" s="6">
        <v>-5.037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5">C3246+1</f>
        <v>40524</v>
      </c>
    </row>
    <row r="3247" ht="12.75" customHeight="1">
      <c r="A3247" s="4">
        <v>7321.0</v>
      </c>
      <c r="B3247" s="4">
        <v>52194.0</v>
      </c>
      <c r="C3247" s="5">
        <f t="shared" si="1364"/>
        <v>40523</v>
      </c>
      <c r="D3247" s="4" t="s">
        <v>78</v>
      </c>
      <c r="E3247" s="4">
        <v>12.0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5"/>
        <v>40524</v>
      </c>
    </row>
    <row r="3248" ht="12.75" customHeight="1">
      <c r="A3248" s="4">
        <v>7338.0</v>
      </c>
      <c r="B3248" s="4">
        <v>52291.0</v>
      </c>
      <c r="C3248" s="5">
        <f t="shared" ref="C3248:C3249" si="1366">DATE(2012,12,31)-1159</f>
        <v>40115</v>
      </c>
      <c r="D3248" s="4" t="s">
        <v>78</v>
      </c>
      <c r="E3248" s="4">
        <v>48.0</v>
      </c>
      <c r="F3248" s="4">
        <v>287.54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ht="12.75" customHeight="1">
      <c r="A3249" s="4">
        <v>7339.0</v>
      </c>
      <c r="B3249" s="4">
        <v>52291.0</v>
      </c>
      <c r="C3249" s="5">
        <f t="shared" si="1366"/>
        <v>40115</v>
      </c>
      <c r="D3249" s="4" t="s">
        <v>78</v>
      </c>
      <c r="E3249" s="4">
        <v>5.0</v>
      </c>
      <c r="F3249" s="4">
        <v>88.315</v>
      </c>
      <c r="G3249" s="4">
        <v>0.01</v>
      </c>
      <c r="H3249" s="4" t="s">
        <v>22</v>
      </c>
      <c r="I3249" s="6">
        <v>-72.40199999999999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0.57</v>
      </c>
      <c r="U3249" s="5">
        <f>C3249+1</f>
        <v>40116</v>
      </c>
    </row>
    <row r="3250" ht="12.75" customHeight="1">
      <c r="A3250" s="4">
        <v>7600.0</v>
      </c>
      <c r="B3250" s="4">
        <v>54370.0</v>
      </c>
      <c r="C3250" s="5">
        <f>DATE(2012,12,31)-267</f>
        <v>41007</v>
      </c>
      <c r="D3250" s="4" t="s">
        <v>45</v>
      </c>
      <c r="E3250" s="4">
        <v>49.0</v>
      </c>
      <c r="F3250" s="4">
        <v>4968.5</v>
      </c>
      <c r="G3250" s="4">
        <v>0.0</v>
      </c>
      <c r="H3250" s="4" t="s">
        <v>22</v>
      </c>
      <c r="I3250" s="6">
        <v>1041.28</v>
      </c>
      <c r="J3250" s="4">
        <v>99.99</v>
      </c>
      <c r="K3250" s="4">
        <v>19.99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ht="12.75" customHeight="1">
      <c r="A3251" s="4">
        <v>7619.0</v>
      </c>
      <c r="B3251" s="4">
        <v>54528.0</v>
      </c>
      <c r="C3251" s="5">
        <f>DATE(2012,12,31)-727</f>
        <v>40547</v>
      </c>
      <c r="D3251" s="4" t="s">
        <v>63</v>
      </c>
      <c r="E3251" s="4">
        <v>15.0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ht="12.75" customHeight="1">
      <c r="A3252" s="4">
        <v>7636.0</v>
      </c>
      <c r="B3252" s="4">
        <v>54659.0</v>
      </c>
      <c r="C3252" s="5">
        <f>DATE(2012,12,31)-504</f>
        <v>40770</v>
      </c>
      <c r="D3252" s="4" t="s">
        <v>30</v>
      </c>
      <c r="E3252" s="4">
        <v>38.0</v>
      </c>
      <c r="F3252" s="4">
        <v>262.9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ht="12.75" customHeight="1">
      <c r="A3253" s="4">
        <v>7670.0</v>
      </c>
      <c r="B3253" s="4">
        <v>54981.0</v>
      </c>
      <c r="C3253" s="5">
        <f>DATE(2012,12,31)-324</f>
        <v>40950</v>
      </c>
      <c r="D3253" s="4" t="s">
        <v>30</v>
      </c>
      <c r="E3253" s="4">
        <v>31.0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7">C3253+1</f>
        <v>40951</v>
      </c>
    </row>
    <row r="3254" ht="12.75" customHeight="1">
      <c r="A3254" s="4">
        <v>7726.0</v>
      </c>
      <c r="B3254" s="4">
        <v>55361.0</v>
      </c>
      <c r="C3254" s="5">
        <f t="shared" ref="C3254:C3255" si="1368">DATE(2012,12,31)-649</f>
        <v>40625</v>
      </c>
      <c r="D3254" s="4" t="s">
        <v>45</v>
      </c>
      <c r="E3254" s="4">
        <v>22.0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7"/>
        <v>40626</v>
      </c>
    </row>
    <row r="3255" ht="12.75" customHeight="1">
      <c r="A3255" s="4">
        <v>7727.0</v>
      </c>
      <c r="B3255" s="4">
        <v>55361.0</v>
      </c>
      <c r="C3255" s="5">
        <f t="shared" si="1368"/>
        <v>40625</v>
      </c>
      <c r="D3255" s="4" t="s">
        <v>45</v>
      </c>
      <c r="E3255" s="4">
        <v>31.0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0.57</v>
      </c>
      <c r="U3255" s="5">
        <f t="shared" si="1367"/>
        <v>40626</v>
      </c>
    </row>
    <row r="3256" ht="12.75" customHeight="1">
      <c r="A3256" s="4">
        <v>7820.0</v>
      </c>
      <c r="B3256" s="4">
        <v>55908.0</v>
      </c>
      <c r="C3256" s="5">
        <f>DATE(2012,12,31)-1318</f>
        <v>39956</v>
      </c>
      <c r="D3256" s="4" t="s">
        <v>30</v>
      </c>
      <c r="E3256" s="4">
        <v>44.0</v>
      </c>
      <c r="F3256" s="4">
        <v>1844.97</v>
      </c>
      <c r="G3256" s="4">
        <v>0.03</v>
      </c>
      <c r="H3256" s="4" t="s">
        <v>22</v>
      </c>
      <c r="I3256" s="6">
        <v>807.3810000000001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7"/>
        <v>39957</v>
      </c>
    </row>
    <row r="3257" ht="12.75" customHeight="1">
      <c r="A3257" s="4">
        <v>7865.0</v>
      </c>
      <c r="B3257" s="4">
        <v>56257.0</v>
      </c>
      <c r="C3257" s="5">
        <f>DATE(2012,12,31)-479</f>
        <v>40795</v>
      </c>
      <c r="D3257" s="4" t="s">
        <v>63</v>
      </c>
      <c r="E3257" s="4">
        <v>49.0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7"/>
        <v>40796</v>
      </c>
    </row>
    <row r="3258" ht="12.75" customHeight="1">
      <c r="A3258" s="4">
        <v>7972.0</v>
      </c>
      <c r="B3258" s="4">
        <v>57029.0</v>
      </c>
      <c r="C3258" s="5">
        <f t="shared" ref="C3258:C3259" si="1369">DATE(2012,12,31)-664</f>
        <v>40610</v>
      </c>
      <c r="D3258" s="4" t="s">
        <v>78</v>
      </c>
      <c r="E3258" s="4">
        <v>17.0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7"/>
        <v>40611</v>
      </c>
    </row>
    <row r="3259" ht="12.75" customHeight="1">
      <c r="A3259" s="4">
        <v>7973.0</v>
      </c>
      <c r="B3259" s="4">
        <v>57029.0</v>
      </c>
      <c r="C3259" s="5">
        <f t="shared" si="1369"/>
        <v>40610</v>
      </c>
      <c r="D3259" s="4" t="s">
        <v>78</v>
      </c>
      <c r="E3259" s="4">
        <v>4.0</v>
      </c>
      <c r="F3259" s="4">
        <v>23.23</v>
      </c>
      <c r="G3259" s="4">
        <v>0.09</v>
      </c>
      <c r="H3259" s="4" t="s">
        <v>22</v>
      </c>
      <c r="I3259" s="6">
        <v>-19.06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7"/>
        <v>40611</v>
      </c>
    </row>
    <row r="3260" ht="12.75" customHeight="1">
      <c r="A3260" s="4">
        <v>8134.0</v>
      </c>
      <c r="B3260" s="4">
        <v>58145.0</v>
      </c>
      <c r="C3260" s="5">
        <f>DATE(2012,12,31)-229</f>
        <v>41045</v>
      </c>
      <c r="D3260" s="4" t="s">
        <v>63</v>
      </c>
      <c r="E3260" s="4">
        <v>33.0</v>
      </c>
      <c r="F3260" s="4">
        <v>203.49</v>
      </c>
      <c r="G3260" s="4">
        <v>0.0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70">C3260+0</f>
        <v>41045</v>
      </c>
    </row>
    <row r="3261" ht="12.75" customHeight="1">
      <c r="A3261" s="4">
        <v>8137.0</v>
      </c>
      <c r="B3261" s="4">
        <v>58151.0</v>
      </c>
      <c r="C3261" s="5">
        <f t="shared" ref="C3261:C3262" si="1371">DATE(2012,12,31)-1189</f>
        <v>40085</v>
      </c>
      <c r="D3261" s="4" t="s">
        <v>30</v>
      </c>
      <c r="E3261" s="4">
        <v>33.0</v>
      </c>
      <c r="F3261" s="4">
        <v>211.48</v>
      </c>
      <c r="G3261" s="4">
        <v>0.1</v>
      </c>
      <c r="H3261" s="4" t="s">
        <v>22</v>
      </c>
      <c r="I3261" s="6">
        <v>18.1475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70"/>
        <v>40085</v>
      </c>
    </row>
    <row r="3262" ht="12.75" customHeight="1">
      <c r="A3262" s="4">
        <v>8138.0</v>
      </c>
      <c r="B3262" s="4">
        <v>58151.0</v>
      </c>
      <c r="C3262" s="5">
        <f t="shared" si="1371"/>
        <v>40085</v>
      </c>
      <c r="D3262" s="4" t="s">
        <v>30</v>
      </c>
      <c r="E3262" s="4">
        <v>38.0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</v>
      </c>
      <c r="K3262" s="4">
        <v>19.99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</v>
      </c>
      <c r="U3262" s="5">
        <f t="shared" si="1370"/>
        <v>40085</v>
      </c>
    </row>
    <row r="3263" ht="12.75" customHeight="1">
      <c r="A3263" s="4">
        <v>8207.0</v>
      </c>
      <c r="B3263" s="4">
        <v>58659.0</v>
      </c>
      <c r="C3263" s="5">
        <f>DATE(2012,12,31)-799</f>
        <v>40475</v>
      </c>
      <c r="D3263" s="4" t="s">
        <v>30</v>
      </c>
      <c r="E3263" s="4">
        <v>2.0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ht="12.75" customHeight="1">
      <c r="A3264" s="4">
        <v>8216.0</v>
      </c>
      <c r="B3264" s="4">
        <v>58727.0</v>
      </c>
      <c r="C3264" s="5">
        <f>DATE(2012,12,31)-1274</f>
        <v>40000</v>
      </c>
      <c r="D3264" s="4" t="s">
        <v>63</v>
      </c>
      <c r="E3264" s="4">
        <v>20.0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ht="12.75" customHeight="1">
      <c r="A3265" s="4">
        <v>44.0</v>
      </c>
      <c r="B3265" s="4">
        <v>258.0</v>
      </c>
      <c r="C3265" s="5">
        <f>DATE(2012,12,31)-734</f>
        <v>40540</v>
      </c>
      <c r="D3265" s="4" t="s">
        <v>78</v>
      </c>
      <c r="E3265" s="4">
        <v>33.0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2">C3265+2</f>
        <v>40542</v>
      </c>
    </row>
    <row r="3266" ht="12.75" customHeight="1">
      <c r="A3266" s="4">
        <v>153.0</v>
      </c>
      <c r="B3266" s="4">
        <v>964.0</v>
      </c>
      <c r="C3266" s="5">
        <f>DATE(2012,12,31)-592</f>
        <v>40682</v>
      </c>
      <c r="D3266" s="4" t="s">
        <v>63</v>
      </c>
      <c r="E3266" s="4">
        <v>50.0</v>
      </c>
      <c r="F3266" s="4">
        <v>315.02</v>
      </c>
      <c r="G3266" s="4">
        <v>0.02</v>
      </c>
      <c r="H3266" s="4" t="s">
        <v>22</v>
      </c>
      <c r="I3266" s="6">
        <v>95.1575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2"/>
        <v>40684</v>
      </c>
    </row>
    <row r="3267" ht="12.75" customHeight="1">
      <c r="A3267" s="4">
        <v>177.0</v>
      </c>
      <c r="B3267" s="4">
        <v>1154.0</v>
      </c>
      <c r="C3267" s="5">
        <f t="shared" ref="C3267:C3268" si="1373">DATE(2012,12,31)-321</f>
        <v>40953</v>
      </c>
      <c r="D3267" s="4" t="s">
        <v>78</v>
      </c>
      <c r="E3267" s="4">
        <v>23.0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2"/>
        <v>40955</v>
      </c>
    </row>
    <row r="3268" ht="12.75" customHeight="1">
      <c r="A3268" s="4">
        <v>227.0</v>
      </c>
      <c r="B3268" s="4">
        <v>1537.0</v>
      </c>
      <c r="C3268" s="5">
        <f t="shared" si="1373"/>
        <v>40953</v>
      </c>
      <c r="D3268" s="4" t="s">
        <v>45</v>
      </c>
      <c r="E3268" s="4">
        <v>5.0</v>
      </c>
      <c r="F3268" s="4">
        <v>16.6</v>
      </c>
      <c r="G3268" s="4">
        <v>0.07</v>
      </c>
      <c r="H3268" s="4" t="s">
        <v>22</v>
      </c>
      <c r="I3268" s="6">
        <v>-20.2975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ht="12.75" customHeight="1">
      <c r="A3269" s="4">
        <v>650.0</v>
      </c>
      <c r="B3269" s="4">
        <v>4580.0</v>
      </c>
      <c r="C3269" s="5">
        <f>DATE(2012,12,31)-778</f>
        <v>40496</v>
      </c>
      <c r="D3269" s="4" t="s">
        <v>45</v>
      </c>
      <c r="E3269" s="4">
        <v>28.0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4">C3269+1</f>
        <v>40497</v>
      </c>
    </row>
    <row r="3270" ht="12.75" customHeight="1">
      <c r="A3270" s="4">
        <v>663.0</v>
      </c>
      <c r="B3270" s="4">
        <v>4647.0</v>
      </c>
      <c r="C3270" s="5">
        <f>DATE(2012,12,31)-1328</f>
        <v>39946</v>
      </c>
      <c r="D3270" s="4" t="s">
        <v>63</v>
      </c>
      <c r="E3270" s="4">
        <v>34.0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</v>
      </c>
      <c r="U3270" s="5">
        <f t="shared" si="1374"/>
        <v>39947</v>
      </c>
    </row>
    <row r="3271" ht="12.75" customHeight="1">
      <c r="A3271" s="4">
        <v>1101.0</v>
      </c>
      <c r="B3271" s="4">
        <v>8097.0</v>
      </c>
      <c r="C3271" s="5">
        <f>DATE(2012,12,31)-753</f>
        <v>40521</v>
      </c>
      <c r="D3271" s="4" t="s">
        <v>63</v>
      </c>
      <c r="E3271" s="4">
        <v>48.0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19.99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5">C3271+2</f>
        <v>40523</v>
      </c>
    </row>
    <row r="3272" ht="12.75" customHeight="1">
      <c r="A3272" s="4">
        <v>1158.0</v>
      </c>
      <c r="B3272" s="4">
        <v>8422.0</v>
      </c>
      <c r="C3272" s="5">
        <f>DATE(2012,12,31)-1357</f>
        <v>39917</v>
      </c>
      <c r="D3272" s="4" t="s">
        <v>63</v>
      </c>
      <c r="E3272" s="4">
        <v>33.0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4.0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5"/>
        <v>39919</v>
      </c>
    </row>
    <row r="3273" ht="12.75" customHeight="1">
      <c r="A3273" s="4">
        <v>1186.0</v>
      </c>
      <c r="B3273" s="4">
        <v>8677.0</v>
      </c>
      <c r="C3273" s="5">
        <f>DATE(2012,12,31)-85</f>
        <v>41189</v>
      </c>
      <c r="D3273" s="4" t="s">
        <v>30</v>
      </c>
      <c r="E3273" s="4">
        <v>38.0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</v>
      </c>
      <c r="U3273" s="5">
        <f t="shared" si="1375"/>
        <v>41191</v>
      </c>
    </row>
    <row r="3274" ht="12.75" customHeight="1">
      <c r="A3274" s="4">
        <v>1238.0</v>
      </c>
      <c r="B3274" s="4">
        <v>9024.0</v>
      </c>
      <c r="C3274" s="5">
        <f>DATE(2012,12,31)-212</f>
        <v>41062</v>
      </c>
      <c r="D3274" s="4" t="s">
        <v>63</v>
      </c>
      <c r="E3274" s="4">
        <v>2.0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ht="12.75" customHeight="1">
      <c r="A3275" s="4">
        <v>1392.0</v>
      </c>
      <c r="B3275" s="4">
        <v>10114.0</v>
      </c>
      <c r="C3275" s="5">
        <f>DATE(2012,12,31)-1057</f>
        <v>40217</v>
      </c>
      <c r="D3275" s="4" t="s">
        <v>78</v>
      </c>
      <c r="E3275" s="4">
        <v>39.0</v>
      </c>
      <c r="F3275" s="4">
        <v>147.88</v>
      </c>
      <c r="G3275" s="4">
        <v>0.0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6">C3275+2</f>
        <v>40219</v>
      </c>
    </row>
    <row r="3276" ht="12.75" customHeight="1">
      <c r="A3276" s="4">
        <v>1557.0</v>
      </c>
      <c r="B3276" s="4">
        <v>11236.0</v>
      </c>
      <c r="C3276" s="5">
        <f>DATE(2012,12,31)-793</f>
        <v>40481</v>
      </c>
      <c r="D3276" s="4" t="s">
        <v>30</v>
      </c>
      <c r="E3276" s="4">
        <v>4.0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0.57</v>
      </c>
      <c r="U3276" s="5">
        <f t="shared" si="1376"/>
        <v>40483</v>
      </c>
    </row>
    <row r="3277" ht="12.75" customHeight="1">
      <c r="A3277" s="4">
        <v>1616.0</v>
      </c>
      <c r="B3277" s="4">
        <v>11687.0</v>
      </c>
      <c r="C3277" s="5">
        <f>DATE(2012,12,31)-372</f>
        <v>40902</v>
      </c>
      <c r="D3277" s="4" t="s">
        <v>30</v>
      </c>
      <c r="E3277" s="4">
        <v>26.0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ht="12.75" customHeight="1">
      <c r="A3278" s="4">
        <v>1768.0</v>
      </c>
      <c r="B3278" s="4">
        <v>12643.0</v>
      </c>
      <c r="C3278" s="5">
        <f>DATE(2012,12,31)-1018</f>
        <v>40256</v>
      </c>
      <c r="D3278" s="4" t="s">
        <v>21</v>
      </c>
      <c r="E3278" s="4">
        <v>22.0</v>
      </c>
      <c r="F3278" s="4">
        <v>345.69</v>
      </c>
      <c r="G3278" s="4">
        <v>0.02</v>
      </c>
      <c r="H3278" s="4" t="s">
        <v>22</v>
      </c>
      <c r="I3278" s="6">
        <v>143.23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ht="12.75" customHeight="1">
      <c r="A3279" s="4">
        <v>1821.0</v>
      </c>
      <c r="B3279" s="4">
        <v>13089.0</v>
      </c>
      <c r="C3279" s="5">
        <f>DATE(2012,12,31)-383</f>
        <v>40891</v>
      </c>
      <c r="D3279" s="4" t="s">
        <v>45</v>
      </c>
      <c r="E3279" s="4">
        <v>34.0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ht="12.75" customHeight="1">
      <c r="A3280" s="4">
        <v>1859.0</v>
      </c>
      <c r="B3280" s="4">
        <v>13378.0</v>
      </c>
      <c r="C3280" s="5">
        <f>DATE(2012,12,31)-1197</f>
        <v>40077</v>
      </c>
      <c r="D3280" s="4" t="s">
        <v>21</v>
      </c>
      <c r="E3280" s="4">
        <v>16.0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</v>
      </c>
      <c r="U3280" s="5">
        <f>C3280+5</f>
        <v>40082</v>
      </c>
    </row>
    <row r="3281" ht="12.75" customHeight="1">
      <c r="A3281" s="4">
        <v>1932.0</v>
      </c>
      <c r="B3281" s="4">
        <v>13824.0</v>
      </c>
      <c r="C3281" s="5">
        <f>DATE(2012,12,31)-1100</f>
        <v>40174</v>
      </c>
      <c r="D3281" s="4" t="s">
        <v>21</v>
      </c>
      <c r="E3281" s="4">
        <v>19.0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ht="12.75" customHeight="1">
      <c r="A3282" s="4">
        <v>2572.0</v>
      </c>
      <c r="B3282" s="4">
        <v>18562.0</v>
      </c>
      <c r="C3282" s="5">
        <f>DATE(2012,12,31)-377</f>
        <v>40897</v>
      </c>
      <c r="D3282" s="4" t="s">
        <v>78</v>
      </c>
      <c r="E3282" s="4">
        <v>41.0</v>
      </c>
      <c r="F3282" s="4">
        <v>160.11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ht="12.75" customHeight="1">
      <c r="A3283" s="4">
        <v>2876.0</v>
      </c>
      <c r="B3283" s="4">
        <v>20737.0</v>
      </c>
      <c r="C3283" s="5">
        <f>DATE(2012,12,31)-372</f>
        <v>40902</v>
      </c>
      <c r="D3283" s="4" t="s">
        <v>63</v>
      </c>
      <c r="E3283" s="4">
        <v>10.0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140.98</v>
      </c>
      <c r="K3283" s="4">
        <v>36.09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ht="12.75" customHeight="1">
      <c r="A3284" s="4">
        <v>2896.0</v>
      </c>
      <c r="B3284" s="4">
        <v>20900.0</v>
      </c>
      <c r="C3284" s="5">
        <f>DATE(2012,12,31)-768</f>
        <v>40506</v>
      </c>
      <c r="D3284" s="4" t="s">
        <v>21</v>
      </c>
      <c r="E3284" s="4">
        <v>50.0</v>
      </c>
      <c r="F3284" s="4">
        <v>1978.3664999999999</v>
      </c>
      <c r="G3284" s="4">
        <v>0.0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0.57</v>
      </c>
      <c r="U3284" s="5">
        <f>C3284+2</f>
        <v>40508</v>
      </c>
    </row>
    <row r="3285" ht="12.75" customHeight="1">
      <c r="A3285" s="4">
        <v>3729.0</v>
      </c>
      <c r="B3285" s="4">
        <v>26658.0</v>
      </c>
      <c r="C3285" s="5">
        <f>DATE(2012,12,31)-375</f>
        <v>40899</v>
      </c>
      <c r="D3285" s="4" t="s">
        <v>30</v>
      </c>
      <c r="E3285" s="4">
        <v>17.0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ht="12.75" customHeight="1">
      <c r="A3286" s="4">
        <v>3826.0</v>
      </c>
      <c r="B3286" s="4">
        <v>27271.0</v>
      </c>
      <c r="C3286" s="5">
        <f>DATE(2012,12,31)-474</f>
        <v>40800</v>
      </c>
      <c r="D3286" s="4" t="s">
        <v>45</v>
      </c>
      <c r="E3286" s="4">
        <v>8.0</v>
      </c>
      <c r="F3286" s="4">
        <v>301.57</v>
      </c>
      <c r="G3286" s="4">
        <v>0.0</v>
      </c>
      <c r="H3286" s="4" t="s">
        <v>31</v>
      </c>
      <c r="I3286" s="6">
        <v>-77.31</v>
      </c>
      <c r="J3286" s="4">
        <v>33.94</v>
      </c>
      <c r="K3286" s="4">
        <v>19.19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0.58</v>
      </c>
      <c r="U3286" s="5">
        <f>C3286+1</f>
        <v>40801</v>
      </c>
    </row>
    <row r="3287" ht="12.75" customHeight="1">
      <c r="A3287" s="4">
        <v>3927.0</v>
      </c>
      <c r="B3287" s="4">
        <v>28001.0</v>
      </c>
      <c r="C3287" s="5">
        <f>DATE(2012,12,31)-1296</f>
        <v>39978</v>
      </c>
      <c r="D3287" s="4" t="s">
        <v>78</v>
      </c>
      <c r="E3287" s="4">
        <v>21.0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7">C3287+2</f>
        <v>39980</v>
      </c>
    </row>
    <row r="3288" ht="12.75" customHeight="1">
      <c r="A3288" s="4">
        <v>3950.0</v>
      </c>
      <c r="B3288" s="4">
        <v>28161.0</v>
      </c>
      <c r="C3288" s="5">
        <f>DATE(2012,12,31)-1295</f>
        <v>39979</v>
      </c>
      <c r="D3288" s="4" t="s">
        <v>45</v>
      </c>
      <c r="E3288" s="4">
        <v>15.0</v>
      </c>
      <c r="F3288" s="4">
        <v>5028.31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30.0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7"/>
        <v>39981</v>
      </c>
    </row>
    <row r="3289" ht="12.75" customHeight="1">
      <c r="A3289" s="4">
        <v>4113.0</v>
      </c>
      <c r="B3289" s="4">
        <v>29280.0</v>
      </c>
      <c r="C3289" s="5">
        <f>DATE(2012,12,31)-278</f>
        <v>40996</v>
      </c>
      <c r="D3289" s="4" t="s">
        <v>63</v>
      </c>
      <c r="E3289" s="4">
        <v>19.0</v>
      </c>
      <c r="F3289" s="4">
        <v>238.35</v>
      </c>
      <c r="G3289" s="4">
        <v>0.0</v>
      </c>
      <c r="H3289" s="4" t="s">
        <v>22</v>
      </c>
      <c r="I3289" s="6">
        <v>-64.51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0.58</v>
      </c>
      <c r="U3289" s="5">
        <f>C3289+1</f>
        <v>40997</v>
      </c>
    </row>
    <row r="3290" ht="12.75" customHeight="1">
      <c r="A3290" s="4">
        <v>4132.0</v>
      </c>
      <c r="B3290" s="4">
        <v>29350.0</v>
      </c>
      <c r="C3290" s="5">
        <f>DATE(2012,12,31)-1224</f>
        <v>40050</v>
      </c>
      <c r="D3290" s="4" t="s">
        <v>30</v>
      </c>
      <c r="E3290" s="4">
        <v>10.0</v>
      </c>
      <c r="F3290" s="4">
        <v>150.33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ht="12.75" customHeight="1">
      <c r="A3291" s="4">
        <v>4179.0</v>
      </c>
      <c r="B3291" s="4">
        <v>29666.0</v>
      </c>
      <c r="C3291" s="5">
        <f>DATE(2012,12,31)-367</f>
        <v>40907</v>
      </c>
      <c r="D3291" s="4" t="s">
        <v>45</v>
      </c>
      <c r="E3291" s="4">
        <v>29.0</v>
      </c>
      <c r="F3291" s="4">
        <v>155.86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8">C3291+1</f>
        <v>40908</v>
      </c>
    </row>
    <row r="3292" ht="12.75" customHeight="1">
      <c r="A3292" s="4">
        <v>4182.0</v>
      </c>
      <c r="B3292" s="4">
        <v>29700.0</v>
      </c>
      <c r="C3292" s="5">
        <f>DATE(2012,12,31)-1000</f>
        <v>40274</v>
      </c>
      <c r="D3292" s="4" t="s">
        <v>63</v>
      </c>
      <c r="E3292" s="4">
        <v>9.0</v>
      </c>
      <c r="F3292" s="4">
        <v>30.35</v>
      </c>
      <c r="G3292" s="4">
        <v>0.01</v>
      </c>
      <c r="H3292" s="4" t="s">
        <v>22</v>
      </c>
      <c r="I3292" s="6">
        <v>5.02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8"/>
        <v>40275</v>
      </c>
    </row>
    <row r="3293" ht="12.75" customHeight="1">
      <c r="A3293" s="4">
        <v>4315.0</v>
      </c>
      <c r="B3293" s="4">
        <v>30754.0</v>
      </c>
      <c r="C3293" s="5">
        <f>DATE(2012,12,31)-767</f>
        <v>40507</v>
      </c>
      <c r="D3293" s="4" t="s">
        <v>21</v>
      </c>
      <c r="E3293" s="4">
        <v>20.0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69.0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ht="12.75" customHeight="1">
      <c r="A3294" s="4">
        <v>4443.0</v>
      </c>
      <c r="B3294" s="4">
        <v>31650.0</v>
      </c>
      <c r="C3294" s="5">
        <f>DATE(2012,12,31)-873</f>
        <v>40401</v>
      </c>
      <c r="D3294" s="4" t="s">
        <v>45</v>
      </c>
      <c r="E3294" s="4">
        <v>19.0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</v>
      </c>
      <c r="K3294" s="4">
        <v>4.0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ht="12.75" customHeight="1">
      <c r="A3295" s="4">
        <v>4538.0</v>
      </c>
      <c r="B3295" s="4">
        <v>32292.0</v>
      </c>
      <c r="C3295" s="5">
        <f>DATE(2012,12,31)-320</f>
        <v>40954</v>
      </c>
      <c r="D3295" s="4" t="s">
        <v>21</v>
      </c>
      <c r="E3295" s="4">
        <v>49.0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0.57</v>
      </c>
      <c r="U3295" s="5">
        <f t="shared" ref="U3295:U3296" si="1379">C3295+7</f>
        <v>40961</v>
      </c>
    </row>
    <row r="3296" ht="12.75" customHeight="1">
      <c r="A3296" s="4">
        <v>4950.0</v>
      </c>
      <c r="B3296" s="4">
        <v>35201.0</v>
      </c>
      <c r="C3296" s="5">
        <f>DATE(2012,12,31)-941</f>
        <v>40333</v>
      </c>
      <c r="D3296" s="4" t="s">
        <v>21</v>
      </c>
      <c r="E3296" s="4">
        <v>18.0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9"/>
        <v>40340</v>
      </c>
    </row>
    <row r="3297" ht="12.75" customHeight="1">
      <c r="A3297" s="4">
        <v>4967.0</v>
      </c>
      <c r="B3297" s="4">
        <v>35360.0</v>
      </c>
      <c r="C3297" s="5">
        <f>DATE(2012,12,31)-623</f>
        <v>40651</v>
      </c>
      <c r="D3297" s="4" t="s">
        <v>78</v>
      </c>
      <c r="E3297" s="4">
        <v>4.0</v>
      </c>
      <c r="F3297" s="4">
        <v>41.06</v>
      </c>
      <c r="G3297" s="4">
        <v>0.04</v>
      </c>
      <c r="H3297" s="4" t="s">
        <v>22</v>
      </c>
      <c r="I3297" s="6">
        <v>-16.3875</v>
      </c>
      <c r="J3297" s="4">
        <v>8.88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80">C3297+2</f>
        <v>40653</v>
      </c>
    </row>
    <row r="3298" ht="12.75" customHeight="1">
      <c r="A3298" s="4">
        <v>4989.0</v>
      </c>
      <c r="B3298" s="4">
        <v>35492.0</v>
      </c>
      <c r="C3298" s="5">
        <f>DATE(2012,12,31)-325</f>
        <v>40949</v>
      </c>
      <c r="D3298" s="4" t="s">
        <v>63</v>
      </c>
      <c r="E3298" s="4">
        <v>36.0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80"/>
        <v>40951</v>
      </c>
    </row>
    <row r="3299" ht="12.75" customHeight="1">
      <c r="A3299" s="4">
        <v>5267.0</v>
      </c>
      <c r="B3299" s="4">
        <v>37473.0</v>
      </c>
      <c r="C3299" s="5">
        <f>DATE(2012,12,31)-1187</f>
        <v>40087</v>
      </c>
      <c r="D3299" s="4" t="s">
        <v>21</v>
      </c>
      <c r="E3299" s="4">
        <v>8.0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1">C3299+0</f>
        <v>40087</v>
      </c>
    </row>
    <row r="3300" ht="12.75" customHeight="1">
      <c r="A3300" s="4">
        <v>5515.0</v>
      </c>
      <c r="B3300" s="4">
        <v>39079.0</v>
      </c>
      <c r="C3300" s="5">
        <f>DATE(2012,12,31)-481</f>
        <v>40793</v>
      </c>
      <c r="D3300" s="4" t="s">
        <v>30</v>
      </c>
      <c r="E3300" s="4">
        <v>46.0</v>
      </c>
      <c r="F3300" s="4">
        <v>75.6</v>
      </c>
      <c r="G3300" s="4">
        <v>0.09</v>
      </c>
      <c r="H3300" s="4" t="s">
        <v>22</v>
      </c>
      <c r="I3300" s="6">
        <v>-225.2505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1"/>
        <v>40793</v>
      </c>
    </row>
    <row r="3301" ht="12.75" customHeight="1">
      <c r="A3301" s="4">
        <v>5541.0</v>
      </c>
      <c r="B3301" s="4">
        <v>39266.0</v>
      </c>
      <c r="C3301" s="5">
        <f>DATE(2012,12,31)-126</f>
        <v>41148</v>
      </c>
      <c r="D3301" s="4" t="s">
        <v>30</v>
      </c>
      <c r="E3301" s="4">
        <v>14.0</v>
      </c>
      <c r="F3301" s="4">
        <v>36.41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2">C3301+2</f>
        <v>41150</v>
      </c>
    </row>
    <row r="3302" ht="12.75" customHeight="1">
      <c r="A3302" s="4">
        <v>5706.0</v>
      </c>
      <c r="B3302" s="4">
        <v>40356.0</v>
      </c>
      <c r="C3302" s="5">
        <f>DATE(2012,12,31)-1108</f>
        <v>40166</v>
      </c>
      <c r="D3302" s="4" t="s">
        <v>45</v>
      </c>
      <c r="E3302" s="4">
        <v>48.0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2"/>
        <v>40168</v>
      </c>
    </row>
    <row r="3303" ht="12.75" customHeight="1">
      <c r="A3303" s="4">
        <v>6014.0</v>
      </c>
      <c r="B3303" s="4">
        <v>42599.0</v>
      </c>
      <c r="C3303" s="5">
        <f>DATE(2012,12,31)-1365</f>
        <v>39909</v>
      </c>
      <c r="D3303" s="4" t="s">
        <v>63</v>
      </c>
      <c r="E3303" s="4">
        <v>31.0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</v>
      </c>
      <c r="U3303" s="5">
        <f>C3303+1</f>
        <v>39910</v>
      </c>
    </row>
    <row r="3304" ht="12.75" customHeight="1">
      <c r="A3304" s="4">
        <v>6425.0</v>
      </c>
      <c r="B3304" s="4">
        <v>45670.0</v>
      </c>
      <c r="C3304" s="5">
        <f>DATE(2012,12,31)-146</f>
        <v>41128</v>
      </c>
      <c r="D3304" s="4" t="s">
        <v>21</v>
      </c>
      <c r="E3304" s="4">
        <v>2.0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ht="12.75" customHeight="1">
      <c r="A3305" s="4">
        <v>6542.0</v>
      </c>
      <c r="B3305" s="4">
        <v>46531.0</v>
      </c>
      <c r="C3305" s="5">
        <f>DATE(2012,12,31)-498</f>
        <v>40776</v>
      </c>
      <c r="D3305" s="4" t="s">
        <v>21</v>
      </c>
      <c r="E3305" s="4">
        <v>23.0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ht="12.75" customHeight="1">
      <c r="A3306" s="4">
        <v>6691.0</v>
      </c>
      <c r="B3306" s="4">
        <v>47617.0</v>
      </c>
      <c r="C3306" s="5">
        <f>DATE(2012,12,31)-1119</f>
        <v>40155</v>
      </c>
      <c r="D3306" s="4" t="s">
        <v>45</v>
      </c>
      <c r="E3306" s="4">
        <v>17.0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19.99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ht="12.75" customHeight="1">
      <c r="A3307" s="4">
        <v>6713.0</v>
      </c>
      <c r="B3307" s="4">
        <v>47842.0</v>
      </c>
      <c r="C3307" s="5">
        <f>DATE(2012,12,31)-964</f>
        <v>40310</v>
      </c>
      <c r="D3307" s="4" t="s">
        <v>63</v>
      </c>
      <c r="E3307" s="4">
        <v>50.0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ht="12.75" customHeight="1">
      <c r="A3308" s="4">
        <v>6819.0</v>
      </c>
      <c r="B3308" s="4">
        <v>48548.0</v>
      </c>
      <c r="C3308" s="5">
        <f>DATE(2012,12,31)-646</f>
        <v>40628</v>
      </c>
      <c r="D3308" s="4" t="s">
        <v>78</v>
      </c>
      <c r="E3308" s="4">
        <v>3.0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</v>
      </c>
      <c r="U3308" s="5">
        <f>C3308+1</f>
        <v>40629</v>
      </c>
    </row>
    <row r="3309" ht="12.75" customHeight="1">
      <c r="A3309" s="4">
        <v>6880.0</v>
      </c>
      <c r="B3309" s="4">
        <v>49056.0</v>
      </c>
      <c r="C3309" s="5">
        <f>DATE(2012,12,31)-1187</f>
        <v>40087</v>
      </c>
      <c r="D3309" s="4" t="s">
        <v>30</v>
      </c>
      <c r="E3309" s="4">
        <v>46.0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ht="12.75" customHeight="1">
      <c r="A3310" s="4">
        <v>7115.0</v>
      </c>
      <c r="B3310" s="4">
        <v>50759.0</v>
      </c>
      <c r="C3310" s="5">
        <f>DATE(2012,12,31)-1018</f>
        <v>40256</v>
      </c>
      <c r="D3310" s="4" t="s">
        <v>21</v>
      </c>
      <c r="E3310" s="4">
        <v>46.0</v>
      </c>
      <c r="F3310" s="4">
        <v>2422.721</v>
      </c>
      <c r="G3310" s="4">
        <v>0.1</v>
      </c>
      <c r="H3310" s="4" t="s">
        <v>22</v>
      </c>
      <c r="I3310" s="6">
        <v>366.183</v>
      </c>
      <c r="J3310" s="4">
        <v>65.99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</v>
      </c>
      <c r="U3310" s="5">
        <f>C3310+5</f>
        <v>40261</v>
      </c>
    </row>
    <row r="3311" ht="12.75" customHeight="1">
      <c r="A3311" s="4">
        <v>7229.0</v>
      </c>
      <c r="B3311" s="4">
        <v>51556.0</v>
      </c>
      <c r="C3311" s="5">
        <f>DATE(2012,12,31)-65</f>
        <v>41209</v>
      </c>
      <c r="D3311" s="4" t="s">
        <v>30</v>
      </c>
      <c r="E3311" s="4">
        <v>10.0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ht="12.75" customHeight="1">
      <c r="A3312" s="4">
        <v>7240.0</v>
      </c>
      <c r="B3312" s="4">
        <v>51620.0</v>
      </c>
      <c r="C3312" s="5">
        <f>DATE(2012,12,31)-298</f>
        <v>40976</v>
      </c>
      <c r="D3312" s="4" t="s">
        <v>63</v>
      </c>
      <c r="E3312" s="4">
        <v>12.0</v>
      </c>
      <c r="F3312" s="4">
        <v>173.97</v>
      </c>
      <c r="G3312" s="4">
        <v>0.03</v>
      </c>
      <c r="H3312" s="4" t="s">
        <v>22</v>
      </c>
      <c r="I3312" s="6">
        <v>-2.55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ht="12.75" customHeight="1">
      <c r="A3313" s="4">
        <v>7406.0</v>
      </c>
      <c r="B3313" s="4">
        <v>52837.0</v>
      </c>
      <c r="C3313" s="5">
        <f>DATE(2012,12,31)-348</f>
        <v>40926</v>
      </c>
      <c r="D3313" s="4" t="s">
        <v>78</v>
      </c>
      <c r="E3313" s="4">
        <v>32.0</v>
      </c>
      <c r="F3313" s="4">
        <v>5934.39</v>
      </c>
      <c r="G3313" s="4">
        <v>0.08</v>
      </c>
      <c r="H3313" s="4" t="s">
        <v>22</v>
      </c>
      <c r="I3313" s="6">
        <v>519.55</v>
      </c>
      <c r="J3313" s="4">
        <v>193.17</v>
      </c>
      <c r="K3313" s="4">
        <v>19.99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ht="12.75" customHeight="1">
      <c r="A3314" s="4">
        <v>7629.0</v>
      </c>
      <c r="B3314" s="4">
        <v>54592.0</v>
      </c>
      <c r="C3314" s="5">
        <f>DATE(2012,12,31)-568</f>
        <v>40706</v>
      </c>
      <c r="D3314" s="4" t="s">
        <v>21</v>
      </c>
      <c r="E3314" s="4">
        <v>28.0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ht="12.75" customHeight="1">
      <c r="A3315" s="4">
        <v>7700.0</v>
      </c>
      <c r="B3315" s="4">
        <v>55202.0</v>
      </c>
      <c r="C3315" s="5">
        <f>DATE(2012,12,31)-495</f>
        <v>40779</v>
      </c>
      <c r="D3315" s="4" t="s">
        <v>21</v>
      </c>
      <c r="E3315" s="4">
        <v>33.0</v>
      </c>
      <c r="F3315" s="4">
        <v>3093.76</v>
      </c>
      <c r="G3315" s="4">
        <v>0.07</v>
      </c>
      <c r="H3315" s="4" t="s">
        <v>56</v>
      </c>
      <c r="I3315" s="6">
        <v>-850.71</v>
      </c>
      <c r="J3315" s="4">
        <v>95.99</v>
      </c>
      <c r="K3315" s="4">
        <v>35.0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ht="12.75" customHeight="1">
      <c r="A3316" s="4">
        <v>7707.0</v>
      </c>
      <c r="B3316" s="4">
        <v>55239.0</v>
      </c>
      <c r="C3316" s="5">
        <f>DATE(2012,12,31)-28</f>
        <v>41246</v>
      </c>
      <c r="D3316" s="4" t="s">
        <v>78</v>
      </c>
      <c r="E3316" s="4">
        <v>6.0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69.0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ht="12.75" customHeight="1">
      <c r="A3317" s="4">
        <v>8111.0</v>
      </c>
      <c r="B3317" s="4">
        <v>57894.0</v>
      </c>
      <c r="C3317" s="5">
        <f>DATE(2012,12,31)-272</f>
        <v>41002</v>
      </c>
      <c r="D3317" s="4" t="s">
        <v>21</v>
      </c>
      <c r="E3317" s="4">
        <v>47.0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</v>
      </c>
      <c r="U3317" s="5">
        <f>C3317+2</f>
        <v>41004</v>
      </c>
    </row>
    <row r="3318" ht="12.75" customHeight="1">
      <c r="A3318" s="4">
        <v>8196.0</v>
      </c>
      <c r="B3318" s="4">
        <v>58599.0</v>
      </c>
      <c r="C3318" s="5">
        <f>DATE(2012,12,31)-1082</f>
        <v>40192</v>
      </c>
      <c r="D3318" s="4" t="s">
        <v>78</v>
      </c>
      <c r="E3318" s="4">
        <v>19.0</v>
      </c>
      <c r="F3318" s="4">
        <v>2328.62</v>
      </c>
      <c r="G3318" s="4">
        <v>0.0</v>
      </c>
      <c r="H3318" s="4" t="s">
        <v>31</v>
      </c>
      <c r="I3318" s="6">
        <v>45.54</v>
      </c>
      <c r="J3318" s="4">
        <v>120.98</v>
      </c>
      <c r="K3318" s="4">
        <v>30.0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3">C3318+1</f>
        <v>40193</v>
      </c>
    </row>
    <row r="3319" ht="12.75" customHeight="1">
      <c r="A3319" s="4">
        <v>22.0</v>
      </c>
      <c r="B3319" s="4">
        <v>132.0</v>
      </c>
      <c r="C3319" s="5">
        <f>DATE(2012,12,31)-935</f>
        <v>40339</v>
      </c>
      <c r="D3319" s="4" t="s">
        <v>63</v>
      </c>
      <c r="E3319" s="4">
        <v>27.0</v>
      </c>
      <c r="F3319" s="4">
        <v>192.814</v>
      </c>
      <c r="G3319" s="4">
        <v>0.03</v>
      </c>
      <c r="H3319" s="4" t="s">
        <v>22</v>
      </c>
      <c r="I3319" s="6">
        <v>-86.196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3"/>
        <v>40340</v>
      </c>
    </row>
    <row r="3320" ht="12.75" customHeight="1">
      <c r="A3320" s="4">
        <v>182.0</v>
      </c>
      <c r="B3320" s="4">
        <v>1191.0</v>
      </c>
      <c r="C3320" s="5">
        <f>DATE(2012,12,31)-421</f>
        <v>40853</v>
      </c>
      <c r="D3320" s="4" t="s">
        <v>63</v>
      </c>
      <c r="E3320" s="4">
        <v>35.0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60.0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3"/>
        <v>40854</v>
      </c>
    </row>
    <row r="3321" ht="12.75" customHeight="1">
      <c r="A3321" s="4">
        <v>220.0</v>
      </c>
      <c r="B3321" s="4">
        <v>1444.0</v>
      </c>
      <c r="C3321" s="5">
        <f>DATE(2012,12,31)-1122</f>
        <v>40152</v>
      </c>
      <c r="D3321" s="4" t="s">
        <v>63</v>
      </c>
      <c r="E3321" s="4">
        <v>24.0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17.15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0.58</v>
      </c>
      <c r="U3321" s="5">
        <f t="shared" ref="U3321:U3323" si="1384">C3321+2</f>
        <v>40154</v>
      </c>
    </row>
    <row r="3322" ht="12.75" customHeight="1">
      <c r="A3322" s="4">
        <v>284.0</v>
      </c>
      <c r="B3322" s="4">
        <v>1985.0</v>
      </c>
      <c r="C3322" s="5">
        <f>DATE(2012,12,31)-1217</f>
        <v>40057</v>
      </c>
      <c r="D3322" s="4" t="s">
        <v>45</v>
      </c>
      <c r="E3322" s="4">
        <v>1.0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4"/>
        <v>40059</v>
      </c>
    </row>
    <row r="3323" ht="12.75" customHeight="1">
      <c r="A3323" s="4">
        <v>285.0</v>
      </c>
      <c r="B3323" s="4">
        <v>1988.0</v>
      </c>
      <c r="C3323" s="5">
        <f>DATE(2012,12,31)-453</f>
        <v>40821</v>
      </c>
      <c r="D3323" s="4" t="s">
        <v>45</v>
      </c>
      <c r="E3323" s="4">
        <v>9.0</v>
      </c>
      <c r="F3323" s="4">
        <v>122.14</v>
      </c>
      <c r="G3323" s="4">
        <v>0.04</v>
      </c>
      <c r="H3323" s="4" t="s">
        <v>22</v>
      </c>
      <c r="I3323" s="6">
        <v>-16.99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4"/>
        <v>40823</v>
      </c>
    </row>
    <row r="3324" ht="12.75" customHeight="1">
      <c r="A3324" s="4">
        <v>337.0</v>
      </c>
      <c r="B3324" s="4">
        <v>2305.0</v>
      </c>
      <c r="C3324" s="5">
        <f>DATE(2012,12,31)-1071</f>
        <v>40203</v>
      </c>
      <c r="D3324" s="4" t="s">
        <v>30</v>
      </c>
      <c r="E3324" s="4">
        <v>11.0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19.99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ht="12.75" customHeight="1">
      <c r="A3325" s="4">
        <v>495.0</v>
      </c>
      <c r="B3325" s="4">
        <v>3397.0</v>
      </c>
      <c r="C3325" s="5">
        <f>DATE(2012,12,31)-1288</f>
        <v>39986</v>
      </c>
      <c r="D3325" s="4" t="s">
        <v>63</v>
      </c>
      <c r="E3325" s="4">
        <v>11.0</v>
      </c>
      <c r="F3325" s="4">
        <v>30.61</v>
      </c>
      <c r="G3325" s="4">
        <v>0.09</v>
      </c>
      <c r="H3325" s="4" t="s">
        <v>22</v>
      </c>
      <c r="I3325" s="6">
        <v>-3.381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ht="12.75" customHeight="1">
      <c r="A3326" s="4">
        <v>547.0</v>
      </c>
      <c r="B3326" s="4">
        <v>3680.0</v>
      </c>
      <c r="C3326" s="5">
        <f>DATE(2012,12,31)-22</f>
        <v>41252</v>
      </c>
      <c r="D3326" s="4" t="s">
        <v>45</v>
      </c>
      <c r="E3326" s="4">
        <v>24.0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ht="12.75" customHeight="1">
      <c r="A3327" s="4">
        <v>572.0</v>
      </c>
      <c r="B3327" s="4">
        <v>3877.0</v>
      </c>
      <c r="C3327" s="5">
        <f>DATE(2012,12,31)-956</f>
        <v>40318</v>
      </c>
      <c r="D3327" s="4" t="s">
        <v>21</v>
      </c>
      <c r="E3327" s="4">
        <v>14.0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ht="12.75" customHeight="1">
      <c r="A3328" s="4">
        <v>589.0</v>
      </c>
      <c r="B3328" s="4">
        <v>4033.0</v>
      </c>
      <c r="C3328" s="5">
        <f>DATE(2012,12,31)-944</f>
        <v>40330</v>
      </c>
      <c r="D3328" s="4" t="s">
        <v>21</v>
      </c>
      <c r="E3328" s="4">
        <v>21.0</v>
      </c>
      <c r="F3328" s="4">
        <v>763.12</v>
      </c>
      <c r="G3328" s="4">
        <v>0.03</v>
      </c>
      <c r="H3328" s="4" t="s">
        <v>22</v>
      </c>
      <c r="I3328" s="6">
        <v>140.33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ht="12.75" customHeight="1">
      <c r="A3329" s="4">
        <v>604.0</v>
      </c>
      <c r="B3329" s="4">
        <v>4103.0</v>
      </c>
      <c r="C3329" s="5">
        <f>DATE(2012,12,31)-182</f>
        <v>41092</v>
      </c>
      <c r="D3329" s="4" t="s">
        <v>21</v>
      </c>
      <c r="E3329" s="4">
        <v>3.0</v>
      </c>
      <c r="F3329" s="4">
        <v>42.5</v>
      </c>
      <c r="G3329" s="4">
        <v>0.07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ht="12.75" customHeight="1">
      <c r="A3330" s="4">
        <v>637.0</v>
      </c>
      <c r="B3330" s="4">
        <v>4455.0</v>
      </c>
      <c r="C3330" s="5">
        <f>DATE(2012,12,31)-813</f>
        <v>40461</v>
      </c>
      <c r="D3330" s="4" t="s">
        <v>63</v>
      </c>
      <c r="E3330" s="4">
        <v>39.0</v>
      </c>
      <c r="F3330" s="4">
        <v>279.29</v>
      </c>
      <c r="G3330" s="4">
        <v>0.07</v>
      </c>
      <c r="H3330" s="4" t="s">
        <v>22</v>
      </c>
      <c r="I3330" s="6">
        <v>14.15</v>
      </c>
      <c r="J3330" s="4">
        <v>7.59</v>
      </c>
      <c r="K3330" s="4">
        <v>4.0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5">C3330+2</f>
        <v>40463</v>
      </c>
    </row>
    <row r="3331" ht="12.75" customHeight="1">
      <c r="A3331" s="4">
        <v>701.0</v>
      </c>
      <c r="B3331" s="4">
        <v>4896.0</v>
      </c>
      <c r="C3331" s="5">
        <f>DATE(2012,12,31)-132</f>
        <v>41142</v>
      </c>
      <c r="D3331" s="4" t="s">
        <v>78</v>
      </c>
      <c r="E3331" s="4">
        <v>21.0</v>
      </c>
      <c r="F3331" s="4">
        <v>121.3</v>
      </c>
      <c r="G3331" s="4">
        <v>0.05</v>
      </c>
      <c r="H3331" s="4" t="s">
        <v>22</v>
      </c>
      <c r="I3331" s="6">
        <v>-64.8715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5"/>
        <v>41144</v>
      </c>
    </row>
    <row r="3332" ht="12.75" customHeight="1">
      <c r="A3332" s="4">
        <v>706.0</v>
      </c>
      <c r="B3332" s="4">
        <v>4960.0</v>
      </c>
      <c r="C3332" s="5">
        <f>DATE(2012,12,31)-675</f>
        <v>40599</v>
      </c>
      <c r="D3332" s="4" t="s">
        <v>21</v>
      </c>
      <c r="E3332" s="4">
        <v>4.0</v>
      </c>
      <c r="F3332" s="4">
        <v>40.87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5"/>
        <v>40601</v>
      </c>
    </row>
    <row r="3333" ht="12.75" customHeight="1">
      <c r="A3333" s="4">
        <v>723.0</v>
      </c>
      <c r="B3333" s="4">
        <v>5189.0</v>
      </c>
      <c r="C3333" s="5">
        <f>DATE(2012,12,31)-767</f>
        <v>40507</v>
      </c>
      <c r="D3333" s="4" t="s">
        <v>21</v>
      </c>
      <c r="E3333" s="4">
        <v>14.0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19.99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5"/>
        <v>40509</v>
      </c>
    </row>
    <row r="3334" ht="12.75" customHeight="1">
      <c r="A3334" s="4">
        <v>848.0</v>
      </c>
      <c r="B3334" s="4">
        <v>6086.0</v>
      </c>
      <c r="C3334" s="5">
        <f>DATE(2012,12,31)-466</f>
        <v>40808</v>
      </c>
      <c r="D3334" s="4" t="s">
        <v>78</v>
      </c>
      <c r="E3334" s="4">
        <v>48.0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19.99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5"/>
        <v>40810</v>
      </c>
    </row>
    <row r="3335" ht="12.75" customHeight="1">
      <c r="A3335" s="4">
        <v>955.0</v>
      </c>
      <c r="B3335" s="4">
        <v>6912.0</v>
      </c>
      <c r="C3335" s="5">
        <f>DATE(2012,12,31)-387</f>
        <v>40887</v>
      </c>
      <c r="D3335" s="4" t="s">
        <v>45</v>
      </c>
      <c r="E3335" s="4">
        <v>14.0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5"/>
        <v>40889</v>
      </c>
    </row>
    <row r="3336" ht="12.75" customHeight="1">
      <c r="A3336" s="4">
        <v>960.0</v>
      </c>
      <c r="B3336" s="4">
        <v>6950.0</v>
      </c>
      <c r="C3336" s="5">
        <f>DATE(2012,12,31)-280</f>
        <v>40994</v>
      </c>
      <c r="D3336" s="4" t="s">
        <v>21</v>
      </c>
      <c r="E3336" s="4">
        <v>4.0</v>
      </c>
      <c r="F3336" s="4">
        <v>187.3995</v>
      </c>
      <c r="G3336" s="4">
        <v>0.08</v>
      </c>
      <c r="H3336" s="4" t="s">
        <v>22</v>
      </c>
      <c r="I3336" s="6">
        <v>-225.302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5"/>
        <v>40996</v>
      </c>
    </row>
    <row r="3337" ht="12.75" customHeight="1">
      <c r="A3337" s="4">
        <v>972.0</v>
      </c>
      <c r="B3337" s="4">
        <v>7075.0</v>
      </c>
      <c r="C3337" s="5">
        <f t="shared" ref="C3337:C3338" si="1386">DATE(2012,12,31)-448</f>
        <v>40826</v>
      </c>
      <c r="D3337" s="4" t="s">
        <v>21</v>
      </c>
      <c r="E3337" s="4">
        <v>15.0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0.58</v>
      </c>
      <c r="U3337" s="5">
        <f t="shared" si="1385"/>
        <v>40828</v>
      </c>
    </row>
    <row r="3338" ht="12.75" customHeight="1">
      <c r="A3338" s="4">
        <v>973.0</v>
      </c>
      <c r="B3338" s="4">
        <v>7075.0</v>
      </c>
      <c r="C3338" s="5">
        <f t="shared" si="1386"/>
        <v>40826</v>
      </c>
      <c r="D3338" s="4" t="s">
        <v>21</v>
      </c>
      <c r="E3338" s="4">
        <v>43.0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ht="12.75" customHeight="1">
      <c r="A3339" s="4">
        <v>1003.0</v>
      </c>
      <c r="B3339" s="4">
        <v>7297.0</v>
      </c>
      <c r="C3339" s="5">
        <f>DATE(2012,12,31)-1204</f>
        <v>40070</v>
      </c>
      <c r="D3339" s="4" t="s">
        <v>30</v>
      </c>
      <c r="E3339" s="4">
        <v>7.0</v>
      </c>
      <c r="F3339" s="4">
        <v>296.84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</v>
      </c>
      <c r="U3339" s="5">
        <f>C3339+1</f>
        <v>40071</v>
      </c>
    </row>
    <row r="3340" ht="12.75" customHeight="1">
      <c r="A3340" s="4">
        <v>1080.0</v>
      </c>
      <c r="B3340" s="4">
        <v>7938.0</v>
      </c>
      <c r="C3340" s="5">
        <f>DATE(2012,12,31)-1024</f>
        <v>40250</v>
      </c>
      <c r="D3340" s="4" t="s">
        <v>63</v>
      </c>
      <c r="E3340" s="4">
        <v>23.0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7">C3340+2</f>
        <v>40252</v>
      </c>
    </row>
    <row r="3341" ht="12.75" customHeight="1">
      <c r="A3341" s="4">
        <v>1099.0</v>
      </c>
      <c r="B3341" s="4">
        <v>8065.0</v>
      </c>
      <c r="C3341" s="5">
        <f>DATE(2012,12,31)-71</f>
        <v>41203</v>
      </c>
      <c r="D3341" s="4" t="s">
        <v>63</v>
      </c>
      <c r="E3341" s="4">
        <v>17.0</v>
      </c>
      <c r="F3341" s="4">
        <v>1125.76</v>
      </c>
      <c r="G3341" s="4">
        <v>0.0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7"/>
        <v>41205</v>
      </c>
    </row>
    <row r="3342" ht="12.75" customHeight="1">
      <c r="A3342" s="4">
        <v>1135.0</v>
      </c>
      <c r="B3342" s="4">
        <v>8292.0</v>
      </c>
      <c r="C3342" s="5">
        <f>DATE(2012,12,31)-1064</f>
        <v>40210</v>
      </c>
      <c r="D3342" s="4" t="s">
        <v>45</v>
      </c>
      <c r="E3342" s="4">
        <v>18.0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ht="12.75" customHeight="1">
      <c r="A3343" s="4">
        <v>1166.0</v>
      </c>
      <c r="B3343" s="4">
        <v>8513.0</v>
      </c>
      <c r="C3343" s="5">
        <f>DATE(2012,12,31)-535</f>
        <v>40739</v>
      </c>
      <c r="D3343" s="4" t="s">
        <v>21</v>
      </c>
      <c r="E3343" s="4">
        <v>8.0</v>
      </c>
      <c r="F3343" s="4">
        <v>84.64</v>
      </c>
      <c r="G3343" s="4">
        <v>0.0</v>
      </c>
      <c r="H3343" s="4" t="s">
        <v>56</v>
      </c>
      <c r="I3343" s="6">
        <v>-9.29</v>
      </c>
      <c r="J3343" s="4">
        <v>8.62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ht="12.75" customHeight="1">
      <c r="A3344" s="4">
        <v>1240.0</v>
      </c>
      <c r="B3344" s="4">
        <v>9024.0</v>
      </c>
      <c r="C3344" s="5">
        <f>DATE(2012,12,31)-212</f>
        <v>41062</v>
      </c>
      <c r="D3344" s="4" t="s">
        <v>63</v>
      </c>
      <c r="E3344" s="4">
        <v>30.0</v>
      </c>
      <c r="F3344" s="4">
        <v>1136.44</v>
      </c>
      <c r="G3344" s="4">
        <v>0.09</v>
      </c>
      <c r="H3344" s="4" t="s">
        <v>22</v>
      </c>
      <c r="I3344" s="6">
        <v>-9.299999999999969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8">C3344+2</f>
        <v>41064</v>
      </c>
    </row>
    <row r="3345" ht="12.75" customHeight="1">
      <c r="A3345" s="4">
        <v>1314.0</v>
      </c>
      <c r="B3345" s="4">
        <v>9635.0</v>
      </c>
      <c r="C3345" s="5">
        <f>DATE(2012,12,31)-1358</f>
        <v>39916</v>
      </c>
      <c r="D3345" s="4" t="s">
        <v>78</v>
      </c>
      <c r="E3345" s="4">
        <v>1.0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8"/>
        <v>39918</v>
      </c>
    </row>
    <row r="3346" ht="12.75" customHeight="1">
      <c r="A3346" s="4">
        <v>1444.0</v>
      </c>
      <c r="B3346" s="4">
        <v>10436.0</v>
      </c>
      <c r="C3346" s="5">
        <f>DATE(2012,12,31)-729</f>
        <v>40545</v>
      </c>
      <c r="D3346" s="4" t="s">
        <v>21</v>
      </c>
      <c r="E3346" s="4">
        <v>24.0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1.0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ht="12.75" customHeight="1">
      <c r="A3347" s="4">
        <v>1491.0</v>
      </c>
      <c r="B3347" s="4">
        <v>10752.0</v>
      </c>
      <c r="C3347" s="5">
        <f>DATE(2012,12,31)-478</f>
        <v>40796</v>
      </c>
      <c r="D3347" s="4" t="s">
        <v>78</v>
      </c>
      <c r="E3347" s="4">
        <v>5.0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9">C3347+1</f>
        <v>40797</v>
      </c>
    </row>
    <row r="3348" ht="12.75" customHeight="1">
      <c r="A3348" s="4">
        <v>1527.0</v>
      </c>
      <c r="B3348" s="4">
        <v>11011.0</v>
      </c>
      <c r="C3348" s="5">
        <f>DATE(2012,12,31)-232</f>
        <v>41042</v>
      </c>
      <c r="D3348" s="4" t="s">
        <v>30</v>
      </c>
      <c r="E3348" s="4">
        <v>36.0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9"/>
        <v>41043</v>
      </c>
    </row>
    <row r="3349" ht="12.75" customHeight="1">
      <c r="A3349" s="4">
        <v>1558.0</v>
      </c>
      <c r="B3349" s="4">
        <v>11236.0</v>
      </c>
      <c r="C3349" s="5">
        <f>DATE(2012,12,31)-793</f>
        <v>40481</v>
      </c>
      <c r="D3349" s="4" t="s">
        <v>30</v>
      </c>
      <c r="E3349" s="4">
        <v>49.0</v>
      </c>
      <c r="F3349" s="4">
        <v>261.02</v>
      </c>
      <c r="G3349" s="4">
        <v>0.01</v>
      </c>
      <c r="H3349" s="4" t="s">
        <v>22</v>
      </c>
      <c r="I3349" s="6">
        <v>-94.047</v>
      </c>
      <c r="J3349" s="4">
        <v>4.98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9"/>
        <v>40482</v>
      </c>
    </row>
    <row r="3350" ht="12.75" customHeight="1">
      <c r="A3350" s="4">
        <v>1604.0</v>
      </c>
      <c r="B3350" s="4">
        <v>11650.0</v>
      </c>
      <c r="C3350" s="5">
        <f>DATE(2012,12,31)-98</f>
        <v>41176</v>
      </c>
      <c r="D3350" s="4" t="s">
        <v>45</v>
      </c>
      <c r="E3350" s="4">
        <v>30.0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9"/>
        <v>41177</v>
      </c>
    </row>
    <row r="3351" ht="12.75" customHeight="1">
      <c r="A3351" s="4">
        <v>1628.0</v>
      </c>
      <c r="B3351" s="4">
        <v>11779.0</v>
      </c>
      <c r="C3351" s="5">
        <f t="shared" ref="C3351:C3352" si="1390">DATE(2012,12,31)-916</f>
        <v>40358</v>
      </c>
      <c r="D3351" s="4" t="s">
        <v>45</v>
      </c>
      <c r="E3351" s="4">
        <v>45.0</v>
      </c>
      <c r="F3351" s="4">
        <v>311.1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2.0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ht="12.75" customHeight="1">
      <c r="A3352" s="4">
        <v>1629.0</v>
      </c>
      <c r="B3352" s="4">
        <v>11779.0</v>
      </c>
      <c r="C3352" s="5">
        <f t="shared" si="1390"/>
        <v>40358</v>
      </c>
      <c r="D3352" s="4" t="s">
        <v>45</v>
      </c>
      <c r="E3352" s="4">
        <v>43.0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ht="12.75" customHeight="1">
      <c r="A3353" s="4">
        <v>1748.0</v>
      </c>
      <c r="B3353" s="4">
        <v>12515.0</v>
      </c>
      <c r="C3353" s="5">
        <f>DATE(2012,12,31)-963</f>
        <v>40311</v>
      </c>
      <c r="D3353" s="4" t="s">
        <v>63</v>
      </c>
      <c r="E3353" s="4">
        <v>16.0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</v>
      </c>
      <c r="U3353" s="5">
        <f>C3353+3</f>
        <v>40314</v>
      </c>
    </row>
    <row r="3354" ht="12.75" customHeight="1">
      <c r="A3354" s="4">
        <v>1754.0</v>
      </c>
      <c r="B3354" s="4">
        <v>12580.0</v>
      </c>
      <c r="C3354" s="5">
        <f>DATE(2012,12,31)-1083</f>
        <v>40191</v>
      </c>
      <c r="D3354" s="4" t="s">
        <v>21</v>
      </c>
      <c r="E3354" s="4">
        <v>43.0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</v>
      </c>
      <c r="U3354" s="5">
        <f>C3354+2</f>
        <v>40193</v>
      </c>
    </row>
    <row r="3355" ht="12.75" customHeight="1">
      <c r="A3355" s="4">
        <v>1795.0</v>
      </c>
      <c r="B3355" s="4">
        <v>12868.0</v>
      </c>
      <c r="C3355" s="5">
        <f>DATE(2012,12,31)-671</f>
        <v>40603</v>
      </c>
      <c r="D3355" s="4" t="s">
        <v>78</v>
      </c>
      <c r="E3355" s="4">
        <v>31.0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</v>
      </c>
      <c r="U3355" s="5">
        <f t="shared" ref="U3355:U3356" si="1391">C3355+1</f>
        <v>40604</v>
      </c>
    </row>
    <row r="3356" ht="12.75" customHeight="1">
      <c r="A3356" s="4">
        <v>1809.0</v>
      </c>
      <c r="B3356" s="4">
        <v>12931.0</v>
      </c>
      <c r="C3356" s="5">
        <f>DATE(2012,12,31)-251</f>
        <v>41023</v>
      </c>
      <c r="D3356" s="4" t="s">
        <v>63</v>
      </c>
      <c r="E3356" s="4">
        <v>11.0</v>
      </c>
      <c r="F3356" s="4">
        <v>653.92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0.57</v>
      </c>
      <c r="U3356" s="5">
        <f t="shared" si="1391"/>
        <v>41024</v>
      </c>
    </row>
    <row r="3357" ht="12.75" customHeight="1">
      <c r="A3357" s="4">
        <v>1815.0</v>
      </c>
      <c r="B3357" s="4">
        <v>13027.0</v>
      </c>
      <c r="C3357" s="5">
        <f>DATE(2012,12,31)-351</f>
        <v>40923</v>
      </c>
      <c r="D3357" s="4" t="s">
        <v>78</v>
      </c>
      <c r="E3357" s="4">
        <v>42.0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2">C3357+2</f>
        <v>40925</v>
      </c>
    </row>
    <row r="3358" ht="12.75" customHeight="1">
      <c r="A3358" s="4">
        <v>1873.0</v>
      </c>
      <c r="B3358" s="4">
        <v>13476.0</v>
      </c>
      <c r="C3358" s="5">
        <f>DATE(2012,12,31)-807</f>
        <v>40467</v>
      </c>
      <c r="D3358" s="4" t="s">
        <v>45</v>
      </c>
      <c r="E3358" s="4">
        <v>47.0</v>
      </c>
      <c r="F3358" s="4">
        <v>231.29</v>
      </c>
      <c r="G3358" s="4">
        <v>0.09</v>
      </c>
      <c r="H3358" s="4" t="s">
        <v>56</v>
      </c>
      <c r="I3358" s="6">
        <v>-147.8555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2"/>
        <v>40469</v>
      </c>
    </row>
    <row r="3359" ht="12.75" customHeight="1">
      <c r="A3359" s="4">
        <v>1891.0</v>
      </c>
      <c r="B3359" s="4">
        <v>13572.0</v>
      </c>
      <c r="C3359" s="5">
        <f>DATE(2012,12,31)-228</f>
        <v>41046</v>
      </c>
      <c r="D3359" s="4" t="s">
        <v>78</v>
      </c>
      <c r="E3359" s="4">
        <v>7.0</v>
      </c>
      <c r="F3359" s="4">
        <v>40.11</v>
      </c>
      <c r="G3359" s="4">
        <v>0.07</v>
      </c>
      <c r="H3359" s="4" t="s">
        <v>22</v>
      </c>
      <c r="I3359" s="6">
        <v>-43.71</v>
      </c>
      <c r="J3359" s="4">
        <v>5.02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ht="12.75" customHeight="1">
      <c r="A3360" s="4">
        <v>1916.0</v>
      </c>
      <c r="B3360" s="4">
        <v>13731.0</v>
      </c>
      <c r="C3360" s="5">
        <f>DATE(2012,12,31)-967</f>
        <v>40307</v>
      </c>
      <c r="D3360" s="4" t="s">
        <v>45</v>
      </c>
      <c r="E3360" s="4">
        <v>10.0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ht="12.75" customHeight="1">
      <c r="A3361" s="4">
        <v>1971.0</v>
      </c>
      <c r="B3361" s="4">
        <v>14112.0</v>
      </c>
      <c r="C3361" s="5">
        <f>DATE(2012,12,31)-1256</f>
        <v>40018</v>
      </c>
      <c r="D3361" s="4" t="s">
        <v>21</v>
      </c>
      <c r="E3361" s="4">
        <v>1.0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0.58</v>
      </c>
      <c r="U3361" s="5">
        <f>C3361+0</f>
        <v>40018</v>
      </c>
    </row>
    <row r="3362" ht="12.75" customHeight="1">
      <c r="A3362" s="4">
        <v>1974.0</v>
      </c>
      <c r="B3362" s="4">
        <v>14114.0</v>
      </c>
      <c r="C3362" s="5">
        <f t="shared" ref="C3362:C3363" si="1393">DATE(2012,12,31)-1365</f>
        <v>39909</v>
      </c>
      <c r="D3362" s="4" t="s">
        <v>78</v>
      </c>
      <c r="E3362" s="4">
        <v>38.0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ht="12.75" customHeight="1">
      <c r="A3363" s="4">
        <v>1975.0</v>
      </c>
      <c r="B3363" s="4">
        <v>14114.0</v>
      </c>
      <c r="C3363" s="5">
        <f t="shared" si="1393"/>
        <v>39909</v>
      </c>
      <c r="D3363" s="4" t="s">
        <v>78</v>
      </c>
      <c r="E3363" s="4">
        <v>41.0</v>
      </c>
      <c r="F3363" s="4">
        <v>241.9</v>
      </c>
      <c r="G3363" s="4">
        <v>0.05</v>
      </c>
      <c r="H3363" s="4" t="s">
        <v>22</v>
      </c>
      <c r="I3363" s="6">
        <v>-136.7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</v>
      </c>
      <c r="U3363" s="5">
        <f>C3363+0</f>
        <v>39909</v>
      </c>
    </row>
    <row r="3364" ht="12.75" customHeight="1">
      <c r="A3364" s="4">
        <v>2099.0</v>
      </c>
      <c r="B3364" s="4">
        <v>15009.0</v>
      </c>
      <c r="C3364" s="5">
        <f>DATE(2012,12,31)-376</f>
        <v>40898</v>
      </c>
      <c r="D3364" s="4" t="s">
        <v>45</v>
      </c>
      <c r="E3364" s="4">
        <v>46.0</v>
      </c>
      <c r="F3364" s="4">
        <v>1200.13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0.57</v>
      </c>
      <c r="U3364" s="5">
        <f t="shared" ref="U3364:U3366" si="1394">C3364+2</f>
        <v>40900</v>
      </c>
    </row>
    <row r="3365" ht="12.75" customHeight="1">
      <c r="A3365" s="4">
        <v>2152.0</v>
      </c>
      <c r="B3365" s="4">
        <v>15399.0</v>
      </c>
      <c r="C3365" s="5">
        <f>DATE(2012,12,31)-232</f>
        <v>41042</v>
      </c>
      <c r="D3365" s="4" t="s">
        <v>78</v>
      </c>
      <c r="E3365" s="4">
        <v>7.0</v>
      </c>
      <c r="F3365" s="4">
        <v>2202.45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4"/>
        <v>41044</v>
      </c>
    </row>
    <row r="3366" ht="12.75" customHeight="1">
      <c r="A3366" s="4">
        <v>2218.0</v>
      </c>
      <c r="B3366" s="4">
        <v>16036.0</v>
      </c>
      <c r="C3366" s="5">
        <f t="shared" ref="C3366:C3368" si="1395">DATE(2012,12,31)-361</f>
        <v>40913</v>
      </c>
      <c r="D3366" s="4" t="s">
        <v>63</v>
      </c>
      <c r="E3366" s="4">
        <v>28.0</v>
      </c>
      <c r="F3366" s="4">
        <v>169.22</v>
      </c>
      <c r="G3366" s="4">
        <v>0.05</v>
      </c>
      <c r="H3366" s="4" t="s">
        <v>22</v>
      </c>
      <c r="I3366" s="6">
        <v>-165.1055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4"/>
        <v>40915</v>
      </c>
    </row>
    <row r="3367" ht="12.75" customHeight="1">
      <c r="A3367" s="4">
        <v>2219.0</v>
      </c>
      <c r="B3367" s="4">
        <v>16036.0</v>
      </c>
      <c r="C3367" s="5">
        <f t="shared" si="1395"/>
        <v>40913</v>
      </c>
      <c r="D3367" s="4" t="s">
        <v>63</v>
      </c>
      <c r="E3367" s="4">
        <v>10.0</v>
      </c>
      <c r="F3367" s="4">
        <v>1319.421</v>
      </c>
      <c r="G3367" s="4">
        <v>0.07</v>
      </c>
      <c r="H3367" s="4" t="s">
        <v>22</v>
      </c>
      <c r="I3367" s="6">
        <v>-268.873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6">C3367+1</f>
        <v>40914</v>
      </c>
    </row>
    <row r="3368" ht="12.75" customHeight="1">
      <c r="A3368" s="4">
        <v>2220.0</v>
      </c>
      <c r="B3368" s="4">
        <v>16036.0</v>
      </c>
      <c r="C3368" s="5">
        <f t="shared" si="1395"/>
        <v>40913</v>
      </c>
      <c r="D3368" s="4" t="s">
        <v>63</v>
      </c>
      <c r="E3368" s="4">
        <v>33.0</v>
      </c>
      <c r="F3368" s="4">
        <v>550.93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6"/>
        <v>40914</v>
      </c>
    </row>
    <row r="3369" ht="12.75" customHeight="1">
      <c r="A3369" s="4">
        <v>2374.0</v>
      </c>
      <c r="B3369" s="4">
        <v>17216.0</v>
      </c>
      <c r="C3369" s="5">
        <f>DATE(2012,12,31)-218</f>
        <v>41056</v>
      </c>
      <c r="D3369" s="4" t="s">
        <v>63</v>
      </c>
      <c r="E3369" s="4">
        <v>7.0</v>
      </c>
      <c r="F3369" s="4">
        <v>2236.16</v>
      </c>
      <c r="G3369" s="4">
        <v>0.05</v>
      </c>
      <c r="H3369" s="4" t="s">
        <v>31</v>
      </c>
      <c r="I3369" s="6">
        <v>-99.16000000000008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0.57</v>
      </c>
      <c r="U3369" s="5">
        <f t="shared" si="1396"/>
        <v>41057</v>
      </c>
    </row>
    <row r="3370" ht="12.75" customHeight="1">
      <c r="A3370" s="4">
        <v>2436.0</v>
      </c>
      <c r="B3370" s="4">
        <v>17698.0</v>
      </c>
      <c r="C3370" s="5">
        <f>DATE(2012,12,31)-232</f>
        <v>41042</v>
      </c>
      <c r="D3370" s="4" t="s">
        <v>30</v>
      </c>
      <c r="E3370" s="4">
        <v>43.0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7">C3370+2</f>
        <v>41044</v>
      </c>
    </row>
    <row r="3371" ht="12.75" customHeight="1">
      <c r="A3371" s="4">
        <v>2467.0</v>
      </c>
      <c r="B3371" s="4">
        <v>17953.0</v>
      </c>
      <c r="C3371" s="5">
        <f t="shared" ref="C3371:C3372" si="1398">DATE(2012,12,31)-133</f>
        <v>41141</v>
      </c>
      <c r="D3371" s="4" t="s">
        <v>30</v>
      </c>
      <c r="E3371" s="4">
        <v>21.0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60.0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7"/>
        <v>41143</v>
      </c>
    </row>
    <row r="3372" ht="12.75" customHeight="1">
      <c r="A3372" s="4">
        <v>2468.0</v>
      </c>
      <c r="B3372" s="4">
        <v>17953.0</v>
      </c>
      <c r="C3372" s="5">
        <f t="shared" si="1398"/>
        <v>41141</v>
      </c>
      <c r="D3372" s="4" t="s">
        <v>30</v>
      </c>
      <c r="E3372" s="4">
        <v>17.0</v>
      </c>
      <c r="F3372" s="4">
        <v>105.44</v>
      </c>
      <c r="G3372" s="4">
        <v>0.0</v>
      </c>
      <c r="H3372" s="4" t="s">
        <v>22</v>
      </c>
      <c r="I3372" s="6">
        <v>18.76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</v>
      </c>
      <c r="U3372" s="5">
        <f t="shared" si="1397"/>
        <v>41143</v>
      </c>
    </row>
    <row r="3373" ht="12.75" customHeight="1">
      <c r="A3373" s="4">
        <v>2472.0</v>
      </c>
      <c r="B3373" s="4">
        <v>17959.0</v>
      </c>
      <c r="C3373" s="5">
        <f t="shared" ref="C3373:C3374" si="1399">DATE(2012,12,31)-113</f>
        <v>41161</v>
      </c>
      <c r="D3373" s="4" t="s">
        <v>63</v>
      </c>
      <c r="E3373" s="4">
        <v>28.0</v>
      </c>
      <c r="F3373" s="4">
        <v>1201.68</v>
      </c>
      <c r="G3373" s="4">
        <v>0.01</v>
      </c>
      <c r="H3373" s="4" t="s">
        <v>22</v>
      </c>
      <c r="I3373" s="6">
        <v>146.8</v>
      </c>
      <c r="J3373" s="4">
        <v>40.99</v>
      </c>
      <c r="K3373" s="4">
        <v>19.99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400">C3373+3</f>
        <v>41164</v>
      </c>
    </row>
    <row r="3374" ht="12.75" customHeight="1">
      <c r="A3374" s="4">
        <v>2473.0</v>
      </c>
      <c r="B3374" s="4">
        <v>17959.0</v>
      </c>
      <c r="C3374" s="5">
        <f t="shared" si="1399"/>
        <v>41161</v>
      </c>
      <c r="D3374" s="4" t="s">
        <v>63</v>
      </c>
      <c r="E3374" s="4">
        <v>21.0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136.98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400"/>
        <v>41164</v>
      </c>
    </row>
    <row r="3375" ht="12.75" customHeight="1">
      <c r="A3375" s="4">
        <v>2478.0</v>
      </c>
      <c r="B3375" s="4">
        <v>18017.0</v>
      </c>
      <c r="C3375" s="5">
        <f>DATE(2012,12,31)-1012</f>
        <v>40262</v>
      </c>
      <c r="D3375" s="4" t="s">
        <v>78</v>
      </c>
      <c r="E3375" s="4">
        <v>22.0</v>
      </c>
      <c r="F3375" s="4">
        <v>5202.896000000001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ht="12.75" customHeight="1">
      <c r="A3376" s="4">
        <v>2532.0</v>
      </c>
      <c r="B3376" s="4">
        <v>18373.0</v>
      </c>
      <c r="C3376" s="5">
        <f>DATE(2012,12,31)-263</f>
        <v>41011</v>
      </c>
      <c r="D3376" s="4" t="s">
        <v>78</v>
      </c>
      <c r="E3376" s="4">
        <v>35.0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</v>
      </c>
      <c r="U3376" s="5">
        <f>C3376+0</f>
        <v>41011</v>
      </c>
    </row>
    <row r="3377" ht="12.75" customHeight="1">
      <c r="A3377" s="4">
        <v>2708.0</v>
      </c>
      <c r="B3377" s="4">
        <v>19558.0</v>
      </c>
      <c r="C3377" s="5">
        <f>DATE(2012,12,31)-675</f>
        <v>40599</v>
      </c>
      <c r="D3377" s="4" t="s">
        <v>21</v>
      </c>
      <c r="E3377" s="4">
        <v>2.0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ht="12.75" customHeight="1">
      <c r="A3378" s="4">
        <v>2849.0</v>
      </c>
      <c r="B3378" s="4">
        <v>20518.0</v>
      </c>
      <c r="C3378" s="5">
        <f t="shared" ref="C3378:C3379" si="1401">DATE(2012,12,31)-1183</f>
        <v>40091</v>
      </c>
      <c r="D3378" s="4" t="s">
        <v>78</v>
      </c>
      <c r="E3378" s="4">
        <v>49.0</v>
      </c>
      <c r="F3378" s="4">
        <v>8252.360999999999</v>
      </c>
      <c r="G3378" s="4">
        <v>0.07</v>
      </c>
      <c r="H3378" s="4" t="s">
        <v>22</v>
      </c>
      <c r="I3378" s="6">
        <v>2418.561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2">C3378+1</f>
        <v>40092</v>
      </c>
    </row>
    <row r="3379" ht="12.75" customHeight="1">
      <c r="A3379" s="4">
        <v>2850.0</v>
      </c>
      <c r="B3379" s="4">
        <v>20518.0</v>
      </c>
      <c r="C3379" s="5">
        <f t="shared" si="1401"/>
        <v>40091</v>
      </c>
      <c r="D3379" s="4" t="s">
        <v>78</v>
      </c>
      <c r="E3379" s="4">
        <v>7.0</v>
      </c>
      <c r="F3379" s="4">
        <v>2205.84</v>
      </c>
      <c r="G3379" s="4">
        <v>0.01</v>
      </c>
      <c r="H3379" s="4" t="s">
        <v>31</v>
      </c>
      <c r="I3379" s="6">
        <v>-313.1304</v>
      </c>
      <c r="J3379" s="4">
        <v>297.48</v>
      </c>
      <c r="K3379" s="4">
        <v>18.06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2"/>
        <v>40092</v>
      </c>
    </row>
    <row r="3380" ht="12.75" customHeight="1">
      <c r="A3380" s="4">
        <v>2877.0</v>
      </c>
      <c r="B3380" s="4">
        <v>20737.0</v>
      </c>
      <c r="C3380" s="5">
        <f>DATE(2012,12,31)-372</f>
        <v>40902</v>
      </c>
      <c r="D3380" s="4" t="s">
        <v>63</v>
      </c>
      <c r="E3380" s="4">
        <v>15.0</v>
      </c>
      <c r="F3380" s="4">
        <v>3364.2480000000005</v>
      </c>
      <c r="G3380" s="4">
        <v>0.1</v>
      </c>
      <c r="H3380" s="4" t="s">
        <v>31</v>
      </c>
      <c r="I3380" s="6">
        <v>-693.2303950000002</v>
      </c>
      <c r="J3380" s="4">
        <v>286.85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ht="12.75" customHeight="1">
      <c r="A3381" s="4">
        <v>2897.0</v>
      </c>
      <c r="B3381" s="4">
        <v>20903.0</v>
      </c>
      <c r="C3381" s="5">
        <f>DATE(2012,12,31)-1321</f>
        <v>39953</v>
      </c>
      <c r="D3381" s="4" t="s">
        <v>30</v>
      </c>
      <c r="E3381" s="4">
        <v>4.0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ht="12.75" customHeight="1">
      <c r="A3382" s="4">
        <v>2945.0</v>
      </c>
      <c r="B3382" s="4">
        <v>21344.0</v>
      </c>
      <c r="C3382" s="5">
        <f t="shared" ref="C3382:C3383" si="1403">DATE(2012,12,31)-22</f>
        <v>41252</v>
      </c>
      <c r="D3382" s="4" t="s">
        <v>21</v>
      </c>
      <c r="E3382" s="4">
        <v>29.0</v>
      </c>
      <c r="F3382" s="4">
        <v>587.2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ht="12.75" customHeight="1">
      <c r="A3383" s="4">
        <v>2946.0</v>
      </c>
      <c r="B3383" s="4">
        <v>21344.0</v>
      </c>
      <c r="C3383" s="5">
        <f t="shared" si="1403"/>
        <v>41252</v>
      </c>
      <c r="D3383" s="4" t="s">
        <v>21</v>
      </c>
      <c r="E3383" s="4">
        <v>39.0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ht="12.75" customHeight="1">
      <c r="A3384" s="4">
        <v>2998.0</v>
      </c>
      <c r="B3384" s="4">
        <v>21606.0</v>
      </c>
      <c r="C3384" s="5">
        <f>DATE(2012,12,31)-709</f>
        <v>40565</v>
      </c>
      <c r="D3384" s="4" t="s">
        <v>45</v>
      </c>
      <c r="E3384" s="4">
        <v>29.0</v>
      </c>
      <c r="F3384" s="4">
        <v>516.62</v>
      </c>
      <c r="G3384" s="4">
        <v>0.06</v>
      </c>
      <c r="H3384" s="4" t="s">
        <v>22</v>
      </c>
      <c r="I3384" s="6">
        <v>138.33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4">C3384+1</f>
        <v>40566</v>
      </c>
    </row>
    <row r="3385" ht="12.75" customHeight="1">
      <c r="A3385" s="4">
        <v>3095.0</v>
      </c>
      <c r="B3385" s="4">
        <v>22183.0</v>
      </c>
      <c r="C3385" s="5">
        <f>DATE(2012,12,31)-252</f>
        <v>41022</v>
      </c>
      <c r="D3385" s="4" t="s">
        <v>63</v>
      </c>
      <c r="E3385" s="4">
        <v>30.0</v>
      </c>
      <c r="F3385" s="4">
        <v>177.22</v>
      </c>
      <c r="G3385" s="4">
        <v>0.06</v>
      </c>
      <c r="H3385" s="4" t="s">
        <v>22</v>
      </c>
      <c r="I3385" s="6">
        <v>68.96</v>
      </c>
      <c r="J3385" s="4">
        <v>5.84</v>
      </c>
      <c r="K3385" s="4">
        <v>1.0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4"/>
        <v>41023</v>
      </c>
    </row>
    <row r="3386" ht="12.75" customHeight="1">
      <c r="A3386" s="4">
        <v>3109.0</v>
      </c>
      <c r="B3386" s="4">
        <v>22338.0</v>
      </c>
      <c r="C3386" s="5">
        <f>DATE(2012,12,31)-962</f>
        <v>40312</v>
      </c>
      <c r="D3386" s="4" t="s">
        <v>63</v>
      </c>
      <c r="E3386" s="4">
        <v>24.0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4"/>
        <v>40313</v>
      </c>
    </row>
    <row r="3387" ht="12.75" customHeight="1">
      <c r="A3387" s="4">
        <v>3247.0</v>
      </c>
      <c r="B3387" s="4">
        <v>23268.0</v>
      </c>
      <c r="C3387" s="5">
        <f>DATE(2012,12,31)-350</f>
        <v>40924</v>
      </c>
      <c r="D3387" s="4" t="s">
        <v>30</v>
      </c>
      <c r="E3387" s="4">
        <v>14.0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5">C3387+2</f>
        <v>40926</v>
      </c>
    </row>
    <row r="3388" ht="12.75" customHeight="1">
      <c r="A3388" s="4">
        <v>3287.0</v>
      </c>
      <c r="B3388" s="4">
        <v>23522.0</v>
      </c>
      <c r="C3388" s="5">
        <f t="shared" ref="C3388:C3390" si="1406">DATE(2012,12,31)-630</f>
        <v>40644</v>
      </c>
      <c r="D3388" s="4" t="s">
        <v>78</v>
      </c>
      <c r="E3388" s="4">
        <v>20.0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65.99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</v>
      </c>
      <c r="U3388" s="5">
        <f t="shared" si="1405"/>
        <v>40646</v>
      </c>
    </row>
    <row r="3389" ht="12.75" customHeight="1">
      <c r="A3389" s="4">
        <v>3288.0</v>
      </c>
      <c r="B3389" s="4">
        <v>23522.0</v>
      </c>
      <c r="C3389" s="5">
        <f t="shared" si="1406"/>
        <v>40644</v>
      </c>
      <c r="D3389" s="4" t="s">
        <v>78</v>
      </c>
      <c r="E3389" s="4">
        <v>19.0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ht="12.75" customHeight="1">
      <c r="A3390" s="4">
        <v>3289.0</v>
      </c>
      <c r="B3390" s="4">
        <v>23522.0</v>
      </c>
      <c r="C3390" s="5">
        <f t="shared" si="1406"/>
        <v>40644</v>
      </c>
      <c r="D3390" s="4" t="s">
        <v>78</v>
      </c>
      <c r="E3390" s="4">
        <v>36.0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ht="12.75" customHeight="1">
      <c r="A3391" s="4">
        <v>3349.0</v>
      </c>
      <c r="B3391" s="4">
        <v>23968.0</v>
      </c>
      <c r="C3391" s="5">
        <f>DATE(2012,12,31)-668</f>
        <v>40606</v>
      </c>
      <c r="D3391" s="4" t="s">
        <v>78</v>
      </c>
      <c r="E3391" s="4">
        <v>19.0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ht="12.75" customHeight="1">
      <c r="A3392" s="4">
        <v>3458.0</v>
      </c>
      <c r="B3392" s="4">
        <v>24644.0</v>
      </c>
      <c r="C3392" s="5">
        <f>DATE(2012,12,31)-1252</f>
        <v>40022</v>
      </c>
      <c r="D3392" s="4" t="s">
        <v>78</v>
      </c>
      <c r="E3392" s="4">
        <v>40.0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</v>
      </c>
      <c r="U3392" s="5">
        <f>C3392+2</f>
        <v>40024</v>
      </c>
    </row>
    <row r="3393" ht="12.75" customHeight="1">
      <c r="A3393" s="4">
        <v>3570.0</v>
      </c>
      <c r="B3393" s="4">
        <v>25472.0</v>
      </c>
      <c r="C3393" s="5">
        <f>DATE(2012,12,31)-1320</f>
        <v>39954</v>
      </c>
      <c r="D3393" s="4" t="s">
        <v>30</v>
      </c>
      <c r="E3393" s="4">
        <v>40.0</v>
      </c>
      <c r="F3393" s="4">
        <v>194.02</v>
      </c>
      <c r="G3393" s="4">
        <v>0.03</v>
      </c>
      <c r="H3393" s="4" t="s">
        <v>22</v>
      </c>
      <c r="I3393" s="6">
        <v>80.35</v>
      </c>
      <c r="J3393" s="4">
        <v>4.98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ht="12.75" customHeight="1">
      <c r="A3394" s="4">
        <v>3629.0</v>
      </c>
      <c r="B3394" s="4">
        <v>25927.0</v>
      </c>
      <c r="C3394" s="5">
        <f>DATE(2012,12,31)-1349</f>
        <v>39925</v>
      </c>
      <c r="D3394" s="4" t="s">
        <v>63</v>
      </c>
      <c r="E3394" s="4">
        <v>14.0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ht="12.75" customHeight="1">
      <c r="A3395" s="4">
        <v>3634.0</v>
      </c>
      <c r="B3395" s="4">
        <v>25955.0</v>
      </c>
      <c r="C3395" s="5">
        <f>DATE(2012,12,31)-607</f>
        <v>40667</v>
      </c>
      <c r="D3395" s="4" t="s">
        <v>45</v>
      </c>
      <c r="E3395" s="4">
        <v>10.0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16.06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ht="12.75" customHeight="1">
      <c r="A3396" s="4">
        <v>3668.0</v>
      </c>
      <c r="B3396" s="4">
        <v>26276.0</v>
      </c>
      <c r="C3396" s="5">
        <f>DATE(2012,12,31)-841</f>
        <v>40433</v>
      </c>
      <c r="D3396" s="4" t="s">
        <v>21</v>
      </c>
      <c r="E3396" s="4">
        <v>19.0</v>
      </c>
      <c r="F3396" s="4">
        <v>20329.8</v>
      </c>
      <c r="G3396" s="4">
        <v>0.0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ht="12.75" customHeight="1">
      <c r="A3397" s="4">
        <v>3676.0</v>
      </c>
      <c r="B3397" s="4">
        <v>26306.0</v>
      </c>
      <c r="C3397" s="5">
        <f>DATE(2012,12,31)-62</f>
        <v>41212</v>
      </c>
      <c r="D3397" s="4" t="s">
        <v>21</v>
      </c>
      <c r="E3397" s="4">
        <v>15.0</v>
      </c>
      <c r="F3397" s="4">
        <v>2567.64</v>
      </c>
      <c r="G3397" s="4">
        <v>0.0</v>
      </c>
      <c r="H3397" s="4" t="s">
        <v>22</v>
      </c>
      <c r="I3397" s="6">
        <v>-505.98447900000014</v>
      </c>
      <c r="J3397" s="4">
        <v>209.37</v>
      </c>
      <c r="K3397" s="4">
        <v>69.0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ht="12.75" customHeight="1">
      <c r="A3398" s="4">
        <v>3739.0</v>
      </c>
      <c r="B3398" s="4">
        <v>26724.0</v>
      </c>
      <c r="C3398" s="5">
        <f>DATE(2012,12,31)-1424</f>
        <v>39850</v>
      </c>
      <c r="D3398" s="4" t="s">
        <v>78</v>
      </c>
      <c r="E3398" s="4">
        <v>2.0</v>
      </c>
      <c r="F3398" s="4">
        <v>1838.18</v>
      </c>
      <c r="G3398" s="4">
        <v>0.09</v>
      </c>
      <c r="H3398" s="4" t="s">
        <v>22</v>
      </c>
      <c r="I3398" s="6">
        <v>-2531.4825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ht="12.75" customHeight="1">
      <c r="A3399" s="4">
        <v>3749.0</v>
      </c>
      <c r="B3399" s="4">
        <v>26784.0</v>
      </c>
      <c r="C3399" s="5">
        <f t="shared" ref="C3399:C3400" si="1407">DATE(2012,12,31)-892</f>
        <v>40382</v>
      </c>
      <c r="D3399" s="4" t="s">
        <v>78</v>
      </c>
      <c r="E3399" s="4">
        <v>12.0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30.0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8">C3399+1</f>
        <v>40383</v>
      </c>
    </row>
    <row r="3400" ht="12.75" customHeight="1">
      <c r="A3400" s="4">
        <v>3750.0</v>
      </c>
      <c r="B3400" s="4">
        <v>26784.0</v>
      </c>
      <c r="C3400" s="5">
        <f t="shared" si="1407"/>
        <v>40382</v>
      </c>
      <c r="D3400" s="4" t="s">
        <v>78</v>
      </c>
      <c r="E3400" s="4">
        <v>33.0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8"/>
        <v>40383</v>
      </c>
    </row>
    <row r="3401" ht="12.75" customHeight="1">
      <c r="A3401" s="4">
        <v>3765.0</v>
      </c>
      <c r="B3401" s="4">
        <v>26912.0</v>
      </c>
      <c r="C3401" s="5">
        <f>DATE(2012,12,31)-248</f>
        <v>41026</v>
      </c>
      <c r="D3401" s="4" t="s">
        <v>21</v>
      </c>
      <c r="E3401" s="4">
        <v>18.0</v>
      </c>
      <c r="F3401" s="4">
        <v>3136.2025</v>
      </c>
      <c r="G3401" s="4">
        <v>0.07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</v>
      </c>
      <c r="U3401" s="5">
        <f>C3401+4</f>
        <v>41030</v>
      </c>
    </row>
    <row r="3402" ht="12.75" customHeight="1">
      <c r="A3402" s="4">
        <v>3776.0</v>
      </c>
      <c r="B3402" s="4">
        <v>26949.0</v>
      </c>
      <c r="C3402" s="5">
        <f>DATE(2012,12,31)-1234</f>
        <v>40040</v>
      </c>
      <c r="D3402" s="4" t="s">
        <v>78</v>
      </c>
      <c r="E3402" s="4">
        <v>48.0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ht="12.75" customHeight="1">
      <c r="A3403" s="4">
        <v>3845.0</v>
      </c>
      <c r="B3403" s="4">
        <v>27430.0</v>
      </c>
      <c r="C3403" s="5">
        <f>DATE(2012,12,31)-700</f>
        <v>40574</v>
      </c>
      <c r="D3403" s="4" t="s">
        <v>30</v>
      </c>
      <c r="E3403" s="4">
        <v>12.0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9">C3403+1</f>
        <v>40575</v>
      </c>
    </row>
    <row r="3404" ht="12.75" customHeight="1">
      <c r="A3404" s="4">
        <v>3949.0</v>
      </c>
      <c r="B3404" s="4">
        <v>28161.0</v>
      </c>
      <c r="C3404" s="5">
        <f t="shared" ref="C3404:C3405" si="1410">DATE(2012,12,31)-1295</f>
        <v>39979</v>
      </c>
      <c r="D3404" s="4" t="s">
        <v>45</v>
      </c>
      <c r="E3404" s="4">
        <v>10.0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</v>
      </c>
      <c r="U3404" s="5">
        <f t="shared" si="1409"/>
        <v>39980</v>
      </c>
    </row>
    <row r="3405" ht="12.75" customHeight="1">
      <c r="A3405" s="4">
        <v>3951.0</v>
      </c>
      <c r="B3405" s="4">
        <v>28161.0</v>
      </c>
      <c r="C3405" s="5">
        <f t="shared" si="1410"/>
        <v>39979</v>
      </c>
      <c r="D3405" s="4" t="s">
        <v>45</v>
      </c>
      <c r="E3405" s="4">
        <v>41.0</v>
      </c>
      <c r="F3405" s="4">
        <v>1085.61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4.0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ht="12.75" customHeight="1">
      <c r="A3406" s="4">
        <v>4070.0</v>
      </c>
      <c r="B3406" s="4">
        <v>28992.0</v>
      </c>
      <c r="C3406" s="5">
        <f>DATE(2012,12,31)-469</f>
        <v>40805</v>
      </c>
      <c r="D3406" s="4" t="s">
        <v>78</v>
      </c>
      <c r="E3406" s="4">
        <v>41.0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19.99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</v>
      </c>
      <c r="U3406" s="5">
        <f>C3406+1</f>
        <v>40806</v>
      </c>
    </row>
    <row r="3407" ht="12.75" customHeight="1">
      <c r="A3407" s="4">
        <v>4130.0</v>
      </c>
      <c r="B3407" s="4">
        <v>29349.0</v>
      </c>
      <c r="C3407" s="5">
        <f>DATE(2012,12,31)-935</f>
        <v>40339</v>
      </c>
      <c r="D3407" s="4" t="s">
        <v>30</v>
      </c>
      <c r="E3407" s="4">
        <v>33.0</v>
      </c>
      <c r="F3407" s="4">
        <v>162.39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1">C3407+2</f>
        <v>40341</v>
      </c>
    </row>
    <row r="3408" ht="12.75" customHeight="1">
      <c r="A3408" s="4">
        <v>4131.0</v>
      </c>
      <c r="B3408" s="4">
        <v>29350.0</v>
      </c>
      <c r="C3408" s="5">
        <f t="shared" ref="C3408:C3409" si="1412">DATE(2012,12,31)-1224</f>
        <v>40050</v>
      </c>
      <c r="D3408" s="4" t="s">
        <v>30</v>
      </c>
      <c r="E3408" s="4">
        <v>47.0</v>
      </c>
      <c r="F3408" s="4">
        <v>2519.55</v>
      </c>
      <c r="G3408" s="4">
        <v>0.05</v>
      </c>
      <c r="H3408" s="4" t="s">
        <v>22</v>
      </c>
      <c r="I3408" s="6">
        <v>592.5265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1"/>
        <v>40052</v>
      </c>
    </row>
    <row r="3409" ht="12.75" customHeight="1">
      <c r="A3409" s="4">
        <v>4133.0</v>
      </c>
      <c r="B3409" s="4">
        <v>29350.0</v>
      </c>
      <c r="C3409" s="5">
        <f t="shared" si="1412"/>
        <v>40050</v>
      </c>
      <c r="D3409" s="4" t="s">
        <v>30</v>
      </c>
      <c r="E3409" s="4">
        <v>46.0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36.55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3">C3409+1</f>
        <v>40051</v>
      </c>
    </row>
    <row r="3410" ht="12.75" customHeight="1">
      <c r="A3410" s="4">
        <v>4152.0</v>
      </c>
      <c r="B3410" s="4">
        <v>29473.0</v>
      </c>
      <c r="C3410" s="5">
        <f>DATE(2012,12,31)-320</f>
        <v>40954</v>
      </c>
      <c r="D3410" s="4" t="s">
        <v>63</v>
      </c>
      <c r="E3410" s="4">
        <v>40.0</v>
      </c>
      <c r="F3410" s="4">
        <v>13367.82</v>
      </c>
      <c r="G3410" s="4">
        <v>0.0</v>
      </c>
      <c r="H3410" s="4" t="s">
        <v>31</v>
      </c>
      <c r="I3410" s="6">
        <v>-774.8906880000001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3"/>
        <v>40955</v>
      </c>
    </row>
    <row r="3411" ht="12.75" customHeight="1">
      <c r="A3411" s="4">
        <v>4225.0</v>
      </c>
      <c r="B3411" s="4">
        <v>30023.0</v>
      </c>
      <c r="C3411" s="5">
        <f>DATE(2012,12,31)-808</f>
        <v>40466</v>
      </c>
      <c r="D3411" s="4" t="s">
        <v>21</v>
      </c>
      <c r="E3411" s="4">
        <v>34.0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49.0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ht="12.75" customHeight="1">
      <c r="A3412" s="4">
        <v>4241.0</v>
      </c>
      <c r="B3412" s="4">
        <v>30150.0</v>
      </c>
      <c r="C3412" s="5">
        <f>DATE(2012,12,31)-819</f>
        <v>40455</v>
      </c>
      <c r="D3412" s="4" t="s">
        <v>78</v>
      </c>
      <c r="E3412" s="4">
        <v>30.0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ht="12.75" customHeight="1">
      <c r="A3413" s="4">
        <v>4242.0</v>
      </c>
      <c r="B3413" s="4">
        <v>30151.0</v>
      </c>
      <c r="C3413" s="5">
        <f>DATE(2012,12,31)-702</f>
        <v>40572</v>
      </c>
      <c r="D3413" s="4" t="s">
        <v>45</v>
      </c>
      <c r="E3413" s="4">
        <v>31.0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ht="12.75" customHeight="1">
      <c r="A3414" s="4">
        <v>4251.0</v>
      </c>
      <c r="B3414" s="4">
        <v>30276.0</v>
      </c>
      <c r="C3414" s="5">
        <f t="shared" ref="C3414:C3415" si="1414">DATE(2012,12,31)-493</f>
        <v>40781</v>
      </c>
      <c r="D3414" s="4" t="s">
        <v>21</v>
      </c>
      <c r="E3414" s="4">
        <v>44.0</v>
      </c>
      <c r="F3414" s="4">
        <v>1453.704</v>
      </c>
      <c r="G3414" s="4">
        <v>0.0</v>
      </c>
      <c r="H3414" s="4" t="s">
        <v>22</v>
      </c>
      <c r="I3414" s="6">
        <v>549.837</v>
      </c>
      <c r="J3414" s="4">
        <v>35.99</v>
      </c>
      <c r="K3414" s="4">
        <v>1.1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</v>
      </c>
      <c r="U3414" s="5">
        <f t="shared" ref="U3414:U3415" si="1415">C3414+4</f>
        <v>40785</v>
      </c>
    </row>
    <row r="3415" ht="12.75" customHeight="1">
      <c r="A3415" s="4">
        <v>4252.0</v>
      </c>
      <c r="B3415" s="4">
        <v>30276.0</v>
      </c>
      <c r="C3415" s="5">
        <f t="shared" si="1414"/>
        <v>40781</v>
      </c>
      <c r="D3415" s="4" t="s">
        <v>21</v>
      </c>
      <c r="E3415" s="4">
        <v>34.0</v>
      </c>
      <c r="F3415" s="4">
        <v>7656.304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5"/>
        <v>40785</v>
      </c>
    </row>
    <row r="3416" ht="12.75" customHeight="1">
      <c r="A3416" s="4">
        <v>4254.0</v>
      </c>
      <c r="B3416" s="4">
        <v>30279.0</v>
      </c>
      <c r="C3416" s="5">
        <f t="shared" ref="C3416:C3417" si="1416">DATE(2012,12,31)-390</f>
        <v>40884</v>
      </c>
      <c r="D3416" s="4" t="s">
        <v>78</v>
      </c>
      <c r="E3416" s="4">
        <v>25.0</v>
      </c>
      <c r="F3416" s="4">
        <v>1412.98</v>
      </c>
      <c r="G3416" s="4">
        <v>0.1</v>
      </c>
      <c r="H3416" s="4" t="s">
        <v>22</v>
      </c>
      <c r="I3416" s="6">
        <v>324.96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</v>
      </c>
      <c r="U3416" s="5">
        <f>C3416+0</f>
        <v>40884</v>
      </c>
    </row>
    <row r="3417" ht="12.75" customHeight="1">
      <c r="A3417" s="4">
        <v>4255.0</v>
      </c>
      <c r="B3417" s="4">
        <v>30279.0</v>
      </c>
      <c r="C3417" s="5">
        <f t="shared" si="1416"/>
        <v>40884</v>
      </c>
      <c r="D3417" s="4" t="s">
        <v>78</v>
      </c>
      <c r="E3417" s="4">
        <v>39.0</v>
      </c>
      <c r="F3417" s="4">
        <v>19539.94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ht="12.75" customHeight="1">
      <c r="A3418" s="4">
        <v>4587.0</v>
      </c>
      <c r="B3418" s="4">
        <v>32640.0</v>
      </c>
      <c r="C3418" s="5">
        <f t="shared" ref="C3418:C3419" si="1417">DATE(2012,12,31)-107</f>
        <v>41167</v>
      </c>
      <c r="D3418" s="4" t="s">
        <v>30</v>
      </c>
      <c r="E3418" s="4">
        <v>18.0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8">C3418+2</f>
        <v>41169</v>
      </c>
    </row>
    <row r="3419" ht="12.75" customHeight="1">
      <c r="A3419" s="4">
        <v>4588.0</v>
      </c>
      <c r="B3419" s="4">
        <v>32640.0</v>
      </c>
      <c r="C3419" s="5">
        <f t="shared" si="1417"/>
        <v>41167</v>
      </c>
      <c r="D3419" s="4" t="s">
        <v>30</v>
      </c>
      <c r="E3419" s="4">
        <v>12.0</v>
      </c>
      <c r="F3419" s="4">
        <v>162.11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8"/>
        <v>41169</v>
      </c>
    </row>
    <row r="3420" ht="12.75" customHeight="1">
      <c r="A3420" s="4">
        <v>4621.0</v>
      </c>
      <c r="B3420" s="4">
        <v>32902.0</v>
      </c>
      <c r="C3420" s="5">
        <f>DATE(2012,12,31)-303</f>
        <v>40971</v>
      </c>
      <c r="D3420" s="4" t="s">
        <v>30</v>
      </c>
      <c r="E3420" s="4">
        <v>34.0</v>
      </c>
      <c r="F3420" s="4">
        <v>145.48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9">C3420+1</f>
        <v>40972</v>
      </c>
    </row>
    <row r="3421" ht="12.75" customHeight="1">
      <c r="A3421" s="4">
        <v>4631.0</v>
      </c>
      <c r="B3421" s="4">
        <v>32965.0</v>
      </c>
      <c r="C3421" s="5">
        <f>DATE(2012,12,31)-676</f>
        <v>40598</v>
      </c>
      <c r="D3421" s="4" t="s">
        <v>30</v>
      </c>
      <c r="E3421" s="4">
        <v>25.0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19.99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9"/>
        <v>40599</v>
      </c>
    </row>
    <row r="3422" ht="12.75" customHeight="1">
      <c r="A3422" s="4">
        <v>4639.0</v>
      </c>
      <c r="B3422" s="4">
        <v>33025.0</v>
      </c>
      <c r="C3422" s="5">
        <f>DATE(2012,12,31)-1437</f>
        <v>39837</v>
      </c>
      <c r="D3422" s="4" t="s">
        <v>21</v>
      </c>
      <c r="E3422" s="4">
        <v>5.0</v>
      </c>
      <c r="F3422" s="4">
        <v>318.31</v>
      </c>
      <c r="G3422" s="4">
        <v>0.08</v>
      </c>
      <c r="H3422" s="4" t="s">
        <v>22</v>
      </c>
      <c r="I3422" s="6">
        <v>-19.06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0.58</v>
      </c>
      <c r="U3422" s="5">
        <f>C3422+5</f>
        <v>39842</v>
      </c>
    </row>
    <row r="3423" ht="12.75" customHeight="1">
      <c r="A3423" s="4">
        <v>4655.0</v>
      </c>
      <c r="B3423" s="4">
        <v>33154.0</v>
      </c>
      <c r="C3423" s="5">
        <f>DATE(2012,12,31)-881</f>
        <v>40393</v>
      </c>
      <c r="D3423" s="4" t="s">
        <v>78</v>
      </c>
      <c r="E3423" s="4">
        <v>7.0</v>
      </c>
      <c r="F3423" s="4">
        <v>368.0245</v>
      </c>
      <c r="G3423" s="4">
        <v>0.09</v>
      </c>
      <c r="H3423" s="4" t="s">
        <v>22</v>
      </c>
      <c r="I3423" s="6">
        <v>-218.81199999999998</v>
      </c>
      <c r="J3423" s="4">
        <v>65.99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ht="12.75" customHeight="1">
      <c r="A3424" s="4">
        <v>4673.0</v>
      </c>
      <c r="B3424" s="4">
        <v>33253.0</v>
      </c>
      <c r="C3424" s="5">
        <f>DATE(2012,12,31)-397</f>
        <v>40877</v>
      </c>
      <c r="D3424" s="4" t="s">
        <v>45</v>
      </c>
      <c r="E3424" s="4">
        <v>6.0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0.57</v>
      </c>
      <c r="U3424" s="5">
        <f>C3424+2</f>
        <v>40879</v>
      </c>
    </row>
    <row r="3425" ht="12.75" customHeight="1">
      <c r="A3425" s="4">
        <v>4733.0</v>
      </c>
      <c r="B3425" s="4">
        <v>33699.0</v>
      </c>
      <c r="C3425" s="5">
        <f>DATE(2012,12,31)-1254</f>
        <v>40020</v>
      </c>
      <c r="D3425" s="4" t="s">
        <v>21</v>
      </c>
      <c r="E3425" s="4">
        <v>13.0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ht="12.75" customHeight="1">
      <c r="A3426" s="4">
        <v>4747.0</v>
      </c>
      <c r="B3426" s="4">
        <v>33761.0</v>
      </c>
      <c r="C3426" s="5">
        <f>DATE(2012,12,31)-149</f>
        <v>41125</v>
      </c>
      <c r="D3426" s="4" t="s">
        <v>30</v>
      </c>
      <c r="E3426" s="4">
        <v>45.0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ht="12.75" customHeight="1">
      <c r="A3427" s="4">
        <v>4757.0</v>
      </c>
      <c r="B3427" s="4">
        <v>33797.0</v>
      </c>
      <c r="C3427" s="5">
        <f t="shared" ref="C3427:C3428" si="1420">DATE(2012,12,31)-1450</f>
        <v>39824</v>
      </c>
      <c r="D3427" s="4" t="s">
        <v>45</v>
      </c>
      <c r="E3427" s="4">
        <v>29.0</v>
      </c>
      <c r="F3427" s="4">
        <v>138.17</v>
      </c>
      <c r="G3427" s="4">
        <v>0.05</v>
      </c>
      <c r="H3427" s="4" t="s">
        <v>56</v>
      </c>
      <c r="I3427" s="6">
        <v>-103.78</v>
      </c>
      <c r="J3427" s="4">
        <v>4.14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ht="12.75" customHeight="1">
      <c r="A3428" s="4">
        <v>4758.0</v>
      </c>
      <c r="B3428" s="4">
        <v>33797.0</v>
      </c>
      <c r="C3428" s="5">
        <f t="shared" si="1420"/>
        <v>39824</v>
      </c>
      <c r="D3428" s="4" t="s">
        <v>45</v>
      </c>
      <c r="E3428" s="4">
        <v>18.0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ht="12.75" customHeight="1">
      <c r="A3429" s="4">
        <v>4826.0</v>
      </c>
      <c r="B3429" s="4">
        <v>34309.0</v>
      </c>
      <c r="C3429" s="5">
        <f>DATE(2012,12,31)-116</f>
        <v>41158</v>
      </c>
      <c r="D3429" s="4" t="s">
        <v>30</v>
      </c>
      <c r="E3429" s="4">
        <v>16.0</v>
      </c>
      <c r="F3429" s="4">
        <v>75.77</v>
      </c>
      <c r="G3429" s="4">
        <v>0.0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ht="12.75" customHeight="1">
      <c r="A3430" s="4">
        <v>4859.0</v>
      </c>
      <c r="B3430" s="4">
        <v>34595.0</v>
      </c>
      <c r="C3430" s="5">
        <f>DATE(2012,12,31)-165</f>
        <v>41109</v>
      </c>
      <c r="D3430" s="4" t="s">
        <v>63</v>
      </c>
      <c r="E3430" s="4">
        <v>12.0</v>
      </c>
      <c r="F3430" s="4">
        <v>488.65</v>
      </c>
      <c r="G3430" s="4">
        <v>0.07</v>
      </c>
      <c r="H3430" s="4" t="s">
        <v>22</v>
      </c>
      <c r="I3430" s="6">
        <v>19.83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ht="12.75" customHeight="1">
      <c r="A3431" s="4">
        <v>4872.0</v>
      </c>
      <c r="B3431" s="4">
        <v>34662.0</v>
      </c>
      <c r="C3431" s="5">
        <f>DATE(2012,12,31)-356</f>
        <v>40918</v>
      </c>
      <c r="D3431" s="4" t="s">
        <v>78</v>
      </c>
      <c r="E3431" s="4">
        <v>35.0</v>
      </c>
      <c r="F3431" s="4">
        <v>12741.81</v>
      </c>
      <c r="G3431" s="4">
        <v>0.09</v>
      </c>
      <c r="H3431" s="4" t="s">
        <v>31</v>
      </c>
      <c r="I3431" s="6">
        <v>95.05999999999995</v>
      </c>
      <c r="J3431" s="4">
        <v>370.98</v>
      </c>
      <c r="K3431" s="4">
        <v>99.0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ht="12.75" customHeight="1">
      <c r="A3432" s="4">
        <v>4874.0</v>
      </c>
      <c r="B3432" s="4">
        <v>34689.0</v>
      </c>
      <c r="C3432" s="5">
        <f>DATE(2012,12,31)-1134</f>
        <v>40140</v>
      </c>
      <c r="D3432" s="4" t="s">
        <v>21</v>
      </c>
      <c r="E3432" s="4">
        <v>36.0</v>
      </c>
      <c r="F3432" s="4">
        <v>572.4</v>
      </c>
      <c r="G3432" s="4">
        <v>0.07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0.58</v>
      </c>
      <c r="U3432" s="5">
        <f>C3432+7</f>
        <v>40147</v>
      </c>
    </row>
    <row r="3433" ht="12.75" customHeight="1">
      <c r="A3433" s="4">
        <v>4878.0</v>
      </c>
      <c r="B3433" s="4">
        <v>34694.0</v>
      </c>
      <c r="C3433" s="5">
        <f>DATE(2012,12,31)-613</f>
        <v>40661</v>
      </c>
      <c r="D3433" s="4" t="s">
        <v>21</v>
      </c>
      <c r="E3433" s="4">
        <v>11.0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ht="12.75" customHeight="1">
      <c r="A3434" s="4">
        <v>4883.0</v>
      </c>
      <c r="B3434" s="4">
        <v>34725.0</v>
      </c>
      <c r="C3434" s="5">
        <f>DATE(2012,12,31)-523</f>
        <v>40751</v>
      </c>
      <c r="D3434" s="4" t="s">
        <v>21</v>
      </c>
      <c r="E3434" s="4">
        <v>14.0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138.14</v>
      </c>
      <c r="K3434" s="4">
        <v>35.0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1">C3434+2</f>
        <v>40753</v>
      </c>
    </row>
    <row r="3435" ht="12.75" customHeight="1">
      <c r="A3435" s="4">
        <v>4960.0</v>
      </c>
      <c r="B3435" s="4">
        <v>35296.0</v>
      </c>
      <c r="C3435" s="5">
        <f>DATE(2012,12,31)-651</f>
        <v>40623</v>
      </c>
      <c r="D3435" s="4" t="s">
        <v>21</v>
      </c>
      <c r="E3435" s="4">
        <v>7.0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65.99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1"/>
        <v>40625</v>
      </c>
    </row>
    <row r="3436" ht="12.75" customHeight="1">
      <c r="A3436" s="4">
        <v>4990.0</v>
      </c>
      <c r="B3436" s="4">
        <v>35494.0</v>
      </c>
      <c r="C3436" s="5">
        <f>DATE(2012,12,31)-686</f>
        <v>40588</v>
      </c>
      <c r="D3436" s="4" t="s">
        <v>63</v>
      </c>
      <c r="E3436" s="4">
        <v>18.0</v>
      </c>
      <c r="F3436" s="4">
        <v>1731.1040000000003</v>
      </c>
      <c r="G3436" s="4">
        <v>0.01</v>
      </c>
      <c r="H3436" s="4" t="s">
        <v>22</v>
      </c>
      <c r="I3436" s="6">
        <v>-270.573732</v>
      </c>
      <c r="J3436" s="4">
        <v>111.96</v>
      </c>
      <c r="K3436" s="4">
        <v>69.0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ht="12.75" customHeight="1">
      <c r="A3437" s="4">
        <v>5030.0</v>
      </c>
      <c r="B3437" s="4">
        <v>35845.0</v>
      </c>
      <c r="C3437" s="5">
        <f>DATE(2012,12,31)-725</f>
        <v>40549</v>
      </c>
      <c r="D3437" s="4" t="s">
        <v>30</v>
      </c>
      <c r="E3437" s="4">
        <v>15.0</v>
      </c>
      <c r="F3437" s="4">
        <v>5713.48</v>
      </c>
      <c r="G3437" s="4">
        <v>0.05</v>
      </c>
      <c r="H3437" s="4" t="s">
        <v>31</v>
      </c>
      <c r="I3437" s="6">
        <v>-712.5261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ht="12.75" customHeight="1">
      <c r="A3438" s="4">
        <v>5036.0</v>
      </c>
      <c r="B3438" s="4">
        <v>35905.0</v>
      </c>
      <c r="C3438" s="5">
        <f>DATE(2012,12,31)-316</f>
        <v>40958</v>
      </c>
      <c r="D3438" s="4" t="s">
        <v>21</v>
      </c>
      <c r="E3438" s="4">
        <v>20.0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ht="12.75" customHeight="1">
      <c r="A3439" s="4">
        <v>5240.0</v>
      </c>
      <c r="B3439" s="4">
        <v>37287.0</v>
      </c>
      <c r="C3439" s="5">
        <f>DATE(2012,12,31)-60</f>
        <v>41214</v>
      </c>
      <c r="D3439" s="4" t="s">
        <v>21</v>
      </c>
      <c r="E3439" s="4">
        <v>22.0</v>
      </c>
      <c r="F3439" s="4">
        <v>2052.2655</v>
      </c>
      <c r="G3439" s="4">
        <v>0.04</v>
      </c>
      <c r="H3439" s="4" t="s">
        <v>22</v>
      </c>
      <c r="I3439" s="6">
        <v>371.403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0.57</v>
      </c>
      <c r="U3439" s="5">
        <f>C3439+4</f>
        <v>41218</v>
      </c>
    </row>
    <row r="3440" ht="12.75" customHeight="1">
      <c r="A3440" s="4">
        <v>5263.0</v>
      </c>
      <c r="B3440" s="4">
        <v>37443.0</v>
      </c>
      <c r="C3440" s="5">
        <f>DATE(2012,12,31)-991</f>
        <v>40283</v>
      </c>
      <c r="D3440" s="4" t="s">
        <v>45</v>
      </c>
      <c r="E3440" s="4">
        <v>21.0</v>
      </c>
      <c r="F3440" s="4">
        <v>2172.7019999999998</v>
      </c>
      <c r="G3440" s="4">
        <v>0.01</v>
      </c>
      <c r="H3440" s="4" t="s">
        <v>22</v>
      </c>
      <c r="I3440" s="6">
        <v>481.743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0.57</v>
      </c>
      <c r="U3440" s="5">
        <f t="shared" ref="U3440:U3441" si="1422">C3440+2</f>
        <v>40285</v>
      </c>
    </row>
    <row r="3441" ht="12.75" customHeight="1">
      <c r="A3441" s="4">
        <v>5299.0</v>
      </c>
      <c r="B3441" s="4">
        <v>37731.0</v>
      </c>
      <c r="C3441" s="5">
        <f>DATE(2012,12,31)-1153</f>
        <v>40121</v>
      </c>
      <c r="D3441" s="4" t="s">
        <v>78</v>
      </c>
      <c r="E3441" s="4">
        <v>25.0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2"/>
        <v>40123</v>
      </c>
    </row>
    <row r="3442" ht="12.75" customHeight="1">
      <c r="A3442" s="4">
        <v>5310.0</v>
      </c>
      <c r="B3442" s="4">
        <v>37792.0</v>
      </c>
      <c r="C3442" s="5">
        <f>DATE(2012,12,31)-368</f>
        <v>40906</v>
      </c>
      <c r="D3442" s="4" t="s">
        <v>30</v>
      </c>
      <c r="E3442" s="4">
        <v>14.0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3">C3442+1</f>
        <v>40907</v>
      </c>
    </row>
    <row r="3443" ht="12.75" customHeight="1">
      <c r="A3443" s="4">
        <v>5334.0</v>
      </c>
      <c r="B3443" s="4">
        <v>37893.0</v>
      </c>
      <c r="C3443" s="5">
        <f>DATE(2012,12,31)-403</f>
        <v>40871</v>
      </c>
      <c r="D3443" s="4" t="s">
        <v>45</v>
      </c>
      <c r="E3443" s="4">
        <v>14.0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3"/>
        <v>40872</v>
      </c>
    </row>
    <row r="3444" ht="12.75" customHeight="1">
      <c r="A3444" s="4">
        <v>5399.0</v>
      </c>
      <c r="B3444" s="4">
        <v>38372.0</v>
      </c>
      <c r="C3444" s="5">
        <f>DATE(2012,12,31)-961</f>
        <v>40313</v>
      </c>
      <c r="D3444" s="4" t="s">
        <v>30</v>
      </c>
      <c r="E3444" s="4">
        <v>46.0</v>
      </c>
      <c r="F3444" s="4">
        <v>1053.84</v>
      </c>
      <c r="G3444" s="4">
        <v>0.0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ht="12.75" customHeight="1">
      <c r="A3445" s="4">
        <v>5427.0</v>
      </c>
      <c r="B3445" s="4">
        <v>38564.0</v>
      </c>
      <c r="C3445" s="5">
        <f>DATE(2012,12,31)-1155</f>
        <v>40119</v>
      </c>
      <c r="D3445" s="4" t="s">
        <v>78</v>
      </c>
      <c r="E3445" s="4">
        <v>37.0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57.0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ht="12.75" customHeight="1">
      <c r="A3446" s="4">
        <v>5477.0</v>
      </c>
      <c r="B3446" s="4">
        <v>38912.0</v>
      </c>
      <c r="C3446" s="5">
        <f>DATE(2012,12,31)-64</f>
        <v>41210</v>
      </c>
      <c r="D3446" s="4" t="s">
        <v>21</v>
      </c>
      <c r="E3446" s="4">
        <v>46.0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152.48</v>
      </c>
      <c r="K3446" s="4">
        <v>4.0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4">C3446+2</f>
        <v>41212</v>
      </c>
    </row>
    <row r="3447" ht="12.75" customHeight="1">
      <c r="A3447" s="4">
        <v>5493.0</v>
      </c>
      <c r="B3447" s="4">
        <v>38976.0</v>
      </c>
      <c r="C3447" s="5">
        <f>DATE(2012,12,31)-737</f>
        <v>40537</v>
      </c>
      <c r="D3447" s="4" t="s">
        <v>78</v>
      </c>
      <c r="E3447" s="4">
        <v>46.0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4"/>
        <v>40539</v>
      </c>
    </row>
    <row r="3448" ht="12.75" customHeight="1">
      <c r="A3448" s="4">
        <v>5503.0</v>
      </c>
      <c r="B3448" s="4">
        <v>39040.0</v>
      </c>
      <c r="C3448" s="5">
        <f>DATE(2012,12,31)-1320</f>
        <v>39954</v>
      </c>
      <c r="D3448" s="4" t="s">
        <v>78</v>
      </c>
      <c r="E3448" s="4">
        <v>26.0</v>
      </c>
      <c r="F3448" s="4">
        <v>1204.5095</v>
      </c>
      <c r="G3448" s="4">
        <v>0.03</v>
      </c>
      <c r="H3448" s="4" t="s">
        <v>22</v>
      </c>
      <c r="I3448" s="6">
        <v>-221.254</v>
      </c>
      <c r="J3448" s="4">
        <v>55.99</v>
      </c>
      <c r="K3448" s="4">
        <v>5.0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5">C3448+1</f>
        <v>39955</v>
      </c>
    </row>
    <row r="3449" ht="12.75" customHeight="1">
      <c r="A3449" s="4">
        <v>5530.0</v>
      </c>
      <c r="B3449" s="4">
        <v>39169.0</v>
      </c>
      <c r="C3449" s="5">
        <f>DATE(2012,12,31)-493</f>
        <v>40781</v>
      </c>
      <c r="D3449" s="4" t="s">
        <v>63</v>
      </c>
      <c r="E3449" s="4">
        <v>5.0</v>
      </c>
      <c r="F3449" s="4">
        <v>24.91</v>
      </c>
      <c r="G3449" s="4">
        <v>0.0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5"/>
        <v>40782</v>
      </c>
    </row>
    <row r="3450" ht="12.75" customHeight="1">
      <c r="A3450" s="4">
        <v>5538.0</v>
      </c>
      <c r="B3450" s="4">
        <v>39238.0</v>
      </c>
      <c r="C3450" s="5">
        <f>DATE(2012,12,31)-827</f>
        <v>40447</v>
      </c>
      <c r="D3450" s="4" t="s">
        <v>78</v>
      </c>
      <c r="E3450" s="4">
        <v>9.0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5"/>
        <v>40448</v>
      </c>
    </row>
    <row r="3451" ht="12.75" customHeight="1">
      <c r="A3451" s="4">
        <v>5567.0</v>
      </c>
      <c r="B3451" s="4">
        <v>39426.0</v>
      </c>
      <c r="C3451" s="5">
        <f>DATE(2012,12,31)-1315</f>
        <v>39959</v>
      </c>
      <c r="D3451" s="4" t="s">
        <v>78</v>
      </c>
      <c r="E3451" s="4">
        <v>21.0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5"/>
        <v>39960</v>
      </c>
    </row>
    <row r="3452" ht="12.75" customHeight="1">
      <c r="A3452" s="4">
        <v>5613.0</v>
      </c>
      <c r="B3452" s="4">
        <v>39780.0</v>
      </c>
      <c r="C3452" s="5">
        <f>DATE(2012,12,31)-1303</f>
        <v>39971</v>
      </c>
      <c r="D3452" s="4" t="s">
        <v>21</v>
      </c>
      <c r="E3452" s="4">
        <v>33.0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ht="12.75" customHeight="1">
      <c r="A3453" s="4">
        <v>5653.0</v>
      </c>
      <c r="B3453" s="4">
        <v>40005.0</v>
      </c>
      <c r="C3453" s="5">
        <f>DATE(2012,12,31)-890</f>
        <v>40384</v>
      </c>
      <c r="D3453" s="4" t="s">
        <v>30</v>
      </c>
      <c r="E3453" s="4">
        <v>9.0</v>
      </c>
      <c r="F3453" s="4">
        <v>130.43</v>
      </c>
      <c r="G3453" s="4">
        <v>0.03</v>
      </c>
      <c r="H3453" s="4" t="s">
        <v>22</v>
      </c>
      <c r="I3453" s="6">
        <v>-8.7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ht="12.75" customHeight="1">
      <c r="A3454" s="4">
        <v>5829.0</v>
      </c>
      <c r="B3454" s="4">
        <v>41350.0</v>
      </c>
      <c r="C3454" s="5">
        <f>DATE(2012,12,31)-968</f>
        <v>40306</v>
      </c>
      <c r="D3454" s="4" t="s">
        <v>63</v>
      </c>
      <c r="E3454" s="4">
        <v>1.0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19.99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0.58</v>
      </c>
      <c r="U3454" s="5">
        <f>C3454+1</f>
        <v>40307</v>
      </c>
    </row>
    <row r="3455" ht="12.75" customHeight="1">
      <c r="A3455" s="4">
        <v>5834.0</v>
      </c>
      <c r="B3455" s="4">
        <v>41383.0</v>
      </c>
      <c r="C3455" s="5">
        <f>DATE(2012,12,31)-964</f>
        <v>40310</v>
      </c>
      <c r="D3455" s="4" t="s">
        <v>21</v>
      </c>
      <c r="E3455" s="4">
        <v>38.0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ht="12.75" customHeight="1">
      <c r="A3456" s="4">
        <v>5900.0</v>
      </c>
      <c r="B3456" s="4">
        <v>41826.0</v>
      </c>
      <c r="C3456" s="5">
        <f>DATE(2012,12,31)-807</f>
        <v>40467</v>
      </c>
      <c r="D3456" s="4" t="s">
        <v>63</v>
      </c>
      <c r="E3456" s="4">
        <v>2.0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</v>
      </c>
      <c r="U3456" s="5">
        <f t="shared" ref="U3456:U3457" si="1426">C3456+2</f>
        <v>40469</v>
      </c>
    </row>
    <row r="3457" ht="12.75" customHeight="1">
      <c r="A3457" s="4">
        <v>5996.0</v>
      </c>
      <c r="B3457" s="4">
        <v>42471.0</v>
      </c>
      <c r="C3457" s="5">
        <f>DATE(2012,12,31)-297</f>
        <v>40977</v>
      </c>
      <c r="D3457" s="4" t="s">
        <v>21</v>
      </c>
      <c r="E3457" s="4">
        <v>23.0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6"/>
        <v>40979</v>
      </c>
    </row>
    <row r="3458" ht="12.75" customHeight="1">
      <c r="A3458" s="4">
        <v>6003.0</v>
      </c>
      <c r="B3458" s="4">
        <v>42528.0</v>
      </c>
      <c r="C3458" s="5">
        <f>DATE(2012,12,31)-1042</f>
        <v>40232</v>
      </c>
      <c r="D3458" s="4" t="s">
        <v>63</v>
      </c>
      <c r="E3458" s="4">
        <v>29.0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ht="12.75" customHeight="1">
      <c r="A3459" s="4">
        <v>6004.0</v>
      </c>
      <c r="B3459" s="4">
        <v>42529.0</v>
      </c>
      <c r="C3459" s="5">
        <f t="shared" ref="C3459:C3460" si="1427">DATE(2012,12,31)-813</f>
        <v>40461</v>
      </c>
      <c r="D3459" s="4" t="s">
        <v>21</v>
      </c>
      <c r="E3459" s="4">
        <v>2.0</v>
      </c>
      <c r="F3459" s="4">
        <v>6.34</v>
      </c>
      <c r="G3459" s="4">
        <v>0.08</v>
      </c>
      <c r="H3459" s="4" t="s">
        <v>22</v>
      </c>
      <c r="I3459" s="6">
        <v>-4.44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8">C3459+4</f>
        <v>40465</v>
      </c>
    </row>
    <row r="3460" ht="12.75" customHeight="1">
      <c r="A3460" s="4">
        <v>6006.0</v>
      </c>
      <c r="B3460" s="4">
        <v>42529.0</v>
      </c>
      <c r="C3460" s="5">
        <f t="shared" si="1427"/>
        <v>40461</v>
      </c>
      <c r="D3460" s="4" t="s">
        <v>21</v>
      </c>
      <c r="E3460" s="4">
        <v>48.0</v>
      </c>
      <c r="F3460" s="4">
        <v>2996.93</v>
      </c>
      <c r="G3460" s="4">
        <v>0.04</v>
      </c>
      <c r="H3460" s="4" t="s">
        <v>22</v>
      </c>
      <c r="I3460" s="6">
        <v>1060.87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0.57</v>
      </c>
      <c r="U3460" s="5">
        <f t="shared" si="1428"/>
        <v>40465</v>
      </c>
    </row>
    <row r="3461" ht="12.75" customHeight="1">
      <c r="A3461" s="4">
        <v>6095.0</v>
      </c>
      <c r="B3461" s="4">
        <v>43200.0</v>
      </c>
      <c r="C3461" s="5">
        <f t="shared" ref="C3461:C3462" si="1429">DATE(2012,12,31)-884</f>
        <v>40390</v>
      </c>
      <c r="D3461" s="4" t="s">
        <v>45</v>
      </c>
      <c r="E3461" s="4">
        <v>3.0</v>
      </c>
      <c r="F3461" s="4">
        <v>554.32</v>
      </c>
      <c r="G3461" s="4">
        <v>0.01</v>
      </c>
      <c r="H3461" s="4" t="s">
        <v>22</v>
      </c>
      <c r="I3461" s="6">
        <v>-62.1345</v>
      </c>
      <c r="J3461" s="4">
        <v>172.99</v>
      </c>
      <c r="K3461" s="4">
        <v>19.99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30">C3461+1</f>
        <v>40391</v>
      </c>
    </row>
    <row r="3462" ht="12.75" customHeight="1">
      <c r="A3462" s="4">
        <v>6096.0</v>
      </c>
      <c r="B3462" s="4">
        <v>43200.0</v>
      </c>
      <c r="C3462" s="5">
        <f t="shared" si="1429"/>
        <v>40390</v>
      </c>
      <c r="D3462" s="4" t="s">
        <v>45</v>
      </c>
      <c r="E3462" s="4">
        <v>15.0</v>
      </c>
      <c r="F3462" s="4">
        <v>1073.567</v>
      </c>
      <c r="G3462" s="4">
        <v>0.04</v>
      </c>
      <c r="H3462" s="4" t="s">
        <v>22</v>
      </c>
      <c r="I3462" s="6">
        <v>-305.965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30"/>
        <v>40391</v>
      </c>
    </row>
    <row r="3463" ht="12.75" customHeight="1">
      <c r="A3463" s="4">
        <v>6150.0</v>
      </c>
      <c r="B3463" s="4">
        <v>43553.0</v>
      </c>
      <c r="C3463" s="5">
        <f>DATE(2012,12,31)-1327</f>
        <v>39947</v>
      </c>
      <c r="D3463" s="4" t="s">
        <v>45</v>
      </c>
      <c r="E3463" s="4">
        <v>29.0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30"/>
        <v>39948</v>
      </c>
    </row>
    <row r="3464" ht="12.75" customHeight="1">
      <c r="A3464" s="4">
        <v>6217.0</v>
      </c>
      <c r="B3464" s="4">
        <v>44033.0</v>
      </c>
      <c r="C3464" s="5">
        <f>DATE(2012,12,31)-356</f>
        <v>40918</v>
      </c>
      <c r="D3464" s="4" t="s">
        <v>78</v>
      </c>
      <c r="E3464" s="4">
        <v>45.0</v>
      </c>
      <c r="F3464" s="4">
        <v>5811.97</v>
      </c>
      <c r="G3464" s="4">
        <v>0.03</v>
      </c>
      <c r="H3464" s="4" t="s">
        <v>31</v>
      </c>
      <c r="I3464" s="6">
        <v>-434.1480000000001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ht="12.75" customHeight="1">
      <c r="A3465" s="4">
        <v>6223.0</v>
      </c>
      <c r="B3465" s="4">
        <v>44065.0</v>
      </c>
      <c r="C3465" s="5">
        <f>DATE(2012,12,31)-912</f>
        <v>40362</v>
      </c>
      <c r="D3465" s="4" t="s">
        <v>21</v>
      </c>
      <c r="E3465" s="4">
        <v>23.0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ht="12.75" customHeight="1">
      <c r="A3466" s="4">
        <v>6299.0</v>
      </c>
      <c r="B3466" s="4">
        <v>44583.0</v>
      </c>
      <c r="C3466" s="5">
        <f>DATE(2012,12,31)-1184</f>
        <v>40090</v>
      </c>
      <c r="D3466" s="4" t="s">
        <v>21</v>
      </c>
      <c r="E3466" s="4">
        <v>21.0</v>
      </c>
      <c r="F3466" s="4">
        <v>315.07</v>
      </c>
      <c r="G3466" s="4">
        <v>0.02</v>
      </c>
      <c r="H3466" s="4" t="s">
        <v>22</v>
      </c>
      <c r="I3466" s="6">
        <v>95.0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1">C3466+2</f>
        <v>40092</v>
      </c>
    </row>
    <row r="3467" ht="12.75" customHeight="1">
      <c r="A3467" s="4">
        <v>6353.0</v>
      </c>
      <c r="B3467" s="4">
        <v>45030.0</v>
      </c>
      <c r="C3467" s="5">
        <f>DATE(2012,12,31)-891</f>
        <v>40383</v>
      </c>
      <c r="D3467" s="4" t="s">
        <v>30</v>
      </c>
      <c r="E3467" s="4">
        <v>1.0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0.57</v>
      </c>
      <c r="U3467" s="5">
        <f t="shared" si="1431"/>
        <v>40385</v>
      </c>
    </row>
    <row r="3468" ht="12.75" customHeight="1">
      <c r="A3468" s="4">
        <v>6487.0</v>
      </c>
      <c r="B3468" s="4">
        <v>46177.0</v>
      </c>
      <c r="C3468" s="5">
        <f>DATE(2012,12,31)-757</f>
        <v>40517</v>
      </c>
      <c r="D3468" s="4" t="s">
        <v>21</v>
      </c>
      <c r="E3468" s="4">
        <v>13.0</v>
      </c>
      <c r="F3468" s="4">
        <v>11169.95</v>
      </c>
      <c r="G3468" s="4">
        <v>0.07</v>
      </c>
      <c r="H3468" s="4" t="s">
        <v>22</v>
      </c>
      <c r="I3468" s="6">
        <v>3982.2245000000003</v>
      </c>
      <c r="J3468" s="4">
        <v>896.99</v>
      </c>
      <c r="K3468" s="4">
        <v>19.99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ht="12.75" customHeight="1">
      <c r="A3469" s="4">
        <v>6512.0</v>
      </c>
      <c r="B3469" s="4">
        <v>46341.0</v>
      </c>
      <c r="C3469" s="5">
        <f>DATE(2012,12,31)-1110</f>
        <v>40164</v>
      </c>
      <c r="D3469" s="4" t="s">
        <v>30</v>
      </c>
      <c r="E3469" s="4">
        <v>23.0</v>
      </c>
      <c r="F3469" s="4">
        <v>39.13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ht="12.75" customHeight="1">
      <c r="A3470" s="4">
        <v>6513.0</v>
      </c>
      <c r="B3470" s="4">
        <v>46368.0</v>
      </c>
      <c r="C3470" s="5">
        <f>DATE(2012,12,31)-251</f>
        <v>41023</v>
      </c>
      <c r="D3470" s="4" t="s">
        <v>30</v>
      </c>
      <c r="E3470" s="4">
        <v>48.0</v>
      </c>
      <c r="F3470" s="4">
        <v>166.13</v>
      </c>
      <c r="G3470" s="4">
        <v>0.0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</v>
      </c>
      <c r="U3470" s="5">
        <f>C3470+2</f>
        <v>41025</v>
      </c>
    </row>
    <row r="3471" ht="12.75" customHeight="1">
      <c r="A3471" s="4">
        <v>6541.0</v>
      </c>
      <c r="B3471" s="4">
        <v>46531.0</v>
      </c>
      <c r="C3471" s="5">
        <f>DATE(2012,12,31)-498</f>
        <v>40776</v>
      </c>
      <c r="D3471" s="4" t="s">
        <v>21</v>
      </c>
      <c r="E3471" s="4">
        <v>17.0</v>
      </c>
      <c r="F3471" s="4">
        <v>3064.658</v>
      </c>
      <c r="G3471" s="4">
        <v>0.01</v>
      </c>
      <c r="H3471" s="4" t="s">
        <v>22</v>
      </c>
      <c r="I3471" s="6">
        <v>447.336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0.58</v>
      </c>
      <c r="U3471" s="5">
        <f>C3471+5</f>
        <v>40781</v>
      </c>
    </row>
    <row r="3472" ht="12.75" customHeight="1">
      <c r="A3472" s="4">
        <v>6608.0</v>
      </c>
      <c r="B3472" s="4">
        <v>47012.0</v>
      </c>
      <c r="C3472" s="5">
        <f>DATE(2012,12,31)-963</f>
        <v>40311</v>
      </c>
      <c r="D3472" s="4" t="s">
        <v>21</v>
      </c>
      <c r="E3472" s="4">
        <v>35.0</v>
      </c>
      <c r="F3472" s="4">
        <v>584.42</v>
      </c>
      <c r="G3472" s="4">
        <v>0.08</v>
      </c>
      <c r="H3472" s="4" t="s">
        <v>56</v>
      </c>
      <c r="I3472" s="6">
        <v>-97.21</v>
      </c>
      <c r="J3472" s="4">
        <v>16.99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</v>
      </c>
      <c r="U3472" s="5">
        <f>C3472+4</f>
        <v>40315</v>
      </c>
    </row>
    <row r="3473" ht="12.75" customHeight="1">
      <c r="A3473" s="4">
        <v>6619.0</v>
      </c>
      <c r="B3473" s="4">
        <v>47106.0</v>
      </c>
      <c r="C3473" s="5">
        <f>DATE(2012,12,31)-433</f>
        <v>40841</v>
      </c>
      <c r="D3473" s="4" t="s">
        <v>63</v>
      </c>
      <c r="E3473" s="4">
        <v>37.0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0.57</v>
      </c>
      <c r="U3473" s="5">
        <f t="shared" ref="U3473:U3474" si="1432">C3473+2</f>
        <v>40843</v>
      </c>
    </row>
    <row r="3474" ht="12.75" customHeight="1">
      <c r="A3474" s="4">
        <v>6693.0</v>
      </c>
      <c r="B3474" s="4">
        <v>47621.0</v>
      </c>
      <c r="C3474" s="5">
        <f>DATE(2012,12,31)-1269</f>
        <v>40005</v>
      </c>
      <c r="D3474" s="4" t="s">
        <v>78</v>
      </c>
      <c r="E3474" s="4">
        <v>16.0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2"/>
        <v>40007</v>
      </c>
    </row>
    <row r="3475" ht="12.75" customHeight="1">
      <c r="A3475" s="4">
        <v>6839.0</v>
      </c>
      <c r="B3475" s="4">
        <v>48706.0</v>
      </c>
      <c r="C3475" s="5">
        <f>DATE(2012,12,31)-62</f>
        <v>41212</v>
      </c>
      <c r="D3475" s="4" t="s">
        <v>21</v>
      </c>
      <c r="E3475" s="4">
        <v>28.0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1.14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ht="12.75" customHeight="1">
      <c r="A3476" s="4">
        <v>6929.0</v>
      </c>
      <c r="B3476" s="4">
        <v>49443.0</v>
      </c>
      <c r="C3476" s="5">
        <f>DATE(2012,12,31)-708</f>
        <v>40566</v>
      </c>
      <c r="D3476" s="4" t="s">
        <v>30</v>
      </c>
      <c r="E3476" s="4">
        <v>41.0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3">C3476+1</f>
        <v>40567</v>
      </c>
    </row>
    <row r="3477" ht="12.75" customHeight="1">
      <c r="A3477" s="4">
        <v>6972.0</v>
      </c>
      <c r="B3477" s="4">
        <v>49824.0</v>
      </c>
      <c r="C3477" s="5">
        <f>DATE(2012,12,31)-650</f>
        <v>40624</v>
      </c>
      <c r="D3477" s="4" t="s">
        <v>30</v>
      </c>
      <c r="E3477" s="4">
        <v>33.0</v>
      </c>
      <c r="F3477" s="4">
        <v>1900.2259999999999</v>
      </c>
      <c r="G3477" s="4">
        <v>0.01</v>
      </c>
      <c r="H3477" s="4" t="s">
        <v>56</v>
      </c>
      <c r="I3477" s="6">
        <v>440.199</v>
      </c>
      <c r="J3477" s="4">
        <v>65.99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0.57</v>
      </c>
      <c r="U3477" s="5">
        <f t="shared" si="1433"/>
        <v>40625</v>
      </c>
    </row>
    <row r="3478" ht="12.75" customHeight="1">
      <c r="A3478" s="4">
        <v>7156.0</v>
      </c>
      <c r="B3478" s="4">
        <v>51047.0</v>
      </c>
      <c r="C3478" s="5">
        <f t="shared" ref="C3478:C3479" si="1434">DATE(2012,12,31)-1361</f>
        <v>39913</v>
      </c>
      <c r="D3478" s="4" t="s">
        <v>63</v>
      </c>
      <c r="E3478" s="4">
        <v>28.0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3"/>
        <v>39914</v>
      </c>
    </row>
    <row r="3479" ht="12.75" customHeight="1">
      <c r="A3479" s="4">
        <v>7157.0</v>
      </c>
      <c r="B3479" s="4">
        <v>51047.0</v>
      </c>
      <c r="C3479" s="5">
        <f t="shared" si="1434"/>
        <v>39913</v>
      </c>
      <c r="D3479" s="4" t="s">
        <v>63</v>
      </c>
      <c r="E3479" s="4">
        <v>38.0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3"/>
        <v>39914</v>
      </c>
    </row>
    <row r="3480" ht="12.75" customHeight="1">
      <c r="A3480" s="4">
        <v>7261.0</v>
      </c>
      <c r="B3480" s="4">
        <v>51783.0</v>
      </c>
      <c r="C3480" s="5">
        <f>DATE(2012,12,31)-416</f>
        <v>40858</v>
      </c>
      <c r="D3480" s="4" t="s">
        <v>63</v>
      </c>
      <c r="E3480" s="4">
        <v>47.0</v>
      </c>
      <c r="F3480" s="4">
        <v>3587.72</v>
      </c>
      <c r="G3480" s="4">
        <v>0.0</v>
      </c>
      <c r="H3480" s="4" t="s">
        <v>31</v>
      </c>
      <c r="I3480" s="6">
        <v>54.23085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ht="12.75" customHeight="1">
      <c r="A3481" s="4">
        <v>7556.0</v>
      </c>
      <c r="B3481" s="4">
        <v>54053.0</v>
      </c>
      <c r="C3481" s="5">
        <f>DATE(2012,12,31)-321</f>
        <v>40953</v>
      </c>
      <c r="D3481" s="4" t="s">
        <v>30</v>
      </c>
      <c r="E3481" s="4">
        <v>34.0</v>
      </c>
      <c r="F3481" s="4">
        <v>5634.3525</v>
      </c>
      <c r="G3481" s="4">
        <v>0.03</v>
      </c>
      <c r="H3481" s="4" t="s">
        <v>22</v>
      </c>
      <c r="I3481" s="6">
        <v>1185.408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ht="12.75" customHeight="1">
      <c r="A3482" s="4">
        <v>7630.0</v>
      </c>
      <c r="B3482" s="4">
        <v>54592.0</v>
      </c>
      <c r="C3482" s="5">
        <f>DATE(2012,12,31)-568</f>
        <v>40706</v>
      </c>
      <c r="D3482" s="4" t="s">
        <v>21</v>
      </c>
      <c r="E3482" s="4">
        <v>34.0</v>
      </c>
      <c r="F3482" s="4">
        <v>154.43</v>
      </c>
      <c r="G3482" s="4">
        <v>0.03</v>
      </c>
      <c r="H3482" s="4" t="s">
        <v>22</v>
      </c>
      <c r="I3482" s="6">
        <v>-133.77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5">C3482+2</f>
        <v>40708</v>
      </c>
    </row>
    <row r="3483" ht="12.75" customHeight="1">
      <c r="A3483" s="4">
        <v>7741.0</v>
      </c>
      <c r="B3483" s="4">
        <v>55425.0</v>
      </c>
      <c r="C3483" s="5">
        <f>DATE(2012,12,31)-426</f>
        <v>40848</v>
      </c>
      <c r="D3483" s="4" t="s">
        <v>78</v>
      </c>
      <c r="E3483" s="4">
        <v>8.0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5"/>
        <v>40850</v>
      </c>
    </row>
    <row r="3484" ht="12.75" customHeight="1">
      <c r="A3484" s="4">
        <v>7767.0</v>
      </c>
      <c r="B3484" s="4">
        <v>55616.0</v>
      </c>
      <c r="C3484" s="5">
        <f>DATE(2012,12,31)-603</f>
        <v>40671</v>
      </c>
      <c r="D3484" s="4" t="s">
        <v>30</v>
      </c>
      <c r="E3484" s="4">
        <v>24.0</v>
      </c>
      <c r="F3484" s="4">
        <v>437.47799999999995</v>
      </c>
      <c r="G3484" s="4">
        <v>0.02</v>
      </c>
      <c r="H3484" s="4" t="s">
        <v>22</v>
      </c>
      <c r="I3484" s="6">
        <v>-42.229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ht="12.75" customHeight="1">
      <c r="A3485" s="4">
        <v>7821.0</v>
      </c>
      <c r="B3485" s="4">
        <v>55909.0</v>
      </c>
      <c r="C3485" s="5">
        <f>DATE(2012,12,31)-1322</f>
        <v>39952</v>
      </c>
      <c r="D3485" s="4" t="s">
        <v>21</v>
      </c>
      <c r="E3485" s="4">
        <v>2.0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0.57</v>
      </c>
      <c r="U3485" s="5">
        <f>C3485+7</f>
        <v>39959</v>
      </c>
    </row>
    <row r="3486" ht="12.75" customHeight="1">
      <c r="A3486" s="4">
        <v>7825.0</v>
      </c>
      <c r="B3486" s="4">
        <v>55938.0</v>
      </c>
      <c r="C3486" s="5">
        <f>DATE(2012,12,31)-182</f>
        <v>41092</v>
      </c>
      <c r="D3486" s="4" t="s">
        <v>45</v>
      </c>
      <c r="E3486" s="4">
        <v>42.0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6">C3486+1</f>
        <v>41093</v>
      </c>
    </row>
    <row r="3487" ht="12.75" customHeight="1">
      <c r="A3487" s="4">
        <v>7866.0</v>
      </c>
      <c r="B3487" s="4">
        <v>56260.0</v>
      </c>
      <c r="C3487" s="5">
        <f>DATE(2012,12,31)-1234</f>
        <v>40040</v>
      </c>
      <c r="D3487" s="4" t="s">
        <v>45</v>
      </c>
      <c r="E3487" s="4">
        <v>34.0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6"/>
        <v>40041</v>
      </c>
    </row>
    <row r="3488" ht="12.75" customHeight="1">
      <c r="A3488" s="4">
        <v>7946.0</v>
      </c>
      <c r="B3488" s="4">
        <v>56768.0</v>
      </c>
      <c r="C3488" s="5">
        <f>DATE(2012,12,31)-523</f>
        <v>40751</v>
      </c>
      <c r="D3488" s="4" t="s">
        <v>78</v>
      </c>
      <c r="E3488" s="4">
        <v>13.0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14.0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6"/>
        <v>40752</v>
      </c>
    </row>
    <row r="3489" ht="12.75" customHeight="1">
      <c r="A3489" s="4">
        <v>8156.0</v>
      </c>
      <c r="B3489" s="4">
        <v>58337.0</v>
      </c>
      <c r="C3489" s="5">
        <f>DATE(2012,12,31)-1313</f>
        <v>39961</v>
      </c>
      <c r="D3489" s="4" t="s">
        <v>21</v>
      </c>
      <c r="E3489" s="4">
        <v>18.0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</v>
      </c>
      <c r="U3489" s="5">
        <f t="shared" ref="U3489:U3490" si="1437">C3489+2</f>
        <v>39963</v>
      </c>
    </row>
    <row r="3490" ht="12.75" customHeight="1">
      <c r="A3490" s="4">
        <v>8161.0</v>
      </c>
      <c r="B3490" s="4">
        <v>58343.0</v>
      </c>
      <c r="C3490" s="5">
        <f>DATE(2012,12,31)-1452</f>
        <v>39822</v>
      </c>
      <c r="D3490" s="4" t="s">
        <v>45</v>
      </c>
      <c r="E3490" s="4">
        <v>39.0</v>
      </c>
      <c r="F3490" s="4">
        <v>121.87</v>
      </c>
      <c r="G3490" s="4">
        <v>0.07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7"/>
        <v>39824</v>
      </c>
    </row>
    <row r="3491" ht="12.75" customHeight="1">
      <c r="A3491" s="4">
        <v>8299.0</v>
      </c>
      <c r="B3491" s="4">
        <v>59270.0</v>
      </c>
      <c r="C3491" s="5">
        <f>DATE(2012,12,31)-1085</f>
        <v>40189</v>
      </c>
      <c r="D3491" s="4" t="s">
        <v>30</v>
      </c>
      <c r="E3491" s="4">
        <v>5.0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ht="12.75" customHeight="1">
      <c r="A3492" s="4">
        <v>8342.0</v>
      </c>
      <c r="B3492" s="4">
        <v>59619.0</v>
      </c>
      <c r="C3492" s="5">
        <f>DATE(2012,12,31)-1052</f>
        <v>40222</v>
      </c>
      <c r="D3492" s="4" t="s">
        <v>45</v>
      </c>
      <c r="E3492" s="4">
        <v>35.0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8">C3492+2</f>
        <v>40224</v>
      </c>
    </row>
    <row r="3493" ht="12.75" customHeight="1">
      <c r="A3493" s="4">
        <v>8358.0</v>
      </c>
      <c r="B3493" s="4">
        <v>59714.0</v>
      </c>
      <c r="C3493" s="5">
        <f>DATE(2012,12,31)-749</f>
        <v>40525</v>
      </c>
      <c r="D3493" s="4" t="s">
        <v>78</v>
      </c>
      <c r="E3493" s="4">
        <v>26.0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60.0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8"/>
        <v>40527</v>
      </c>
    </row>
    <row r="3494" ht="12.75" customHeight="1">
      <c r="A3494" s="4">
        <v>8366.0</v>
      </c>
      <c r="B3494" s="4">
        <v>59781.0</v>
      </c>
      <c r="C3494" s="5">
        <f t="shared" ref="C3494:C3495" si="1439">DATE(2012,12,31)-19</f>
        <v>41255</v>
      </c>
      <c r="D3494" s="4" t="s">
        <v>45</v>
      </c>
      <c r="E3494" s="4">
        <v>18.0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8"/>
        <v>41257</v>
      </c>
    </row>
    <row r="3495" ht="12.75" customHeight="1">
      <c r="A3495" s="4">
        <v>8368.0</v>
      </c>
      <c r="B3495" s="4">
        <v>59781.0</v>
      </c>
      <c r="C3495" s="5">
        <f t="shared" si="1439"/>
        <v>41255</v>
      </c>
      <c r="D3495" s="4" t="s">
        <v>45</v>
      </c>
      <c r="E3495" s="4">
        <v>28.0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ht="12.75" customHeight="1">
      <c r="A3496" s="4">
        <v>14.0</v>
      </c>
      <c r="B3496" s="4">
        <v>70.0</v>
      </c>
      <c r="C3496" s="5">
        <f t="shared" ref="C3496:C3497" si="1440">DATE(2012,12,31)-745</f>
        <v>40529</v>
      </c>
      <c r="D3496" s="4" t="s">
        <v>21</v>
      </c>
      <c r="E3496" s="4">
        <v>48.0</v>
      </c>
      <c r="F3496" s="4">
        <v>90.05</v>
      </c>
      <c r="G3496" s="4">
        <v>0.03</v>
      </c>
      <c r="H3496" s="4" t="s">
        <v>22</v>
      </c>
      <c r="I3496" s="6">
        <v>-107.0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1">C3496+5</f>
        <v>40534</v>
      </c>
    </row>
    <row r="3497" ht="12.75" customHeight="1">
      <c r="A3497" s="4">
        <v>15.0</v>
      </c>
      <c r="B3497" s="4">
        <v>70.0</v>
      </c>
      <c r="C3497" s="5">
        <f t="shared" si="1440"/>
        <v>40529</v>
      </c>
      <c r="D3497" s="4" t="s">
        <v>21</v>
      </c>
      <c r="E3497" s="4">
        <v>46.0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1"/>
        <v>40534</v>
      </c>
    </row>
    <row r="3498" ht="12.75" customHeight="1">
      <c r="A3498" s="4">
        <v>25.0</v>
      </c>
      <c r="B3498" s="4">
        <v>135.0</v>
      </c>
      <c r="C3498" s="5">
        <f>DATE(2012,12,31)-438</f>
        <v>40836</v>
      </c>
      <c r="D3498" s="4" t="s">
        <v>45</v>
      </c>
      <c r="E3498" s="4">
        <v>25.0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2">C3498+2</f>
        <v>40838</v>
      </c>
    </row>
    <row r="3499" ht="12.75" customHeight="1">
      <c r="A3499" s="4">
        <v>27.0</v>
      </c>
      <c r="B3499" s="4">
        <v>193.0</v>
      </c>
      <c r="C3499" s="5">
        <f>DATE(2012,12,31)-877</f>
        <v>40397</v>
      </c>
      <c r="D3499" s="4" t="s">
        <v>78</v>
      </c>
      <c r="E3499" s="4">
        <v>14.0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0.57</v>
      </c>
      <c r="U3499" s="5">
        <f t="shared" si="1442"/>
        <v>40399</v>
      </c>
    </row>
    <row r="3500" ht="12.75" customHeight="1">
      <c r="A3500" s="4">
        <v>35.0</v>
      </c>
      <c r="B3500" s="4">
        <v>225.0</v>
      </c>
      <c r="C3500" s="5">
        <f t="shared" ref="C3500:C3501" si="1443">DATE(2012,12,31)-587</f>
        <v>40687</v>
      </c>
      <c r="D3500" s="4" t="s">
        <v>78</v>
      </c>
      <c r="E3500" s="4">
        <v>24.0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ht="12.75" customHeight="1">
      <c r="A3501" s="4">
        <v>36.0</v>
      </c>
      <c r="B3501" s="4">
        <v>225.0</v>
      </c>
      <c r="C3501" s="5">
        <f t="shared" si="1443"/>
        <v>40687</v>
      </c>
      <c r="D3501" s="4" t="s">
        <v>78</v>
      </c>
      <c r="E3501" s="4">
        <v>1.0</v>
      </c>
      <c r="F3501" s="4">
        <v>23.7</v>
      </c>
      <c r="G3501" s="4">
        <v>0.05</v>
      </c>
      <c r="H3501" s="4" t="s">
        <v>22</v>
      </c>
      <c r="I3501" s="6">
        <v>-8.97</v>
      </c>
      <c r="J3501" s="4">
        <v>19.84</v>
      </c>
      <c r="K3501" s="4">
        <v>4.1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ht="12.75" customHeight="1">
      <c r="A3502" s="4">
        <v>47.0</v>
      </c>
      <c r="B3502" s="4">
        <v>290.0</v>
      </c>
      <c r="C3502" s="5">
        <f>DATE(2012,12,31)-1456</f>
        <v>39818</v>
      </c>
      <c r="D3502" s="4" t="s">
        <v>45</v>
      </c>
      <c r="E3502" s="4">
        <v>24.0</v>
      </c>
      <c r="F3502" s="4">
        <v>188.73</v>
      </c>
      <c r="G3502" s="4">
        <v>0.05</v>
      </c>
      <c r="H3502" s="4" t="s">
        <v>22</v>
      </c>
      <c r="I3502" s="6">
        <v>-32.48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4">C3502+1</f>
        <v>39819</v>
      </c>
    </row>
    <row r="3503" ht="12.75" customHeight="1">
      <c r="A3503" s="4">
        <v>104.0</v>
      </c>
      <c r="B3503" s="4">
        <v>644.0</v>
      </c>
      <c r="C3503" s="5">
        <f>DATE(2012,12,31)-245</f>
        <v>41029</v>
      </c>
      <c r="D3503" s="4" t="s">
        <v>78</v>
      </c>
      <c r="E3503" s="4">
        <v>5.0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0.57</v>
      </c>
      <c r="U3503" s="5">
        <f t="shared" si="1444"/>
        <v>41030</v>
      </c>
    </row>
    <row r="3504" ht="12.75" customHeight="1">
      <c r="A3504" s="4">
        <v>112.0</v>
      </c>
      <c r="B3504" s="4">
        <v>738.0</v>
      </c>
      <c r="C3504" s="5">
        <f t="shared" ref="C3504:C3505" si="1445">DATE(2012,12,31)-1036</f>
        <v>40238</v>
      </c>
      <c r="D3504" s="4" t="s">
        <v>45</v>
      </c>
      <c r="E3504" s="4">
        <v>7.0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ht="12.75" customHeight="1">
      <c r="A3505" s="4">
        <v>113.0</v>
      </c>
      <c r="B3505" s="4">
        <v>738.0</v>
      </c>
      <c r="C3505" s="5">
        <f t="shared" si="1445"/>
        <v>40238</v>
      </c>
      <c r="D3505" s="4" t="s">
        <v>45</v>
      </c>
      <c r="E3505" s="4">
        <v>31.0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ht="12.75" customHeight="1">
      <c r="A3506" s="4">
        <v>117.0</v>
      </c>
      <c r="B3506" s="4">
        <v>772.0</v>
      </c>
      <c r="C3506" s="5">
        <f t="shared" ref="C3506:C3507" si="1446">DATE(2012,12,31)-990</f>
        <v>40284</v>
      </c>
      <c r="D3506" s="4" t="s">
        <v>30</v>
      </c>
      <c r="E3506" s="4">
        <v>35.0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7">C3506+2</f>
        <v>40286</v>
      </c>
    </row>
    <row r="3507" ht="12.75" customHeight="1">
      <c r="A3507" s="4">
        <v>118.0</v>
      </c>
      <c r="B3507" s="4">
        <v>772.0</v>
      </c>
      <c r="C3507" s="5">
        <f t="shared" si="1446"/>
        <v>40284</v>
      </c>
      <c r="D3507" s="4" t="s">
        <v>30</v>
      </c>
      <c r="E3507" s="4">
        <v>25.0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7"/>
        <v>40286</v>
      </c>
    </row>
    <row r="3508" ht="12.75" customHeight="1">
      <c r="A3508" s="4">
        <v>181.0</v>
      </c>
      <c r="B3508" s="4">
        <v>1189.0</v>
      </c>
      <c r="C3508" s="5">
        <f>DATE(2012,12,31)-1363</f>
        <v>39911</v>
      </c>
      <c r="D3508" s="4" t="s">
        <v>78</v>
      </c>
      <c r="E3508" s="4">
        <v>27.0</v>
      </c>
      <c r="F3508" s="4">
        <v>129.1</v>
      </c>
      <c r="G3508" s="4">
        <v>0.0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ht="12.75" customHeight="1">
      <c r="A3509" s="4">
        <v>263.0</v>
      </c>
      <c r="B3509" s="4">
        <v>1825.0</v>
      </c>
      <c r="C3509" s="5">
        <f>DATE(2012,12,31)-758</f>
        <v>40516</v>
      </c>
      <c r="D3509" s="4" t="s">
        <v>63</v>
      </c>
      <c r="E3509" s="4">
        <v>22.0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</v>
      </c>
      <c r="U3509" s="5">
        <f>C3509+2</f>
        <v>40518</v>
      </c>
    </row>
    <row r="3510" ht="12.75" customHeight="1">
      <c r="A3510" s="4">
        <v>355.0</v>
      </c>
      <c r="B3510" s="4">
        <v>2467.0</v>
      </c>
      <c r="C3510" s="5">
        <f>DATE(2012,12,31)-535</f>
        <v>40739</v>
      </c>
      <c r="D3510" s="4" t="s">
        <v>45</v>
      </c>
      <c r="E3510" s="4">
        <v>30.0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145.45</v>
      </c>
      <c r="K3510" s="4">
        <v>17.85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</v>
      </c>
      <c r="U3510" s="5">
        <f>C3510+1</f>
        <v>40740</v>
      </c>
    </row>
    <row r="3511" ht="12.75" customHeight="1">
      <c r="A3511" s="4">
        <v>446.0</v>
      </c>
      <c r="B3511" s="4">
        <v>3014.0</v>
      </c>
      <c r="C3511" s="5">
        <f>DATE(2012,12,31)-63</f>
        <v>41211</v>
      </c>
      <c r="D3511" s="4" t="s">
        <v>45</v>
      </c>
      <c r="E3511" s="4">
        <v>13.0</v>
      </c>
      <c r="F3511" s="4">
        <v>4002.14</v>
      </c>
      <c r="G3511" s="4">
        <v>0.02</v>
      </c>
      <c r="H3511" s="4" t="s">
        <v>22</v>
      </c>
      <c r="I3511" s="6">
        <v>1314.389</v>
      </c>
      <c r="J3511" s="4">
        <v>304.99</v>
      </c>
      <c r="K3511" s="4">
        <v>19.99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ht="12.75" customHeight="1">
      <c r="A3512" s="4">
        <v>450.0</v>
      </c>
      <c r="B3512" s="4">
        <v>3073.0</v>
      </c>
      <c r="C3512" s="5">
        <f t="shared" ref="C3512:C3514" si="1448">DATE(2012,12,31)-1454</f>
        <v>39820</v>
      </c>
      <c r="D3512" s="4" t="s">
        <v>63</v>
      </c>
      <c r="E3512" s="4">
        <v>3.0</v>
      </c>
      <c r="F3512" s="4">
        <v>10.58</v>
      </c>
      <c r="G3512" s="4">
        <v>0.05</v>
      </c>
      <c r="H3512" s="4" t="s">
        <v>22</v>
      </c>
      <c r="I3512" s="6">
        <v>-11.5805</v>
      </c>
      <c r="J3512" s="4">
        <v>1.98</v>
      </c>
      <c r="K3512" s="4">
        <v>4.77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9">C3512+1</f>
        <v>39821</v>
      </c>
    </row>
    <row r="3513" ht="12.75" customHeight="1">
      <c r="A3513" s="4">
        <v>451.0</v>
      </c>
      <c r="B3513" s="4">
        <v>3073.0</v>
      </c>
      <c r="C3513" s="5">
        <f t="shared" si="1448"/>
        <v>39820</v>
      </c>
      <c r="D3513" s="4" t="s">
        <v>63</v>
      </c>
      <c r="E3513" s="4">
        <v>3.0</v>
      </c>
      <c r="F3513" s="4">
        <v>2119.67</v>
      </c>
      <c r="G3513" s="4">
        <v>0.07</v>
      </c>
      <c r="H3513" s="4" t="s">
        <v>56</v>
      </c>
      <c r="I3513" s="6">
        <v>-2314.74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9"/>
        <v>39821</v>
      </c>
    </row>
    <row r="3514" ht="12.75" customHeight="1">
      <c r="A3514" s="4">
        <v>452.0</v>
      </c>
      <c r="B3514" s="4">
        <v>3073.0</v>
      </c>
      <c r="C3514" s="5">
        <f t="shared" si="1448"/>
        <v>39820</v>
      </c>
      <c r="D3514" s="4" t="s">
        <v>63</v>
      </c>
      <c r="E3514" s="4">
        <v>7.0</v>
      </c>
      <c r="F3514" s="4">
        <v>45923.76</v>
      </c>
      <c r="G3514" s="4">
        <v>0.07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9"/>
        <v>39821</v>
      </c>
    </row>
    <row r="3515" ht="12.75" customHeight="1">
      <c r="A3515" s="4">
        <v>464.0</v>
      </c>
      <c r="B3515" s="4">
        <v>3168.0</v>
      </c>
      <c r="C3515" s="5">
        <f>DATE(2012,12,31)-337</f>
        <v>40937</v>
      </c>
      <c r="D3515" s="4" t="s">
        <v>21</v>
      </c>
      <c r="E3515" s="4">
        <v>14.0</v>
      </c>
      <c r="F3515" s="4">
        <v>80.6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ht="12.75" customHeight="1">
      <c r="A3516" s="4">
        <v>469.0</v>
      </c>
      <c r="B3516" s="4">
        <v>3205.0</v>
      </c>
      <c r="C3516" s="5">
        <f t="shared" ref="C3516:C3517" si="1450">DATE(2012,12,31)-265</f>
        <v>41009</v>
      </c>
      <c r="D3516" s="4" t="s">
        <v>21</v>
      </c>
      <c r="E3516" s="4">
        <v>8.0</v>
      </c>
      <c r="F3516" s="4">
        <v>136.61</v>
      </c>
      <c r="G3516" s="4">
        <v>0.01</v>
      </c>
      <c r="H3516" s="4" t="s">
        <v>22</v>
      </c>
      <c r="I3516" s="6">
        <v>80.43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ht="12.75" customHeight="1">
      <c r="A3517" s="4">
        <v>470.0</v>
      </c>
      <c r="B3517" s="4">
        <v>3205.0</v>
      </c>
      <c r="C3517" s="5">
        <f t="shared" si="1450"/>
        <v>41009</v>
      </c>
      <c r="D3517" s="4" t="s">
        <v>21</v>
      </c>
      <c r="E3517" s="4">
        <v>42.0</v>
      </c>
      <c r="F3517" s="4">
        <v>2907.63</v>
      </c>
      <c r="G3517" s="4">
        <v>0.04</v>
      </c>
      <c r="H3517" s="4" t="s">
        <v>56</v>
      </c>
      <c r="I3517" s="6">
        <v>54.59805000000001</v>
      </c>
      <c r="J3517" s="4">
        <v>71.37</v>
      </c>
      <c r="K3517" s="4">
        <v>69.0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ht="12.75" customHeight="1">
      <c r="A3518" s="4">
        <v>520.0</v>
      </c>
      <c r="B3518" s="4">
        <v>3559.0</v>
      </c>
      <c r="C3518" s="5">
        <f>DATE(2012,12,31)-69</f>
        <v>41205</v>
      </c>
      <c r="D3518" s="4" t="s">
        <v>63</v>
      </c>
      <c r="E3518" s="4">
        <v>34.0</v>
      </c>
      <c r="F3518" s="4">
        <v>136.67</v>
      </c>
      <c r="G3518" s="4">
        <v>0.07</v>
      </c>
      <c r="H3518" s="4" t="s">
        <v>56</v>
      </c>
      <c r="I3518" s="6">
        <v>-117.921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1">C3518+1</f>
        <v>41206</v>
      </c>
    </row>
    <row r="3519" ht="12.75" customHeight="1">
      <c r="A3519" s="4">
        <v>523.0</v>
      </c>
      <c r="B3519" s="4">
        <v>3586.0</v>
      </c>
      <c r="C3519" s="5">
        <f t="shared" ref="C3519:C3520" si="1452">DATE(2012,12,31)-758</f>
        <v>40516</v>
      </c>
      <c r="D3519" s="4" t="s">
        <v>30</v>
      </c>
      <c r="E3519" s="4">
        <v>32.0</v>
      </c>
      <c r="F3519" s="4">
        <v>383.57</v>
      </c>
      <c r="G3519" s="4">
        <v>0.06</v>
      </c>
      <c r="H3519" s="4" t="s">
        <v>22</v>
      </c>
      <c r="I3519" s="6">
        <v>70.51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1"/>
        <v>40517</v>
      </c>
    </row>
    <row r="3520" ht="12.75" customHeight="1">
      <c r="A3520" s="4">
        <v>524.0</v>
      </c>
      <c r="B3520" s="4">
        <v>3586.0</v>
      </c>
      <c r="C3520" s="5">
        <f t="shared" si="1452"/>
        <v>40516</v>
      </c>
      <c r="D3520" s="4" t="s">
        <v>30</v>
      </c>
      <c r="E3520" s="4">
        <v>31.0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5.0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3">C3520+2</f>
        <v>40518</v>
      </c>
    </row>
    <row r="3521" ht="12.75" customHeight="1">
      <c r="A3521" s="4">
        <v>554.0</v>
      </c>
      <c r="B3521" s="4">
        <v>3750.0</v>
      </c>
      <c r="C3521" s="5">
        <f>DATE(2012,12,31)-612</f>
        <v>40662</v>
      </c>
      <c r="D3521" s="4" t="s">
        <v>63</v>
      </c>
      <c r="E3521" s="4">
        <v>12.0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3"/>
        <v>40664</v>
      </c>
    </row>
    <row r="3522" ht="12.75" customHeight="1">
      <c r="A3522" s="4">
        <v>556.0</v>
      </c>
      <c r="B3522" s="4">
        <v>3778.0</v>
      </c>
      <c r="C3522" s="5">
        <f t="shared" ref="C3522:C3525" si="1454">DATE(2012,12,31)-951</f>
        <v>40323</v>
      </c>
      <c r="D3522" s="4" t="s">
        <v>78</v>
      </c>
      <c r="E3522" s="4">
        <v>34.0</v>
      </c>
      <c r="F3522" s="4">
        <v>268.09</v>
      </c>
      <c r="G3522" s="4">
        <v>0.07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3"/>
        <v>40325</v>
      </c>
    </row>
    <row r="3523" ht="12.75" customHeight="1">
      <c r="A3523" s="4">
        <v>557.0</v>
      </c>
      <c r="B3523" s="4">
        <v>3778.0</v>
      </c>
      <c r="C3523" s="5">
        <f t="shared" si="1454"/>
        <v>40323</v>
      </c>
      <c r="D3523" s="4" t="s">
        <v>78</v>
      </c>
      <c r="E3523" s="4">
        <v>12.0</v>
      </c>
      <c r="F3523" s="4">
        <v>557.03</v>
      </c>
      <c r="G3523" s="4">
        <v>0.04</v>
      </c>
      <c r="H3523" s="4" t="s">
        <v>22</v>
      </c>
      <c r="I3523" s="6">
        <v>8.95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</v>
      </c>
      <c r="U3523" s="5">
        <f t="shared" ref="U3523:U3525" si="1455">C3523+1</f>
        <v>40324</v>
      </c>
    </row>
    <row r="3524" ht="12.75" customHeight="1">
      <c r="A3524" s="4">
        <v>558.0</v>
      </c>
      <c r="B3524" s="4">
        <v>3778.0</v>
      </c>
      <c r="C3524" s="5">
        <f t="shared" si="1454"/>
        <v>40323</v>
      </c>
      <c r="D3524" s="4" t="s">
        <v>78</v>
      </c>
      <c r="E3524" s="4">
        <v>3.0</v>
      </c>
      <c r="F3524" s="4">
        <v>26.53</v>
      </c>
      <c r="G3524" s="4">
        <v>0.05</v>
      </c>
      <c r="H3524" s="4" t="s">
        <v>22</v>
      </c>
      <c r="I3524" s="6">
        <v>-15.0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5"/>
        <v>40324</v>
      </c>
    </row>
    <row r="3525" ht="12.75" customHeight="1">
      <c r="A3525" s="4">
        <v>559.0</v>
      </c>
      <c r="B3525" s="4">
        <v>3778.0</v>
      </c>
      <c r="C3525" s="5">
        <f t="shared" si="1454"/>
        <v>40323</v>
      </c>
      <c r="D3525" s="4" t="s">
        <v>78</v>
      </c>
      <c r="E3525" s="4">
        <v>34.0</v>
      </c>
      <c r="F3525" s="4">
        <v>5133.9235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5"/>
        <v>40324</v>
      </c>
    </row>
    <row r="3526" ht="12.75" customHeight="1">
      <c r="A3526" s="4">
        <v>566.0</v>
      </c>
      <c r="B3526" s="4">
        <v>3841.0</v>
      </c>
      <c r="C3526" s="5">
        <f t="shared" ref="C3526:C3528" si="1456">DATE(2012,12,31)-1184</f>
        <v>40090</v>
      </c>
      <c r="D3526" s="4" t="s">
        <v>45</v>
      </c>
      <c r="E3526" s="4">
        <v>19.0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49.0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7">C3526+2</f>
        <v>40092</v>
      </c>
    </row>
    <row r="3527" ht="12.75" customHeight="1">
      <c r="A3527" s="4">
        <v>567.0</v>
      </c>
      <c r="B3527" s="4">
        <v>3841.0</v>
      </c>
      <c r="C3527" s="5">
        <f t="shared" si="1456"/>
        <v>40090</v>
      </c>
      <c r="D3527" s="4" t="s">
        <v>45</v>
      </c>
      <c r="E3527" s="4">
        <v>20.0</v>
      </c>
      <c r="F3527" s="4">
        <v>25409.63</v>
      </c>
      <c r="G3527" s="4">
        <v>0.02</v>
      </c>
      <c r="H3527" s="4" t="s">
        <v>22</v>
      </c>
      <c r="I3527" s="6">
        <v>11535.282</v>
      </c>
      <c r="J3527" s="4">
        <v>1270.99</v>
      </c>
      <c r="K3527" s="4">
        <v>19.99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7"/>
        <v>40092</v>
      </c>
    </row>
    <row r="3528" ht="12.75" customHeight="1">
      <c r="A3528" s="4">
        <v>568.0</v>
      </c>
      <c r="B3528" s="4">
        <v>3841.0</v>
      </c>
      <c r="C3528" s="5">
        <f t="shared" si="1456"/>
        <v>40090</v>
      </c>
      <c r="D3528" s="4" t="s">
        <v>45</v>
      </c>
      <c r="E3528" s="4">
        <v>43.0</v>
      </c>
      <c r="F3528" s="4">
        <v>7308.282999999999</v>
      </c>
      <c r="G3528" s="4">
        <v>0.05</v>
      </c>
      <c r="H3528" s="4" t="s">
        <v>56</v>
      </c>
      <c r="I3528" s="6">
        <v>1680.228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7"/>
        <v>40092</v>
      </c>
    </row>
    <row r="3529" ht="12.75" customHeight="1">
      <c r="A3529" s="4">
        <v>584.0</v>
      </c>
      <c r="B3529" s="4">
        <v>4004.0</v>
      </c>
      <c r="C3529" s="5">
        <f t="shared" ref="C3529:C3530" si="1458">DATE(2012,12,31)-970</f>
        <v>40304</v>
      </c>
      <c r="D3529" s="4" t="s">
        <v>63</v>
      </c>
      <c r="E3529" s="4">
        <v>14.0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ht="12.75" customHeight="1">
      <c r="A3530" s="4">
        <v>585.0</v>
      </c>
      <c r="B3530" s="4">
        <v>4004.0</v>
      </c>
      <c r="C3530" s="5">
        <f t="shared" si="1458"/>
        <v>40304</v>
      </c>
      <c r="D3530" s="4" t="s">
        <v>63</v>
      </c>
      <c r="E3530" s="4">
        <v>44.0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</v>
      </c>
      <c r="U3530" s="5">
        <f t="shared" ref="U3530:U3532" si="1459">C3530+1</f>
        <v>40305</v>
      </c>
    </row>
    <row r="3531" ht="12.75" customHeight="1">
      <c r="A3531" s="4">
        <v>599.0</v>
      </c>
      <c r="B3531" s="4">
        <v>4096.0</v>
      </c>
      <c r="C3531" s="5">
        <f>DATE(2012,12,31)-182</f>
        <v>41092</v>
      </c>
      <c r="D3531" s="4" t="s">
        <v>45</v>
      </c>
      <c r="E3531" s="4">
        <v>21.0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9"/>
        <v>41093</v>
      </c>
    </row>
    <row r="3532" ht="12.75" customHeight="1">
      <c r="A3532" s="4">
        <v>682.0</v>
      </c>
      <c r="B3532" s="4">
        <v>4769.0</v>
      </c>
      <c r="C3532" s="5">
        <f>DATE(2012,12,31)-628</f>
        <v>40646</v>
      </c>
      <c r="D3532" s="4" t="s">
        <v>45</v>
      </c>
      <c r="E3532" s="4">
        <v>41.0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9"/>
        <v>40647</v>
      </c>
    </row>
    <row r="3533" ht="12.75" customHeight="1">
      <c r="A3533" s="4">
        <v>688.0</v>
      </c>
      <c r="B3533" s="4">
        <v>4800.0</v>
      </c>
      <c r="C3533" s="5">
        <f t="shared" ref="C3533:C3535" si="1460">DATE(2012,12,31)-361</f>
        <v>40913</v>
      </c>
      <c r="D3533" s="4" t="s">
        <v>21</v>
      </c>
      <c r="E3533" s="4">
        <v>4.0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8.04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1">C3533+7</f>
        <v>40920</v>
      </c>
    </row>
    <row r="3534" ht="12.75" customHeight="1">
      <c r="A3534" s="4">
        <v>689.0</v>
      </c>
      <c r="B3534" s="4">
        <v>4800.0</v>
      </c>
      <c r="C3534" s="5">
        <f t="shared" si="1460"/>
        <v>40913</v>
      </c>
      <c r="D3534" s="4" t="s">
        <v>21</v>
      </c>
      <c r="E3534" s="4">
        <v>17.0</v>
      </c>
      <c r="F3534" s="4">
        <v>89.25</v>
      </c>
      <c r="G3534" s="4">
        <v>0.01</v>
      </c>
      <c r="H3534" s="4" t="s">
        <v>22</v>
      </c>
      <c r="I3534" s="6">
        <v>40.88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1"/>
        <v>40920</v>
      </c>
    </row>
    <row r="3535" ht="12.75" customHeight="1">
      <c r="A3535" s="4">
        <v>690.0</v>
      </c>
      <c r="B3535" s="4">
        <v>4800.0</v>
      </c>
      <c r="C3535" s="5">
        <f t="shared" si="1460"/>
        <v>40913</v>
      </c>
      <c r="D3535" s="4" t="s">
        <v>21</v>
      </c>
      <c r="E3535" s="4">
        <v>7.0</v>
      </c>
      <c r="F3535" s="4">
        <v>79.81</v>
      </c>
      <c r="G3535" s="4">
        <v>0.07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</v>
      </c>
      <c r="U3535" s="5">
        <f>C3535+5</f>
        <v>40918</v>
      </c>
    </row>
    <row r="3536" ht="12.75" customHeight="1">
      <c r="A3536" s="4">
        <v>778.0</v>
      </c>
      <c r="B3536" s="4">
        <v>5543.0</v>
      </c>
      <c r="C3536" s="5">
        <f t="shared" ref="C3536:C3538" si="1462">DATE(2012,12,31)-829</f>
        <v>40445</v>
      </c>
      <c r="D3536" s="4" t="s">
        <v>63</v>
      </c>
      <c r="E3536" s="4">
        <v>15.0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</v>
      </c>
      <c r="U3536" s="5">
        <f>C3536+2</f>
        <v>40447</v>
      </c>
    </row>
    <row r="3537" ht="12.75" customHeight="1">
      <c r="A3537" s="4">
        <v>779.0</v>
      </c>
      <c r="B3537" s="4">
        <v>5543.0</v>
      </c>
      <c r="C3537" s="5">
        <f t="shared" si="1462"/>
        <v>40445</v>
      </c>
      <c r="D3537" s="4" t="s">
        <v>63</v>
      </c>
      <c r="E3537" s="4">
        <v>6.0</v>
      </c>
      <c r="F3537" s="4">
        <v>65.93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ht="12.75" customHeight="1">
      <c r="A3538" s="4">
        <v>780.0</v>
      </c>
      <c r="B3538" s="4">
        <v>5543.0</v>
      </c>
      <c r="C3538" s="5">
        <f t="shared" si="1462"/>
        <v>40445</v>
      </c>
      <c r="D3538" s="4" t="s">
        <v>63</v>
      </c>
      <c r="E3538" s="4">
        <v>27.0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</v>
      </c>
      <c r="K3538" s="4">
        <v>5.0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3">C3538+2</f>
        <v>40447</v>
      </c>
    </row>
    <row r="3539" ht="12.75" customHeight="1">
      <c r="A3539" s="4">
        <v>789.0</v>
      </c>
      <c r="B3539" s="4">
        <v>5636.0</v>
      </c>
      <c r="C3539" s="5">
        <f>DATE(2012,12,31)-685</f>
        <v>40589</v>
      </c>
      <c r="D3539" s="4" t="s">
        <v>63</v>
      </c>
      <c r="E3539" s="4">
        <v>23.0</v>
      </c>
      <c r="F3539" s="4">
        <v>138.17</v>
      </c>
      <c r="G3539" s="4">
        <v>0.0</v>
      </c>
      <c r="H3539" s="4" t="s">
        <v>22</v>
      </c>
      <c r="I3539" s="6">
        <v>-1.09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</v>
      </c>
      <c r="U3539" s="5">
        <f t="shared" si="1463"/>
        <v>40591</v>
      </c>
    </row>
    <row r="3540" ht="12.75" customHeight="1">
      <c r="A3540" s="4">
        <v>843.0</v>
      </c>
      <c r="B3540" s="4">
        <v>6050.0</v>
      </c>
      <c r="C3540" s="5">
        <f t="shared" ref="C3540:C3541" si="1464">DATE(2012,12,31)-1009</f>
        <v>40265</v>
      </c>
      <c r="D3540" s="4" t="s">
        <v>21</v>
      </c>
      <c r="E3540" s="4">
        <v>3.0</v>
      </c>
      <c r="F3540" s="4">
        <v>261.94</v>
      </c>
      <c r="G3540" s="4">
        <v>0.06</v>
      </c>
      <c r="H3540" s="4" t="s">
        <v>31</v>
      </c>
      <c r="I3540" s="6">
        <v>-219.7794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ht="12.75" customHeight="1">
      <c r="A3541" s="4">
        <v>844.0</v>
      </c>
      <c r="B3541" s="4">
        <v>6050.0</v>
      </c>
      <c r="C3541" s="5">
        <f t="shared" si="1464"/>
        <v>40265</v>
      </c>
      <c r="D3541" s="4" t="s">
        <v>21</v>
      </c>
      <c r="E3541" s="4">
        <v>47.0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69.0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ht="12.75" customHeight="1">
      <c r="A3542" s="4">
        <v>857.0</v>
      </c>
      <c r="B3542" s="4">
        <v>6148.0</v>
      </c>
      <c r="C3542" s="5">
        <f t="shared" ref="C3542:C3543" si="1465">DATE(2012,12,31)-373</f>
        <v>40901</v>
      </c>
      <c r="D3542" s="4" t="s">
        <v>63</v>
      </c>
      <c r="E3542" s="4">
        <v>50.0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0.57</v>
      </c>
      <c r="U3542" s="5">
        <f t="shared" ref="U3542:U3543" si="1466">C3542+1</f>
        <v>40902</v>
      </c>
    </row>
    <row r="3543" ht="12.75" customHeight="1">
      <c r="A3543" s="4">
        <v>858.0</v>
      </c>
      <c r="B3543" s="4">
        <v>6148.0</v>
      </c>
      <c r="C3543" s="5">
        <f t="shared" si="1465"/>
        <v>40901</v>
      </c>
      <c r="D3543" s="4" t="s">
        <v>63</v>
      </c>
      <c r="E3543" s="4">
        <v>18.0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6"/>
        <v>40902</v>
      </c>
    </row>
    <row r="3544" ht="12.75" customHeight="1">
      <c r="A3544" s="4">
        <v>930.0</v>
      </c>
      <c r="B3544" s="4">
        <v>6727.0</v>
      </c>
      <c r="C3544" s="5">
        <f>DATE(2012,12,31)-1220</f>
        <v>40054</v>
      </c>
      <c r="D3544" s="4" t="s">
        <v>21</v>
      </c>
      <c r="E3544" s="4">
        <v>12.0</v>
      </c>
      <c r="F3544" s="4">
        <v>33.43</v>
      </c>
      <c r="G3544" s="4">
        <v>0.06</v>
      </c>
      <c r="H3544" s="4" t="s">
        <v>22</v>
      </c>
      <c r="I3544" s="6">
        <v>8.47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ht="12.75" customHeight="1">
      <c r="A3545" s="4">
        <v>979.0</v>
      </c>
      <c r="B3545" s="4">
        <v>7079.0</v>
      </c>
      <c r="C3545" s="5">
        <f t="shared" ref="C3545:C3546" si="1467">DATE(2012,12,31)-1057</f>
        <v>40217</v>
      </c>
      <c r="D3545" s="4" t="s">
        <v>63</v>
      </c>
      <c r="E3545" s="4">
        <v>44.0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57.0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ht="12.75" customHeight="1">
      <c r="A3546" s="4">
        <v>980.0</v>
      </c>
      <c r="B3546" s="4">
        <v>7079.0</v>
      </c>
      <c r="C3546" s="5">
        <f t="shared" si="1467"/>
        <v>40217</v>
      </c>
      <c r="D3546" s="4" t="s">
        <v>63</v>
      </c>
      <c r="E3546" s="4">
        <v>18.0</v>
      </c>
      <c r="F3546" s="4">
        <v>128.13</v>
      </c>
      <c r="G3546" s="4">
        <v>0.03</v>
      </c>
      <c r="H3546" s="4" t="s">
        <v>22</v>
      </c>
      <c r="I3546" s="6">
        <v>-34.91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ht="12.75" customHeight="1">
      <c r="A3547" s="4">
        <v>1005.0</v>
      </c>
      <c r="B3547" s="4">
        <v>7301.0</v>
      </c>
      <c r="C3547" s="5">
        <f>DATE(2012,12,31)-734</f>
        <v>40540</v>
      </c>
      <c r="D3547" s="4" t="s">
        <v>21</v>
      </c>
      <c r="E3547" s="4">
        <v>17.0</v>
      </c>
      <c r="F3547" s="4">
        <v>959.0889999999999</v>
      </c>
      <c r="G3547" s="4">
        <v>0.06</v>
      </c>
      <c r="H3547" s="4" t="s">
        <v>22</v>
      </c>
      <c r="I3547" s="6">
        <v>124.99199999999999</v>
      </c>
      <c r="J3547" s="4">
        <v>65.99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</v>
      </c>
      <c r="U3547" s="5">
        <f>C3547+17</f>
        <v>40557</v>
      </c>
    </row>
    <row r="3548" ht="12.75" customHeight="1">
      <c r="A3548" s="4">
        <v>1041.0</v>
      </c>
      <c r="B3548" s="4">
        <v>7623.0</v>
      </c>
      <c r="C3548" s="5">
        <f t="shared" ref="C3548:C3550" si="1468">DATE(2012,12,31)-1160</f>
        <v>40114</v>
      </c>
      <c r="D3548" s="4" t="s">
        <v>78</v>
      </c>
      <c r="E3548" s="4">
        <v>18.0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300.65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9">C3548+2</f>
        <v>40116</v>
      </c>
    </row>
    <row r="3549" ht="12.75" customHeight="1">
      <c r="A3549" s="4">
        <v>1042.0</v>
      </c>
      <c r="B3549" s="4">
        <v>7623.0</v>
      </c>
      <c r="C3549" s="5">
        <f t="shared" si="1468"/>
        <v>40114</v>
      </c>
      <c r="D3549" s="4" t="s">
        <v>78</v>
      </c>
      <c r="E3549" s="4">
        <v>37.0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19.99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9"/>
        <v>40116</v>
      </c>
    </row>
    <row r="3550" ht="12.75" customHeight="1">
      <c r="A3550" s="4">
        <v>1043.0</v>
      </c>
      <c r="B3550" s="4">
        <v>7623.0</v>
      </c>
      <c r="C3550" s="5">
        <f t="shared" si="1468"/>
        <v>40114</v>
      </c>
      <c r="D3550" s="4" t="s">
        <v>78</v>
      </c>
      <c r="E3550" s="4">
        <v>32.0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ht="12.75" customHeight="1">
      <c r="A3551" s="4">
        <v>1084.0</v>
      </c>
      <c r="B3551" s="4">
        <v>8000.0</v>
      </c>
      <c r="C3551" s="5">
        <f t="shared" ref="C3551:C3552" si="1470">DATE(2012,12,31)-834</f>
        <v>40440</v>
      </c>
      <c r="D3551" s="4" t="s">
        <v>21</v>
      </c>
      <c r="E3551" s="4">
        <v>10.0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1">C3551+2</f>
        <v>40442</v>
      </c>
    </row>
    <row r="3552" ht="12.75" customHeight="1">
      <c r="A3552" s="4">
        <v>1085.0</v>
      </c>
      <c r="B3552" s="4">
        <v>8000.0</v>
      </c>
      <c r="C3552" s="5">
        <f t="shared" si="1470"/>
        <v>40440</v>
      </c>
      <c r="D3552" s="4" t="s">
        <v>21</v>
      </c>
      <c r="E3552" s="4">
        <v>1.0</v>
      </c>
      <c r="F3552" s="4">
        <v>10.14</v>
      </c>
      <c r="G3552" s="4">
        <v>0.04</v>
      </c>
      <c r="H3552" s="4" t="s">
        <v>22</v>
      </c>
      <c r="I3552" s="6">
        <v>-7.613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1"/>
        <v>40442</v>
      </c>
    </row>
    <row r="3553" ht="12.75" customHeight="1">
      <c r="A3553" s="4">
        <v>1097.0</v>
      </c>
      <c r="B3553" s="4">
        <v>8039.0</v>
      </c>
      <c r="C3553" s="5">
        <f>DATE(2012,12,31)-130</f>
        <v>41144</v>
      </c>
      <c r="D3553" s="4" t="s">
        <v>63</v>
      </c>
      <c r="E3553" s="4">
        <v>37.0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2">C3553+1</f>
        <v>41145</v>
      </c>
    </row>
    <row r="3554" ht="12.75" customHeight="1">
      <c r="A3554" s="4">
        <v>1112.0</v>
      </c>
      <c r="B3554" s="4">
        <v>8162.0</v>
      </c>
      <c r="C3554" s="5">
        <f t="shared" ref="C3554:C3556" si="1473">DATE(2012,12,31)-1181</f>
        <v>40093</v>
      </c>
      <c r="D3554" s="4" t="s">
        <v>63</v>
      </c>
      <c r="E3554" s="4">
        <v>25.0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4.0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2"/>
        <v>40094</v>
      </c>
    </row>
    <row r="3555" ht="12.75" customHeight="1">
      <c r="A3555" s="4">
        <v>1113.0</v>
      </c>
      <c r="B3555" s="4">
        <v>8162.0</v>
      </c>
      <c r="C3555" s="5">
        <f t="shared" si="1473"/>
        <v>40093</v>
      </c>
      <c r="D3555" s="4" t="s">
        <v>63</v>
      </c>
      <c r="E3555" s="4">
        <v>32.0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19.99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2"/>
        <v>40094</v>
      </c>
    </row>
    <row r="3556" ht="12.75" customHeight="1">
      <c r="A3556" s="4">
        <v>1114.0</v>
      </c>
      <c r="B3556" s="4">
        <v>8162.0</v>
      </c>
      <c r="C3556" s="5">
        <f t="shared" si="1473"/>
        <v>40093</v>
      </c>
      <c r="D3556" s="4" t="s">
        <v>63</v>
      </c>
      <c r="E3556" s="4">
        <v>42.0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19.99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ht="12.75" customHeight="1">
      <c r="A3557" s="4">
        <v>1211.0</v>
      </c>
      <c r="B3557" s="4">
        <v>8870.0</v>
      </c>
      <c r="C3557" s="5">
        <f>DATE(2012,12,31)-1032</f>
        <v>40242</v>
      </c>
      <c r="D3557" s="4" t="s">
        <v>45</v>
      </c>
      <c r="E3557" s="4">
        <v>15.0</v>
      </c>
      <c r="F3557" s="4">
        <v>441.58</v>
      </c>
      <c r="G3557" s="4">
        <v>0.07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ht="12.75" customHeight="1">
      <c r="A3558" s="4">
        <v>1275.0</v>
      </c>
      <c r="B3558" s="4">
        <v>9253.0</v>
      </c>
      <c r="C3558" s="5">
        <f>DATE(2012,12,31)-336</f>
        <v>40938</v>
      </c>
      <c r="D3558" s="4" t="s">
        <v>78</v>
      </c>
      <c r="E3558" s="4">
        <v>36.0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4">C3558+2</f>
        <v>40940</v>
      </c>
    </row>
    <row r="3559" ht="12.75" customHeight="1">
      <c r="A3559" s="4">
        <v>1490.0</v>
      </c>
      <c r="B3559" s="4">
        <v>10722.0</v>
      </c>
      <c r="C3559" s="5">
        <f>DATE(2012,12,31)-712</f>
        <v>40562</v>
      </c>
      <c r="D3559" s="4" t="s">
        <v>45</v>
      </c>
      <c r="E3559" s="4">
        <v>8.0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4"/>
        <v>40564</v>
      </c>
    </row>
    <row r="3560" ht="12.75" customHeight="1">
      <c r="A3560" s="4">
        <v>1595.0</v>
      </c>
      <c r="B3560" s="4">
        <v>11527.0</v>
      </c>
      <c r="C3560" s="5">
        <f>DATE(2012,12,31)-1278</f>
        <v>39996</v>
      </c>
      <c r="D3560" s="4" t="s">
        <v>63</v>
      </c>
      <c r="E3560" s="4">
        <v>45.0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4"/>
        <v>39998</v>
      </c>
    </row>
    <row r="3561" ht="12.75" customHeight="1">
      <c r="A3561" s="4">
        <v>1613.0</v>
      </c>
      <c r="B3561" s="4">
        <v>11683.0</v>
      </c>
      <c r="C3561" s="5">
        <f>DATE(2012,12,31)-328</f>
        <v>40946</v>
      </c>
      <c r="D3561" s="4" t="s">
        <v>45</v>
      </c>
      <c r="E3561" s="4">
        <v>28.0</v>
      </c>
      <c r="F3561" s="4">
        <v>1650.411</v>
      </c>
      <c r="G3561" s="4">
        <v>0.03</v>
      </c>
      <c r="H3561" s="4" t="s">
        <v>22</v>
      </c>
      <c r="I3561" s="6">
        <v>335.079</v>
      </c>
      <c r="J3561" s="4">
        <v>65.99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0.58</v>
      </c>
      <c r="U3561" s="5">
        <f>C3561+0</f>
        <v>40946</v>
      </c>
    </row>
    <row r="3562" ht="12.75" customHeight="1">
      <c r="A3562" s="4">
        <v>1730.0</v>
      </c>
      <c r="B3562" s="4">
        <v>12448.0</v>
      </c>
      <c r="C3562" s="5">
        <f t="shared" ref="C3562:C3563" si="1475">DATE(2012,12,31)-419</f>
        <v>40855</v>
      </c>
      <c r="D3562" s="4" t="s">
        <v>78</v>
      </c>
      <c r="E3562" s="4">
        <v>33.0</v>
      </c>
      <c r="F3562" s="4">
        <v>240.27</v>
      </c>
      <c r="G3562" s="4">
        <v>0.07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ht="12.75" customHeight="1">
      <c r="A3563" s="4">
        <v>1731.0</v>
      </c>
      <c r="B3563" s="4">
        <v>12448.0</v>
      </c>
      <c r="C3563" s="5">
        <f t="shared" si="1475"/>
        <v>40855</v>
      </c>
      <c r="D3563" s="4" t="s">
        <v>78</v>
      </c>
      <c r="E3563" s="4">
        <v>24.0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6">C3563+1</f>
        <v>40856</v>
      </c>
    </row>
    <row r="3564" ht="12.75" customHeight="1">
      <c r="A3564" s="4">
        <v>1816.0</v>
      </c>
      <c r="B3564" s="4">
        <v>13028.0</v>
      </c>
      <c r="C3564" s="5">
        <f>DATE(2012,12,31)-1363</f>
        <v>39911</v>
      </c>
      <c r="D3564" s="4" t="s">
        <v>78</v>
      </c>
      <c r="E3564" s="4">
        <v>39.0</v>
      </c>
      <c r="F3564" s="4">
        <v>1357.53</v>
      </c>
      <c r="G3564" s="4">
        <v>0.05</v>
      </c>
      <c r="H3564" s="4" t="s">
        <v>22</v>
      </c>
      <c r="I3564" s="6">
        <v>562.92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6"/>
        <v>39912</v>
      </c>
    </row>
    <row r="3565" ht="12.75" customHeight="1">
      <c r="A3565" s="4">
        <v>1835.0</v>
      </c>
      <c r="B3565" s="4">
        <v>13156.0</v>
      </c>
      <c r="C3565" s="5">
        <f>DATE(2012,12,31)-453</f>
        <v>40821</v>
      </c>
      <c r="D3565" s="4" t="s">
        <v>21</v>
      </c>
      <c r="E3565" s="4">
        <v>12.0</v>
      </c>
      <c r="F3565" s="4">
        <v>502.01</v>
      </c>
      <c r="G3565" s="4">
        <v>0.04</v>
      </c>
      <c r="H3565" s="4" t="s">
        <v>22</v>
      </c>
      <c r="I3565" s="6">
        <v>159.73</v>
      </c>
      <c r="J3565" s="4">
        <v>39.98</v>
      </c>
      <c r="K3565" s="4">
        <v>9.2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ht="12.75" customHeight="1">
      <c r="A3566" s="4">
        <v>1840.0</v>
      </c>
      <c r="B3566" s="4">
        <v>13252.0</v>
      </c>
      <c r="C3566" s="5">
        <f t="shared" ref="C3566:C3567" si="1477">DATE(2012,12,31)-1380</f>
        <v>39894</v>
      </c>
      <c r="D3566" s="4" t="s">
        <v>45</v>
      </c>
      <c r="E3566" s="4">
        <v>44.0</v>
      </c>
      <c r="F3566" s="4">
        <v>7312.86</v>
      </c>
      <c r="G3566" s="4">
        <v>0.03</v>
      </c>
      <c r="H3566" s="4" t="s">
        <v>31</v>
      </c>
      <c r="I3566" s="6">
        <v>1279.37</v>
      </c>
      <c r="J3566" s="4">
        <v>160.98</v>
      </c>
      <c r="K3566" s="4">
        <v>30.0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ht="12.75" customHeight="1">
      <c r="A3567" s="4">
        <v>1841.0</v>
      </c>
      <c r="B3567" s="4">
        <v>13252.0</v>
      </c>
      <c r="C3567" s="5">
        <f t="shared" si="1477"/>
        <v>39894</v>
      </c>
      <c r="D3567" s="4" t="s">
        <v>45</v>
      </c>
      <c r="E3567" s="4">
        <v>39.0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4.0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8">C3567+2</f>
        <v>39896</v>
      </c>
    </row>
    <row r="3568" ht="12.75" customHeight="1">
      <c r="A3568" s="4">
        <v>1879.0</v>
      </c>
      <c r="B3568" s="4">
        <v>13540.0</v>
      </c>
      <c r="C3568" s="5">
        <f t="shared" ref="C3568:C3569" si="1479">DATE(2012,12,31)-953</f>
        <v>40321</v>
      </c>
      <c r="D3568" s="4" t="s">
        <v>30</v>
      </c>
      <c r="E3568" s="4">
        <v>33.0</v>
      </c>
      <c r="F3568" s="4">
        <v>121.0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8"/>
        <v>40323</v>
      </c>
    </row>
    <row r="3569" ht="12.75" customHeight="1">
      <c r="A3569" s="4">
        <v>1880.0</v>
      </c>
      <c r="B3569" s="4">
        <v>13540.0</v>
      </c>
      <c r="C3569" s="5">
        <f t="shared" si="1479"/>
        <v>40321</v>
      </c>
      <c r="D3569" s="4" t="s">
        <v>30</v>
      </c>
      <c r="E3569" s="4">
        <v>27.0</v>
      </c>
      <c r="F3569" s="4">
        <v>1484.185</v>
      </c>
      <c r="G3569" s="4">
        <v>0.02</v>
      </c>
      <c r="H3569" s="4" t="s">
        <v>22</v>
      </c>
      <c r="I3569" s="6">
        <v>239.24699999999999</v>
      </c>
      <c r="J3569" s="4">
        <v>65.99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0.57</v>
      </c>
      <c r="U3569" s="5">
        <f t="shared" si="1478"/>
        <v>40323</v>
      </c>
    </row>
    <row r="3570" ht="12.75" customHeight="1">
      <c r="A3570" s="4">
        <v>1968.0</v>
      </c>
      <c r="B3570" s="4">
        <v>14081.0</v>
      </c>
      <c r="C3570" s="5">
        <f>DATE(2012,12,31)-817</f>
        <v>40457</v>
      </c>
      <c r="D3570" s="4" t="s">
        <v>30</v>
      </c>
      <c r="E3570" s="4">
        <v>31.0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ht="12.75" customHeight="1">
      <c r="A3571" s="4">
        <v>1969.0</v>
      </c>
      <c r="B3571" s="4">
        <v>14086.0</v>
      </c>
      <c r="C3571" s="5">
        <f t="shared" ref="C3571:C3572" si="1480">DATE(2012,12,31)-803</f>
        <v>40471</v>
      </c>
      <c r="D3571" s="4" t="s">
        <v>21</v>
      </c>
      <c r="E3571" s="4">
        <v>13.0</v>
      </c>
      <c r="F3571" s="4">
        <v>1764.97</v>
      </c>
      <c r="G3571" s="4">
        <v>0.07</v>
      </c>
      <c r="H3571" s="4" t="s">
        <v>31</v>
      </c>
      <c r="I3571" s="6">
        <v>-383.5</v>
      </c>
      <c r="J3571" s="4">
        <v>130.98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ht="12.75" customHeight="1">
      <c r="A3572" s="4">
        <v>1970.0</v>
      </c>
      <c r="B3572" s="4">
        <v>14086.0</v>
      </c>
      <c r="C3572" s="5">
        <f t="shared" si="1480"/>
        <v>40471</v>
      </c>
      <c r="D3572" s="4" t="s">
        <v>21</v>
      </c>
      <c r="E3572" s="4">
        <v>50.0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ht="12.75" customHeight="1">
      <c r="A3573" s="4">
        <v>2025.0</v>
      </c>
      <c r="B3573" s="4">
        <v>14435.0</v>
      </c>
      <c r="C3573" s="5">
        <f t="shared" ref="C3573:C3575" si="1481">DATE(2012,12,31)-30</f>
        <v>41244</v>
      </c>
      <c r="D3573" s="4" t="s">
        <v>45</v>
      </c>
      <c r="E3573" s="4">
        <v>41.0</v>
      </c>
      <c r="F3573" s="4">
        <v>3731.59</v>
      </c>
      <c r="G3573" s="4">
        <v>0.0</v>
      </c>
      <c r="H3573" s="4" t="s">
        <v>31</v>
      </c>
      <c r="I3573" s="6">
        <v>-605.52</v>
      </c>
      <c r="J3573" s="4">
        <v>89.99</v>
      </c>
      <c r="K3573" s="4">
        <v>42.0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ht="12.75" customHeight="1">
      <c r="A3574" s="4">
        <v>2026.0</v>
      </c>
      <c r="B3574" s="4">
        <v>14435.0</v>
      </c>
      <c r="C3574" s="5">
        <f t="shared" si="1481"/>
        <v>41244</v>
      </c>
      <c r="D3574" s="4" t="s">
        <v>45</v>
      </c>
      <c r="E3574" s="4">
        <v>9.0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ht="12.75" customHeight="1">
      <c r="A3575" s="4">
        <v>2027.0</v>
      </c>
      <c r="B3575" s="4">
        <v>14435.0</v>
      </c>
      <c r="C3575" s="5">
        <f t="shared" si="1481"/>
        <v>41244</v>
      </c>
      <c r="D3575" s="4" t="s">
        <v>45</v>
      </c>
      <c r="E3575" s="4">
        <v>44.0</v>
      </c>
      <c r="F3575" s="4">
        <v>1299.91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ht="12.75" customHeight="1">
      <c r="A3576" s="4">
        <v>2064.0</v>
      </c>
      <c r="B3576" s="4">
        <v>14784.0</v>
      </c>
      <c r="C3576" s="5">
        <f>DATE(2012,12,31)-292</f>
        <v>40982</v>
      </c>
      <c r="D3576" s="4" t="s">
        <v>63</v>
      </c>
      <c r="E3576" s="4">
        <v>43.0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ht="12.75" customHeight="1">
      <c r="A3577" s="4">
        <v>2136.0</v>
      </c>
      <c r="B3577" s="4">
        <v>15264.0</v>
      </c>
      <c r="C3577" s="5">
        <f t="shared" ref="C3577:C3578" si="1482">DATE(2012,12,31)-410</f>
        <v>40864</v>
      </c>
      <c r="D3577" s="4" t="s">
        <v>63</v>
      </c>
      <c r="E3577" s="4">
        <v>3.0</v>
      </c>
      <c r="F3577" s="4">
        <v>3581.52</v>
      </c>
      <c r="G3577" s="4">
        <v>0.07</v>
      </c>
      <c r="H3577" s="4" t="s">
        <v>22</v>
      </c>
      <c r="I3577" s="6">
        <v>-408.2155</v>
      </c>
      <c r="J3577" s="4">
        <v>1270.99</v>
      </c>
      <c r="K3577" s="4">
        <v>19.99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ht="12.75" customHeight="1">
      <c r="A3578" s="4">
        <v>2137.0</v>
      </c>
      <c r="B3578" s="4">
        <v>15264.0</v>
      </c>
      <c r="C3578" s="5">
        <f t="shared" si="1482"/>
        <v>40864</v>
      </c>
      <c r="D3578" s="4" t="s">
        <v>63</v>
      </c>
      <c r="E3578" s="4">
        <v>13.0</v>
      </c>
      <c r="F3578" s="4">
        <v>90.15</v>
      </c>
      <c r="G3578" s="4">
        <v>0.07</v>
      </c>
      <c r="H3578" s="4" t="s">
        <v>22</v>
      </c>
      <c r="I3578" s="6">
        <v>33.05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ht="12.75" customHeight="1">
      <c r="A3579" s="4">
        <v>2273.0</v>
      </c>
      <c r="B3579" s="4">
        <v>16352.0</v>
      </c>
      <c r="C3579" s="5">
        <f>DATE(2012,12,31)-154</f>
        <v>41120</v>
      </c>
      <c r="D3579" s="4" t="s">
        <v>63</v>
      </c>
      <c r="E3579" s="4">
        <v>16.0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ht="12.75" customHeight="1">
      <c r="A3580" s="4">
        <v>2289.0</v>
      </c>
      <c r="B3580" s="4">
        <v>16513.0</v>
      </c>
      <c r="C3580" s="5">
        <f>DATE(2012,12,31)-850</f>
        <v>40424</v>
      </c>
      <c r="D3580" s="4" t="s">
        <v>78</v>
      </c>
      <c r="E3580" s="4">
        <v>10.0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ht="12.75" customHeight="1">
      <c r="A3581" s="4">
        <v>2302.0</v>
      </c>
      <c r="B3581" s="4">
        <v>16582.0</v>
      </c>
      <c r="C3581" s="5">
        <f>DATE(2012,12,31)-457</f>
        <v>40817</v>
      </c>
      <c r="D3581" s="4" t="s">
        <v>78</v>
      </c>
      <c r="E3581" s="4">
        <v>26.0</v>
      </c>
      <c r="F3581" s="4">
        <v>6766.856</v>
      </c>
      <c r="G3581" s="4">
        <v>0.02</v>
      </c>
      <c r="H3581" s="4" t="s">
        <v>31</v>
      </c>
      <c r="I3581" s="6">
        <v>-774.8906880000001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3">C3581+2</f>
        <v>40819</v>
      </c>
    </row>
    <row r="3582" ht="12.75" customHeight="1">
      <c r="A3582" s="4">
        <v>2307.0</v>
      </c>
      <c r="B3582" s="4">
        <v>16640.0</v>
      </c>
      <c r="C3582" s="5">
        <f>DATE(2012,12,31)-888</f>
        <v>40386</v>
      </c>
      <c r="D3582" s="4" t="s">
        <v>21</v>
      </c>
      <c r="E3582" s="4">
        <v>6.0</v>
      </c>
      <c r="F3582" s="4">
        <v>652.33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30.0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3"/>
        <v>40388</v>
      </c>
    </row>
    <row r="3583" ht="12.75" customHeight="1">
      <c r="A3583" s="4">
        <v>2321.0</v>
      </c>
      <c r="B3583" s="4">
        <v>16711.0</v>
      </c>
      <c r="C3583" s="5">
        <f>DATE(2012,12,31)-250</f>
        <v>41024</v>
      </c>
      <c r="D3583" s="4" t="s">
        <v>45</v>
      </c>
      <c r="E3583" s="4">
        <v>3.0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1.14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3"/>
        <v>41026</v>
      </c>
    </row>
    <row r="3584" ht="12.75" customHeight="1">
      <c r="A3584" s="4">
        <v>2375.0</v>
      </c>
      <c r="B3584" s="4">
        <v>17218.0</v>
      </c>
      <c r="C3584" s="5">
        <f>DATE(2012,12,31)-161</f>
        <v>41113</v>
      </c>
      <c r="D3584" s="4" t="s">
        <v>78</v>
      </c>
      <c r="E3584" s="4">
        <v>32.0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3"/>
        <v>41115</v>
      </c>
    </row>
    <row r="3585" ht="12.75" customHeight="1">
      <c r="A3585" s="4">
        <v>2381.0</v>
      </c>
      <c r="B3585" s="4">
        <v>17255.0</v>
      </c>
      <c r="C3585" s="5">
        <f>DATE(2012,12,31)-901</f>
        <v>40373</v>
      </c>
      <c r="D3585" s="4" t="s">
        <v>45</v>
      </c>
      <c r="E3585" s="4">
        <v>17.0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0.57</v>
      </c>
      <c r="U3585" s="5">
        <f>C3585+1</f>
        <v>40374</v>
      </c>
    </row>
    <row r="3586" ht="12.75" customHeight="1">
      <c r="A3586" s="4">
        <v>2392.0</v>
      </c>
      <c r="B3586" s="4">
        <v>17317.0</v>
      </c>
      <c r="C3586" s="5">
        <f>DATE(2012,12,31)-1124</f>
        <v>40150</v>
      </c>
      <c r="D3586" s="4" t="s">
        <v>45</v>
      </c>
      <c r="E3586" s="4">
        <v>7.0</v>
      </c>
      <c r="F3586" s="4">
        <v>34.66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4">C3586+2</f>
        <v>40152</v>
      </c>
    </row>
    <row r="3587" ht="12.75" customHeight="1">
      <c r="A3587" s="4">
        <v>2405.0</v>
      </c>
      <c r="B3587" s="4">
        <v>17414.0</v>
      </c>
      <c r="C3587" s="5">
        <f t="shared" ref="C3587:C3588" si="1485">DATE(2012,12,31)-185</f>
        <v>41089</v>
      </c>
      <c r="D3587" s="4" t="s">
        <v>30</v>
      </c>
      <c r="E3587" s="4">
        <v>39.0</v>
      </c>
      <c r="F3587" s="4">
        <v>3755.43</v>
      </c>
      <c r="G3587" s="4">
        <v>0.07</v>
      </c>
      <c r="H3587" s="4" t="s">
        <v>22</v>
      </c>
      <c r="I3587" s="6">
        <v>448.07</v>
      </c>
      <c r="J3587" s="4">
        <v>99.99</v>
      </c>
      <c r="K3587" s="4">
        <v>19.99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4"/>
        <v>41091</v>
      </c>
    </row>
    <row r="3588" ht="12.75" customHeight="1">
      <c r="A3588" s="4">
        <v>2406.0</v>
      </c>
      <c r="B3588" s="4">
        <v>17414.0</v>
      </c>
      <c r="C3588" s="5">
        <f t="shared" si="1485"/>
        <v>41089</v>
      </c>
      <c r="D3588" s="4" t="s">
        <v>30</v>
      </c>
      <c r="E3588" s="4">
        <v>32.0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4"/>
        <v>41091</v>
      </c>
    </row>
    <row r="3589" ht="12.75" customHeight="1">
      <c r="A3589" s="4">
        <v>2408.0</v>
      </c>
      <c r="B3589" s="4">
        <v>17446.0</v>
      </c>
      <c r="C3589" s="5">
        <f>DATE(2012,12,31)-1301</f>
        <v>39973</v>
      </c>
      <c r="D3589" s="4" t="s">
        <v>78</v>
      </c>
      <c r="E3589" s="4">
        <v>15.0</v>
      </c>
      <c r="F3589" s="4">
        <v>138.84</v>
      </c>
      <c r="G3589" s="4">
        <v>0.0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4"/>
        <v>39975</v>
      </c>
    </row>
    <row r="3590" ht="12.75" customHeight="1">
      <c r="A3590" s="4">
        <v>2446.0</v>
      </c>
      <c r="B3590" s="4">
        <v>17765.0</v>
      </c>
      <c r="C3590" s="5">
        <f>DATE(2012,12,31)-473</f>
        <v>40801</v>
      </c>
      <c r="D3590" s="4" t="s">
        <v>45</v>
      </c>
      <c r="E3590" s="4">
        <v>36.0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ht="12.75" customHeight="1">
      <c r="A3591" s="4">
        <v>2471.0</v>
      </c>
      <c r="B3591" s="4">
        <v>17958.0</v>
      </c>
      <c r="C3591" s="5">
        <f>DATE(2012,12,31)-508</f>
        <v>40766</v>
      </c>
      <c r="D3591" s="4" t="s">
        <v>21</v>
      </c>
      <c r="E3591" s="4">
        <v>33.0</v>
      </c>
      <c r="F3591" s="4">
        <v>1053.74</v>
      </c>
      <c r="G3591" s="4">
        <v>0.07</v>
      </c>
      <c r="H3591" s="4" t="s">
        <v>22</v>
      </c>
      <c r="I3591" s="6">
        <v>359.53</v>
      </c>
      <c r="J3591" s="4">
        <v>32.48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6">C3591+4</f>
        <v>40770</v>
      </c>
    </row>
    <row r="3592" ht="12.75" customHeight="1">
      <c r="A3592" s="4">
        <v>2534.0</v>
      </c>
      <c r="B3592" s="4">
        <v>18375.0</v>
      </c>
      <c r="C3592" s="5">
        <f>DATE(2012,12,31)-466</f>
        <v>40808</v>
      </c>
      <c r="D3592" s="4" t="s">
        <v>21</v>
      </c>
      <c r="E3592" s="4">
        <v>20.0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6"/>
        <v>40812</v>
      </c>
    </row>
    <row r="3593" ht="12.75" customHeight="1">
      <c r="A3593" s="4">
        <v>2566.0</v>
      </c>
      <c r="B3593" s="4">
        <v>18532.0</v>
      </c>
      <c r="C3593" s="5">
        <f t="shared" ref="C3593:C3594" si="1487">DATE(2012,12,31)-438</f>
        <v>40836</v>
      </c>
      <c r="D3593" s="4" t="s">
        <v>45</v>
      </c>
      <c r="E3593" s="4">
        <v>29.0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8.45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</v>
      </c>
      <c r="U3593" s="5">
        <f>C3593+1</f>
        <v>40837</v>
      </c>
    </row>
    <row r="3594" ht="12.75" customHeight="1">
      <c r="A3594" s="4">
        <v>2567.0</v>
      </c>
      <c r="B3594" s="4">
        <v>18532.0</v>
      </c>
      <c r="C3594" s="5">
        <f t="shared" si="1487"/>
        <v>40836</v>
      </c>
      <c r="D3594" s="4" t="s">
        <v>45</v>
      </c>
      <c r="E3594" s="4">
        <v>31.0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0.58</v>
      </c>
      <c r="U3594" s="5">
        <f>C3594+2</f>
        <v>40838</v>
      </c>
    </row>
    <row r="3595" ht="12.75" customHeight="1">
      <c r="A3595" s="4">
        <v>2583.0</v>
      </c>
      <c r="B3595" s="4">
        <v>18627.0</v>
      </c>
      <c r="C3595" s="5">
        <f>DATE(2012,12,31)-742</f>
        <v>40532</v>
      </c>
      <c r="D3595" s="4" t="s">
        <v>63</v>
      </c>
      <c r="E3595" s="4">
        <v>4.0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ht="12.75" customHeight="1">
      <c r="A3596" s="4">
        <v>2603.0</v>
      </c>
      <c r="B3596" s="4">
        <v>18816.0</v>
      </c>
      <c r="C3596" s="5">
        <f>DATE(2012,12,31)-1406</f>
        <v>39868</v>
      </c>
      <c r="D3596" s="4" t="s">
        <v>78</v>
      </c>
      <c r="E3596" s="4">
        <v>12.0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</v>
      </c>
      <c r="U3596" s="5">
        <f t="shared" ref="U3596:U3598" si="1488">C3596+2</f>
        <v>39870</v>
      </c>
    </row>
    <row r="3597" ht="12.75" customHeight="1">
      <c r="A3597" s="4">
        <v>2610.0</v>
      </c>
      <c r="B3597" s="4">
        <v>18852.0</v>
      </c>
      <c r="C3597" s="5">
        <f>DATE(2012,12,31)-469</f>
        <v>40805</v>
      </c>
      <c r="D3597" s="4" t="s">
        <v>30</v>
      </c>
      <c r="E3597" s="4">
        <v>17.0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8"/>
        <v>40807</v>
      </c>
    </row>
    <row r="3598" ht="12.75" customHeight="1">
      <c r="A3598" s="4">
        <v>2670.0</v>
      </c>
      <c r="B3598" s="4">
        <v>19329.0</v>
      </c>
      <c r="C3598" s="5">
        <f t="shared" ref="C3598:C3599" si="1489">DATE(2012,12,31)-1030</f>
        <v>40244</v>
      </c>
      <c r="D3598" s="4" t="s">
        <v>45</v>
      </c>
      <c r="E3598" s="4">
        <v>37.0</v>
      </c>
      <c r="F3598" s="4">
        <v>281.59</v>
      </c>
      <c r="G3598" s="4">
        <v>0.07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8"/>
        <v>40246</v>
      </c>
    </row>
    <row r="3599" ht="12.75" customHeight="1">
      <c r="A3599" s="4">
        <v>2671.0</v>
      </c>
      <c r="B3599" s="4">
        <v>19329.0</v>
      </c>
      <c r="C3599" s="5">
        <f t="shared" si="1489"/>
        <v>40244</v>
      </c>
      <c r="D3599" s="4" t="s">
        <v>45</v>
      </c>
      <c r="E3599" s="4">
        <v>6.0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</v>
      </c>
      <c r="U3599" s="5">
        <f t="shared" ref="U3599:U3601" si="1490">C3599+1</f>
        <v>40245</v>
      </c>
    </row>
    <row r="3600" ht="12.75" customHeight="1">
      <c r="A3600" s="4">
        <v>2697.0</v>
      </c>
      <c r="B3600" s="4">
        <v>19522.0</v>
      </c>
      <c r="C3600" s="5">
        <f t="shared" ref="C3600:C3601" si="1491">DATE(2012,12,31)-1168</f>
        <v>40106</v>
      </c>
      <c r="D3600" s="4" t="s">
        <v>63</v>
      </c>
      <c r="E3600" s="4">
        <v>44.0</v>
      </c>
      <c r="F3600" s="4">
        <v>161.8</v>
      </c>
      <c r="G3600" s="4">
        <v>0.06</v>
      </c>
      <c r="H3600" s="4" t="s">
        <v>22</v>
      </c>
      <c r="I3600" s="6">
        <v>21.335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90"/>
        <v>40107</v>
      </c>
    </row>
    <row r="3601" ht="12.75" customHeight="1">
      <c r="A3601" s="4">
        <v>2698.0</v>
      </c>
      <c r="B3601" s="4">
        <v>19522.0</v>
      </c>
      <c r="C3601" s="5">
        <f t="shared" si="1491"/>
        <v>40106</v>
      </c>
      <c r="D3601" s="4" t="s">
        <v>63</v>
      </c>
      <c r="E3601" s="4">
        <v>37.0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</v>
      </c>
      <c r="U3601" s="5">
        <f t="shared" si="1490"/>
        <v>40107</v>
      </c>
    </row>
    <row r="3602" ht="12.75" customHeight="1">
      <c r="A3602" s="4">
        <v>2743.0</v>
      </c>
      <c r="B3602" s="4">
        <v>19811.0</v>
      </c>
      <c r="C3602" s="5">
        <f>DATE(2012,12,31)-511</f>
        <v>40763</v>
      </c>
      <c r="D3602" s="4" t="s">
        <v>21</v>
      </c>
      <c r="E3602" s="4">
        <v>49.0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ht="12.75" customHeight="1">
      <c r="A3603" s="4">
        <v>2748.0</v>
      </c>
      <c r="B3603" s="4">
        <v>19841.0</v>
      </c>
      <c r="C3603" s="5">
        <f t="shared" ref="C3603:C3604" si="1492">DATE(2012,12,31)-736</f>
        <v>40538</v>
      </c>
      <c r="D3603" s="4" t="s">
        <v>21</v>
      </c>
      <c r="E3603" s="4">
        <v>17.0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ht="12.75" customHeight="1">
      <c r="A3604" s="4">
        <v>2749.0</v>
      </c>
      <c r="B3604" s="4">
        <v>19841.0</v>
      </c>
      <c r="C3604" s="5">
        <f t="shared" si="1492"/>
        <v>40538</v>
      </c>
      <c r="D3604" s="4" t="s">
        <v>21</v>
      </c>
      <c r="E3604" s="4">
        <v>7.0</v>
      </c>
      <c r="F3604" s="4">
        <v>1126.488</v>
      </c>
      <c r="G3604" s="4">
        <v>0.08</v>
      </c>
      <c r="H3604" s="4" t="s">
        <v>22</v>
      </c>
      <c r="I3604" s="6">
        <v>-557.953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ht="12.75" customHeight="1">
      <c r="A3605" s="4">
        <v>2752.0</v>
      </c>
      <c r="B3605" s="4">
        <v>19874.0</v>
      </c>
      <c r="C3605" s="5">
        <f>DATE(2012,12,31)-206</f>
        <v>41068</v>
      </c>
      <c r="D3605" s="4" t="s">
        <v>30</v>
      </c>
      <c r="E3605" s="4">
        <v>31.0</v>
      </c>
      <c r="F3605" s="4">
        <v>310.46</v>
      </c>
      <c r="G3605" s="4">
        <v>0.0</v>
      </c>
      <c r="H3605" s="4" t="s">
        <v>22</v>
      </c>
      <c r="I3605" s="6">
        <v>-182.52</v>
      </c>
      <c r="J3605" s="4">
        <v>9.71</v>
      </c>
      <c r="K3605" s="4">
        <v>9.45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ht="12.75" customHeight="1">
      <c r="A3606" s="4">
        <v>2767.0</v>
      </c>
      <c r="B3606" s="4">
        <v>20003.0</v>
      </c>
      <c r="C3606" s="5">
        <f>DATE(2012,12,31)-336</f>
        <v>40938</v>
      </c>
      <c r="D3606" s="4" t="s">
        <v>63</v>
      </c>
      <c r="E3606" s="4">
        <v>5.0</v>
      </c>
      <c r="F3606" s="4">
        <v>141.9755</v>
      </c>
      <c r="G3606" s="4">
        <v>0.09</v>
      </c>
      <c r="H3606" s="4" t="s">
        <v>22</v>
      </c>
      <c r="I3606" s="6">
        <v>-88.935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ht="12.75" customHeight="1">
      <c r="A3607" s="4">
        <v>2780.0</v>
      </c>
      <c r="B3607" s="4">
        <v>20068.0</v>
      </c>
      <c r="C3607" s="5">
        <f>DATE(2012,12,31)-672</f>
        <v>40602</v>
      </c>
      <c r="D3607" s="4" t="s">
        <v>78</v>
      </c>
      <c r="E3607" s="4">
        <v>9.0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3">C3607+1</f>
        <v>40603</v>
      </c>
    </row>
    <row r="3608" ht="12.75" customHeight="1">
      <c r="A3608" s="4">
        <v>2797.0</v>
      </c>
      <c r="B3608" s="4">
        <v>20162.0</v>
      </c>
      <c r="C3608" s="5">
        <f>DATE(2012,12,31)-1422</f>
        <v>39852</v>
      </c>
      <c r="D3608" s="4" t="s">
        <v>63</v>
      </c>
      <c r="E3608" s="4">
        <v>38.0</v>
      </c>
      <c r="F3608" s="4">
        <v>607.42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3"/>
        <v>39853</v>
      </c>
    </row>
    <row r="3609" ht="12.75" customHeight="1">
      <c r="A3609" s="4">
        <v>2820.0</v>
      </c>
      <c r="B3609" s="4">
        <v>20354.0</v>
      </c>
      <c r="C3609" s="5">
        <f>DATE(2012,12,31)-103</f>
        <v>41171</v>
      </c>
      <c r="D3609" s="4" t="s">
        <v>78</v>
      </c>
      <c r="E3609" s="4">
        <v>24.0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ht="12.75" customHeight="1">
      <c r="A3610" s="4">
        <v>2821.0</v>
      </c>
      <c r="B3610" s="4">
        <v>20384.0</v>
      </c>
      <c r="C3610" s="5">
        <f t="shared" ref="C3610:C3611" si="1494">DATE(2012,12,31)-433</f>
        <v>40841</v>
      </c>
      <c r="D3610" s="4" t="s">
        <v>21</v>
      </c>
      <c r="E3610" s="4">
        <v>30.0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9.37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</v>
      </c>
      <c r="U3610" s="5">
        <f>C3610+7</f>
        <v>40848</v>
      </c>
    </row>
    <row r="3611" ht="12.75" customHeight="1">
      <c r="A3611" s="4">
        <v>2822.0</v>
      </c>
      <c r="B3611" s="4">
        <v>20384.0</v>
      </c>
      <c r="C3611" s="5">
        <f t="shared" si="1494"/>
        <v>40841</v>
      </c>
      <c r="D3611" s="4" t="s">
        <v>21</v>
      </c>
      <c r="E3611" s="4">
        <v>32.0</v>
      </c>
      <c r="F3611" s="4">
        <v>6902.51</v>
      </c>
      <c r="G3611" s="4">
        <v>0.04</v>
      </c>
      <c r="H3611" s="4" t="s">
        <v>31</v>
      </c>
      <c r="I3611" s="6">
        <v>-513.79042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ht="12.75" customHeight="1">
      <c r="A3612" s="4">
        <v>2872.0</v>
      </c>
      <c r="B3612" s="4">
        <v>20710.0</v>
      </c>
      <c r="C3612" s="5">
        <f t="shared" ref="C3612:C3613" si="1495">DATE(2012,12,31)-1128</f>
        <v>40146</v>
      </c>
      <c r="D3612" s="4" t="s">
        <v>30</v>
      </c>
      <c r="E3612" s="4">
        <v>31.0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ht="12.75" customHeight="1">
      <c r="A3613" s="4">
        <v>2873.0</v>
      </c>
      <c r="B3613" s="4">
        <v>20710.0</v>
      </c>
      <c r="C3613" s="5">
        <f t="shared" si="1495"/>
        <v>40146</v>
      </c>
      <c r="D3613" s="4" t="s">
        <v>30</v>
      </c>
      <c r="E3613" s="4">
        <v>26.0</v>
      </c>
      <c r="F3613" s="4">
        <v>67.4</v>
      </c>
      <c r="G3613" s="4">
        <v>0.07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ht="12.75" customHeight="1">
      <c r="A3614" s="4">
        <v>2886.0</v>
      </c>
      <c r="B3614" s="4">
        <v>20807.0</v>
      </c>
      <c r="C3614" s="5">
        <f>DATE(2012,12,31)-163</f>
        <v>41111</v>
      </c>
      <c r="D3614" s="4" t="s">
        <v>45</v>
      </c>
      <c r="E3614" s="4">
        <v>16.0</v>
      </c>
      <c r="F3614" s="4">
        <v>466.9475</v>
      </c>
      <c r="G3614" s="4">
        <v>0.1</v>
      </c>
      <c r="H3614" s="4" t="s">
        <v>22</v>
      </c>
      <c r="I3614" s="6">
        <v>82.818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6">C3614+1</f>
        <v>41112</v>
      </c>
    </row>
    <row r="3615" ht="12.75" customHeight="1">
      <c r="A3615" s="4">
        <v>2900.0</v>
      </c>
      <c r="B3615" s="4">
        <v>20934.0</v>
      </c>
      <c r="C3615" s="5">
        <f>DATE(2012,12,31)-1076</f>
        <v>40198</v>
      </c>
      <c r="D3615" s="4" t="s">
        <v>78</v>
      </c>
      <c r="E3615" s="4">
        <v>5.0</v>
      </c>
      <c r="F3615" s="4">
        <v>1253.89</v>
      </c>
      <c r="G3615" s="4">
        <v>0.09</v>
      </c>
      <c r="H3615" s="4" t="s">
        <v>31</v>
      </c>
      <c r="I3615" s="6">
        <v>-577.4798999999999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0.58</v>
      </c>
      <c r="U3615" s="5">
        <f t="shared" si="1496"/>
        <v>40199</v>
      </c>
    </row>
    <row r="3616" ht="12.75" customHeight="1">
      <c r="A3616" s="4">
        <v>2915.0</v>
      </c>
      <c r="B3616" s="4">
        <v>21057.0</v>
      </c>
      <c r="C3616" s="5">
        <f>DATE(2012,12,31)-697</f>
        <v>40577</v>
      </c>
      <c r="D3616" s="4" t="s">
        <v>21</v>
      </c>
      <c r="E3616" s="4">
        <v>28.0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39.48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ht="12.75" customHeight="1">
      <c r="A3617" s="4">
        <v>2925.0</v>
      </c>
      <c r="B3617" s="4">
        <v>21190.0</v>
      </c>
      <c r="C3617" s="5">
        <f>DATE(2012,12,31)-1313</f>
        <v>39961</v>
      </c>
      <c r="D3617" s="4" t="s">
        <v>63</v>
      </c>
      <c r="E3617" s="4">
        <v>28.0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7">C3617+0</f>
        <v>39961</v>
      </c>
    </row>
    <row r="3618" ht="12.75" customHeight="1">
      <c r="A3618" s="4">
        <v>2977.0</v>
      </c>
      <c r="B3618" s="4">
        <v>21505.0</v>
      </c>
      <c r="C3618" s="5">
        <f>DATE(2012,12,31)-28</f>
        <v>41246</v>
      </c>
      <c r="D3618" s="4" t="s">
        <v>21</v>
      </c>
      <c r="E3618" s="4">
        <v>3.0</v>
      </c>
      <c r="F3618" s="4">
        <v>912.35</v>
      </c>
      <c r="G3618" s="4">
        <v>0.07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7"/>
        <v>41246</v>
      </c>
    </row>
    <row r="3619" ht="12.75" customHeight="1">
      <c r="A3619" s="4">
        <v>3076.0</v>
      </c>
      <c r="B3619" s="4">
        <v>22055.0</v>
      </c>
      <c r="C3619" s="5">
        <f>DATE(2012,12,31)-99</f>
        <v>41175</v>
      </c>
      <c r="D3619" s="4" t="s">
        <v>63</v>
      </c>
      <c r="E3619" s="4">
        <v>40.0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160.98</v>
      </c>
      <c r="K3619" s="4">
        <v>30.0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ht="12.75" customHeight="1">
      <c r="A3620" s="4">
        <v>3114.0</v>
      </c>
      <c r="B3620" s="4">
        <v>22371.0</v>
      </c>
      <c r="C3620" s="5">
        <f>DATE(2012,12,31)-1367</f>
        <v>39907</v>
      </c>
      <c r="D3620" s="4" t="s">
        <v>30</v>
      </c>
      <c r="E3620" s="4">
        <v>8.0</v>
      </c>
      <c r="F3620" s="4">
        <v>70.55</v>
      </c>
      <c r="G3620" s="4">
        <v>0.0</v>
      </c>
      <c r="H3620" s="4" t="s">
        <v>22</v>
      </c>
      <c r="I3620" s="6">
        <v>-66.17099999999999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8">C3620+1</f>
        <v>39908</v>
      </c>
    </row>
    <row r="3621" ht="12.75" customHeight="1">
      <c r="A3621" s="4">
        <v>3137.0</v>
      </c>
      <c r="B3621" s="4">
        <v>22498.0</v>
      </c>
      <c r="C3621" s="5">
        <f>DATE(2012,12,31)-783</f>
        <v>40491</v>
      </c>
      <c r="D3621" s="4" t="s">
        <v>78</v>
      </c>
      <c r="E3621" s="4">
        <v>20.0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8"/>
        <v>40492</v>
      </c>
    </row>
    <row r="3622" ht="12.75" customHeight="1">
      <c r="A3622" s="4">
        <v>3145.0</v>
      </c>
      <c r="B3622" s="4">
        <v>22562.0</v>
      </c>
      <c r="C3622" s="5">
        <f t="shared" ref="C3622:C3624" si="1499">DATE(2012,12,31)-1375</f>
        <v>39899</v>
      </c>
      <c r="D3622" s="4" t="s">
        <v>63</v>
      </c>
      <c r="E3622" s="4">
        <v>46.0</v>
      </c>
      <c r="F3622" s="4">
        <v>9304.2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500">C3622+2</f>
        <v>39901</v>
      </c>
    </row>
    <row r="3623" ht="12.75" customHeight="1">
      <c r="A3623" s="4">
        <v>3146.0</v>
      </c>
      <c r="B3623" s="4">
        <v>22562.0</v>
      </c>
      <c r="C3623" s="5">
        <f t="shared" si="1499"/>
        <v>39899</v>
      </c>
      <c r="D3623" s="4" t="s">
        <v>63</v>
      </c>
      <c r="E3623" s="4">
        <v>31.0</v>
      </c>
      <c r="F3623" s="4">
        <v>1685.05</v>
      </c>
      <c r="G3623" s="4">
        <v>0.1</v>
      </c>
      <c r="H3623" s="4" t="s">
        <v>22</v>
      </c>
      <c r="I3623" s="6">
        <v>518.07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500"/>
        <v>39901</v>
      </c>
    </row>
    <row r="3624" ht="12.75" customHeight="1">
      <c r="A3624" s="4">
        <v>3147.0</v>
      </c>
      <c r="B3624" s="4">
        <v>22562.0</v>
      </c>
      <c r="C3624" s="5">
        <f t="shared" si="1499"/>
        <v>39899</v>
      </c>
      <c r="D3624" s="4" t="s">
        <v>63</v>
      </c>
      <c r="E3624" s="4">
        <v>3.0</v>
      </c>
      <c r="F3624" s="4">
        <v>57.48</v>
      </c>
      <c r="G3624" s="4">
        <v>0.0</v>
      </c>
      <c r="H3624" s="4" t="s">
        <v>22</v>
      </c>
      <c r="I3624" s="6">
        <v>-28.09</v>
      </c>
      <c r="J3624" s="4">
        <v>16.06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ht="12.75" customHeight="1">
      <c r="A3625" s="4">
        <v>3270.0</v>
      </c>
      <c r="B3625" s="4">
        <v>23392.0</v>
      </c>
      <c r="C3625" s="5">
        <f>DATE(2012,12,31)-1233</f>
        <v>40041</v>
      </c>
      <c r="D3625" s="4" t="s">
        <v>63</v>
      </c>
      <c r="E3625" s="4">
        <v>24.0</v>
      </c>
      <c r="F3625" s="4">
        <v>4276.0960000000005</v>
      </c>
      <c r="G3625" s="4">
        <v>0.0</v>
      </c>
      <c r="H3625" s="4" t="s">
        <v>22</v>
      </c>
      <c r="I3625" s="6">
        <v>-505.98447900000014</v>
      </c>
      <c r="J3625" s="4">
        <v>209.37</v>
      </c>
      <c r="K3625" s="4">
        <v>69.0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ht="12.75" customHeight="1">
      <c r="A3626" s="4">
        <v>3327.0</v>
      </c>
      <c r="B3626" s="4">
        <v>23782.0</v>
      </c>
      <c r="C3626" s="5">
        <f t="shared" ref="C3626:C3627" si="1501">DATE(2012,12,31)-1086</f>
        <v>40188</v>
      </c>
      <c r="D3626" s="4" t="s">
        <v>21</v>
      </c>
      <c r="E3626" s="4">
        <v>46.0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26.0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ht="12.75" customHeight="1">
      <c r="A3627" s="4">
        <v>3328.0</v>
      </c>
      <c r="B3627" s="4">
        <v>23782.0</v>
      </c>
      <c r="C3627" s="5">
        <f t="shared" si="1501"/>
        <v>40188</v>
      </c>
      <c r="D3627" s="4" t="s">
        <v>21</v>
      </c>
      <c r="E3627" s="4">
        <v>7.0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35.0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ht="12.75" customHeight="1">
      <c r="A3628" s="4">
        <v>3367.0</v>
      </c>
      <c r="B3628" s="4">
        <v>24069.0</v>
      </c>
      <c r="C3628" s="5">
        <f>DATE(2012,12,31)-899</f>
        <v>40375</v>
      </c>
      <c r="D3628" s="4" t="s">
        <v>21</v>
      </c>
      <c r="E3628" s="4">
        <v>21.0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ht="12.75" customHeight="1">
      <c r="A3629" s="4">
        <v>3377.0</v>
      </c>
      <c r="B3629" s="4">
        <v>24099.0</v>
      </c>
      <c r="C3629" s="5">
        <f t="shared" ref="C3629:C3630" si="1502">DATE(2012,12,31)-591</f>
        <v>40683</v>
      </c>
      <c r="D3629" s="4" t="s">
        <v>45</v>
      </c>
      <c r="E3629" s="4">
        <v>6.0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3">C3629+1</f>
        <v>40684</v>
      </c>
    </row>
    <row r="3630" ht="12.75" customHeight="1">
      <c r="A3630" s="4">
        <v>3378.0</v>
      </c>
      <c r="B3630" s="4">
        <v>24099.0</v>
      </c>
      <c r="C3630" s="5">
        <f t="shared" si="1502"/>
        <v>40683</v>
      </c>
      <c r="D3630" s="4" t="s">
        <v>45</v>
      </c>
      <c r="E3630" s="4">
        <v>36.0</v>
      </c>
      <c r="F3630" s="4">
        <v>825.82</v>
      </c>
      <c r="G3630" s="4">
        <v>0.0</v>
      </c>
      <c r="H3630" s="4" t="s">
        <v>22</v>
      </c>
      <c r="I3630" s="6">
        <v>-1049.26</v>
      </c>
      <c r="J3630" s="4">
        <v>20.34</v>
      </c>
      <c r="K3630" s="4">
        <v>35.0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3"/>
        <v>40684</v>
      </c>
    </row>
    <row r="3631" ht="12.75" customHeight="1">
      <c r="A3631" s="4">
        <v>3401.0</v>
      </c>
      <c r="B3631" s="4">
        <v>24228.0</v>
      </c>
      <c r="C3631" s="5">
        <f>DATE(2012,12,31)-1263</f>
        <v>40011</v>
      </c>
      <c r="D3631" s="4" t="s">
        <v>21</v>
      </c>
      <c r="E3631" s="4">
        <v>31.0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ht="12.75" customHeight="1">
      <c r="A3632" s="4">
        <v>3402.0</v>
      </c>
      <c r="B3632" s="4">
        <v>24231.0</v>
      </c>
      <c r="C3632" s="5">
        <f>DATE(2012,12,31)-1242</f>
        <v>40032</v>
      </c>
      <c r="D3632" s="4" t="s">
        <v>45</v>
      </c>
      <c r="E3632" s="4">
        <v>48.0</v>
      </c>
      <c r="F3632" s="4">
        <v>2482.034</v>
      </c>
      <c r="G3632" s="4">
        <v>0.08</v>
      </c>
      <c r="H3632" s="4" t="s">
        <v>22</v>
      </c>
      <c r="I3632" s="6">
        <v>421.893</v>
      </c>
      <c r="J3632" s="4">
        <v>65.99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0.58</v>
      </c>
      <c r="U3632" s="5">
        <f>C3632+0</f>
        <v>40032</v>
      </c>
    </row>
    <row r="3633" ht="12.75" customHeight="1">
      <c r="A3633" s="4">
        <v>3452.0</v>
      </c>
      <c r="B3633" s="4">
        <v>24613.0</v>
      </c>
      <c r="C3633" s="5">
        <f t="shared" ref="C3633:C3635" si="1504">DATE(2012,12,31)-168</f>
        <v>41106</v>
      </c>
      <c r="D3633" s="4" t="s">
        <v>21</v>
      </c>
      <c r="E3633" s="4">
        <v>16.0</v>
      </c>
      <c r="F3633" s="4">
        <v>9695.84</v>
      </c>
      <c r="G3633" s="4">
        <v>0.0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5">C3633+9</f>
        <v>41115</v>
      </c>
    </row>
    <row r="3634" ht="12.75" customHeight="1">
      <c r="A3634" s="4">
        <v>3453.0</v>
      </c>
      <c r="B3634" s="4">
        <v>24613.0</v>
      </c>
      <c r="C3634" s="5">
        <f t="shared" si="1504"/>
        <v>41106</v>
      </c>
      <c r="D3634" s="4" t="s">
        <v>21</v>
      </c>
      <c r="E3634" s="4">
        <v>36.0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5"/>
        <v>41115</v>
      </c>
    </row>
    <row r="3635" ht="12.75" customHeight="1">
      <c r="A3635" s="4">
        <v>3454.0</v>
      </c>
      <c r="B3635" s="4">
        <v>24613.0</v>
      </c>
      <c r="C3635" s="5">
        <f t="shared" si="1504"/>
        <v>41106</v>
      </c>
      <c r="D3635" s="4" t="s">
        <v>21</v>
      </c>
      <c r="E3635" s="4">
        <v>39.0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4.1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5"/>
        <v>41115</v>
      </c>
    </row>
    <row r="3636" ht="12.75" customHeight="1">
      <c r="A3636" s="4">
        <v>3462.0</v>
      </c>
      <c r="B3636" s="4">
        <v>24647.0</v>
      </c>
      <c r="C3636" s="5">
        <f t="shared" ref="C3636:C3637" si="1506">DATE(2012,12,31)-1306</f>
        <v>39968</v>
      </c>
      <c r="D3636" s="4" t="s">
        <v>45</v>
      </c>
      <c r="E3636" s="4">
        <v>3.0</v>
      </c>
      <c r="F3636" s="4">
        <v>3029.97</v>
      </c>
      <c r="G3636" s="4">
        <v>0.0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ht="12.75" customHeight="1">
      <c r="A3637" s="4">
        <v>3463.0</v>
      </c>
      <c r="B3637" s="4">
        <v>24647.0</v>
      </c>
      <c r="C3637" s="5">
        <f t="shared" si="1506"/>
        <v>39968</v>
      </c>
      <c r="D3637" s="4" t="s">
        <v>45</v>
      </c>
      <c r="E3637" s="4">
        <v>34.0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ht="12.75" customHeight="1">
      <c r="A3638" s="4">
        <v>3464.0</v>
      </c>
      <c r="B3638" s="4">
        <v>24672.0</v>
      </c>
      <c r="C3638" s="5">
        <f t="shared" ref="C3638:C3640" si="1507">DATE(2012,12,31)-289</f>
        <v>40985</v>
      </c>
      <c r="D3638" s="4" t="s">
        <v>63</v>
      </c>
      <c r="E3638" s="4">
        <v>5.0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4.0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ht="12.75" customHeight="1">
      <c r="A3639" s="4">
        <v>3465.0</v>
      </c>
      <c r="B3639" s="4">
        <v>24672.0</v>
      </c>
      <c r="C3639" s="5">
        <f t="shared" si="1507"/>
        <v>40985</v>
      </c>
      <c r="D3639" s="4" t="s">
        <v>63</v>
      </c>
      <c r="E3639" s="4">
        <v>37.0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8">C3639+2</f>
        <v>40987</v>
      </c>
    </row>
    <row r="3640" ht="12.75" customHeight="1">
      <c r="A3640" s="4">
        <v>3466.0</v>
      </c>
      <c r="B3640" s="4">
        <v>24672.0</v>
      </c>
      <c r="C3640" s="5">
        <f t="shared" si="1507"/>
        <v>40985</v>
      </c>
      <c r="D3640" s="4" t="s">
        <v>63</v>
      </c>
      <c r="E3640" s="4">
        <v>37.0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35.0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8"/>
        <v>40987</v>
      </c>
    </row>
    <row r="3641" ht="12.75" customHeight="1">
      <c r="A3641" s="4">
        <v>3476.0</v>
      </c>
      <c r="B3641" s="4">
        <v>24740.0</v>
      </c>
      <c r="C3641" s="5">
        <f t="shared" ref="C3641:C3642" si="1509">DATE(2012,12,31)-1086</f>
        <v>40188</v>
      </c>
      <c r="D3641" s="4" t="s">
        <v>63</v>
      </c>
      <c r="E3641" s="4">
        <v>11.0</v>
      </c>
      <c r="F3641" s="4">
        <v>1091.47</v>
      </c>
      <c r="G3641" s="4">
        <v>0.04</v>
      </c>
      <c r="H3641" s="4" t="s">
        <v>22</v>
      </c>
      <c r="I3641" s="6">
        <v>160.48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ht="12.75" customHeight="1">
      <c r="A3642" s="4">
        <v>3477.0</v>
      </c>
      <c r="B3642" s="4">
        <v>24740.0</v>
      </c>
      <c r="C3642" s="5">
        <f t="shared" si="1509"/>
        <v>40188</v>
      </c>
      <c r="D3642" s="4" t="s">
        <v>63</v>
      </c>
      <c r="E3642" s="4">
        <v>35.0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5.0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</v>
      </c>
      <c r="U3642" s="5">
        <f t="shared" ref="U3642:U3643" si="1510">C3642+0</f>
        <v>40188</v>
      </c>
    </row>
    <row r="3643" ht="12.75" customHeight="1">
      <c r="A3643" s="4">
        <v>3578.0</v>
      </c>
      <c r="B3643" s="4">
        <v>25479.0</v>
      </c>
      <c r="C3643" s="5">
        <f>DATE(2012,12,31)-613</f>
        <v>40661</v>
      </c>
      <c r="D3643" s="4" t="s">
        <v>78</v>
      </c>
      <c r="E3643" s="4">
        <v>3.0</v>
      </c>
      <c r="F3643" s="4">
        <v>210.5025</v>
      </c>
      <c r="G3643" s="4">
        <v>0.04</v>
      </c>
      <c r="H3643" s="4" t="s">
        <v>22</v>
      </c>
      <c r="I3643" s="6">
        <v>-315.326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10"/>
        <v>40661</v>
      </c>
    </row>
    <row r="3644" ht="12.75" customHeight="1">
      <c r="A3644" s="4">
        <v>3635.0</v>
      </c>
      <c r="B3644" s="4">
        <v>25985.0</v>
      </c>
      <c r="C3644" s="5">
        <f t="shared" ref="C3644:C3645" si="1511">DATE(2012,12,31)-120</f>
        <v>41154</v>
      </c>
      <c r="D3644" s="4" t="s">
        <v>21</v>
      </c>
      <c r="E3644" s="4">
        <v>50.0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ht="12.75" customHeight="1">
      <c r="A3645" s="4">
        <v>3636.0</v>
      </c>
      <c r="B3645" s="4">
        <v>25985.0</v>
      </c>
      <c r="C3645" s="5">
        <f t="shared" si="1511"/>
        <v>41154</v>
      </c>
      <c r="D3645" s="4" t="s">
        <v>21</v>
      </c>
      <c r="E3645" s="4">
        <v>22.0</v>
      </c>
      <c r="F3645" s="4">
        <v>80.79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ht="12.75" customHeight="1">
      <c r="A3646" s="4">
        <v>3683.0</v>
      </c>
      <c r="B3646" s="4">
        <v>26341.0</v>
      </c>
      <c r="C3646" s="5">
        <f>DATE(2012,12,31)-887</f>
        <v>40387</v>
      </c>
      <c r="D3646" s="4" t="s">
        <v>78</v>
      </c>
      <c r="E3646" s="4">
        <v>8.0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2">C3646+2</f>
        <v>40389</v>
      </c>
    </row>
    <row r="3647" ht="12.75" customHeight="1">
      <c r="A3647" s="4">
        <v>3695.0</v>
      </c>
      <c r="B3647" s="4">
        <v>26407.0</v>
      </c>
      <c r="C3647" s="5">
        <f t="shared" ref="C3647:C3648" si="1513">DATE(2012,12,31)-195</f>
        <v>41079</v>
      </c>
      <c r="D3647" s="4" t="s">
        <v>78</v>
      </c>
      <c r="E3647" s="4">
        <v>34.0</v>
      </c>
      <c r="F3647" s="4">
        <v>9522.12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35.0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2"/>
        <v>41081</v>
      </c>
    </row>
    <row r="3648" ht="12.75" customHeight="1">
      <c r="A3648" s="4">
        <v>3696.0</v>
      </c>
      <c r="B3648" s="4">
        <v>26407.0</v>
      </c>
      <c r="C3648" s="5">
        <f t="shared" si="1513"/>
        <v>41079</v>
      </c>
      <c r="D3648" s="4" t="s">
        <v>78</v>
      </c>
      <c r="E3648" s="4">
        <v>16.0</v>
      </c>
      <c r="F3648" s="4">
        <v>1985.6935</v>
      </c>
      <c r="G3648" s="4">
        <v>0.1</v>
      </c>
      <c r="H3648" s="4" t="s">
        <v>22</v>
      </c>
      <c r="I3648" s="6">
        <v>35.649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</v>
      </c>
      <c r="U3648" s="5">
        <f>C3648+1</f>
        <v>41080</v>
      </c>
    </row>
    <row r="3649" ht="12.75" customHeight="1">
      <c r="A3649" s="4">
        <v>3697.0</v>
      </c>
      <c r="B3649" s="4">
        <v>26432.0</v>
      </c>
      <c r="C3649" s="5">
        <f t="shared" ref="C3649:C3651" si="1514">DATE(2012,12,31)-1097</f>
        <v>40177</v>
      </c>
      <c r="D3649" s="4" t="s">
        <v>21</v>
      </c>
      <c r="E3649" s="4">
        <v>37.0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</v>
      </c>
      <c r="U3649" s="5">
        <f>C3649+7</f>
        <v>40184</v>
      </c>
    </row>
    <row r="3650" ht="12.75" customHeight="1">
      <c r="A3650" s="4">
        <v>3698.0</v>
      </c>
      <c r="B3650" s="4">
        <v>26432.0</v>
      </c>
      <c r="C3650" s="5">
        <f t="shared" si="1514"/>
        <v>40177</v>
      </c>
      <c r="D3650" s="4" t="s">
        <v>21</v>
      </c>
      <c r="E3650" s="4">
        <v>48.0</v>
      </c>
      <c r="F3650" s="4">
        <v>27820.34</v>
      </c>
      <c r="G3650" s="4">
        <v>0.08</v>
      </c>
      <c r="H3650" s="4" t="s">
        <v>22</v>
      </c>
      <c r="I3650" s="6">
        <v>11630.146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ht="12.75" customHeight="1">
      <c r="A3651" s="4">
        <v>3699.0</v>
      </c>
      <c r="B3651" s="4">
        <v>26432.0</v>
      </c>
      <c r="C3651" s="5">
        <f t="shared" si="1514"/>
        <v>40177</v>
      </c>
      <c r="D3651" s="4" t="s">
        <v>21</v>
      </c>
      <c r="E3651" s="4">
        <v>11.0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ht="12.75" customHeight="1">
      <c r="A3652" s="4">
        <v>3726.0</v>
      </c>
      <c r="B3652" s="4">
        <v>26630.0</v>
      </c>
      <c r="C3652" s="5">
        <f>DATE(2012,12,31)-765</f>
        <v>40509</v>
      </c>
      <c r="D3652" s="4" t="s">
        <v>30</v>
      </c>
      <c r="E3652" s="4">
        <v>9.0</v>
      </c>
      <c r="F3652" s="4">
        <v>65.67</v>
      </c>
      <c r="G3652" s="4">
        <v>0.02</v>
      </c>
      <c r="H3652" s="4" t="s">
        <v>22</v>
      </c>
      <c r="I3652" s="6">
        <v>-35.2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ht="12.75" customHeight="1">
      <c r="A3653" s="4">
        <v>3730.0</v>
      </c>
      <c r="B3653" s="4">
        <v>26660.0</v>
      </c>
      <c r="C3653" s="5">
        <f>DATE(2012,12,31)-288</f>
        <v>40986</v>
      </c>
      <c r="D3653" s="4" t="s">
        <v>63</v>
      </c>
      <c r="E3653" s="4">
        <v>1.0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8.95</v>
      </c>
      <c r="K3653" s="4">
        <v>2.01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ht="12.75" customHeight="1">
      <c r="A3654" s="4">
        <v>3754.0</v>
      </c>
      <c r="B3654" s="4">
        <v>26818.0</v>
      </c>
      <c r="C3654" s="5">
        <f t="shared" ref="C3654:C3656" si="1515">DATE(2012,12,31)-358</f>
        <v>40916</v>
      </c>
      <c r="D3654" s="4" t="s">
        <v>45</v>
      </c>
      <c r="E3654" s="4">
        <v>23.0</v>
      </c>
      <c r="F3654" s="4">
        <v>202.84</v>
      </c>
      <c r="G3654" s="4">
        <v>0.05</v>
      </c>
      <c r="H3654" s="4" t="s">
        <v>22</v>
      </c>
      <c r="I3654" s="6">
        <v>-19.481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ht="12.75" customHeight="1">
      <c r="A3655" s="4">
        <v>3755.0</v>
      </c>
      <c r="B3655" s="4">
        <v>26818.0</v>
      </c>
      <c r="C3655" s="5">
        <f t="shared" si="1515"/>
        <v>40916</v>
      </c>
      <c r="D3655" s="4" t="s">
        <v>45</v>
      </c>
      <c r="E3655" s="4">
        <v>5.0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0.58</v>
      </c>
      <c r="U3655" s="5">
        <f>C3655+2</f>
        <v>40918</v>
      </c>
    </row>
    <row r="3656" ht="12.75" customHeight="1">
      <c r="A3656" s="4">
        <v>3756.0</v>
      </c>
      <c r="B3656" s="4">
        <v>26818.0</v>
      </c>
      <c r="C3656" s="5">
        <f t="shared" si="1515"/>
        <v>40916</v>
      </c>
      <c r="D3656" s="4" t="s">
        <v>45</v>
      </c>
      <c r="E3656" s="4">
        <v>36.0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ht="12.75" customHeight="1">
      <c r="A3657" s="4">
        <v>3790.0</v>
      </c>
      <c r="B3657" s="4">
        <v>27011.0</v>
      </c>
      <c r="C3657" s="5">
        <f>DATE(2012,12,31)-732</f>
        <v>40542</v>
      </c>
      <c r="D3657" s="4" t="s">
        <v>63</v>
      </c>
      <c r="E3657" s="4">
        <v>5.0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ht="12.75" customHeight="1">
      <c r="A3658" s="4">
        <v>3903.0</v>
      </c>
      <c r="B3658" s="4">
        <v>27841.0</v>
      </c>
      <c r="C3658" s="5">
        <f>DATE(2012,12,31)-106</f>
        <v>41168</v>
      </c>
      <c r="D3658" s="4" t="s">
        <v>30</v>
      </c>
      <c r="E3658" s="4">
        <v>33.0</v>
      </c>
      <c r="F3658" s="4">
        <v>67.85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0.57</v>
      </c>
      <c r="U3658" s="5">
        <f t="shared" ref="U3658:U3660" si="1516">C3658+2</f>
        <v>41170</v>
      </c>
    </row>
    <row r="3659" ht="12.75" customHeight="1">
      <c r="A3659" s="4">
        <v>4003.0</v>
      </c>
      <c r="B3659" s="4">
        <v>28581.0</v>
      </c>
      <c r="C3659" s="5">
        <f t="shared" ref="C3659:C3660" si="1517">DATE(2012,12,31)-390</f>
        <v>40884</v>
      </c>
      <c r="D3659" s="4" t="s">
        <v>63</v>
      </c>
      <c r="E3659" s="4">
        <v>1.0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6"/>
        <v>40886</v>
      </c>
    </row>
    <row r="3660" ht="12.75" customHeight="1">
      <c r="A3660" s="4">
        <v>4004.0</v>
      </c>
      <c r="B3660" s="4">
        <v>28581.0</v>
      </c>
      <c r="C3660" s="5">
        <f t="shared" si="1517"/>
        <v>40884</v>
      </c>
      <c r="D3660" s="4" t="s">
        <v>63</v>
      </c>
      <c r="E3660" s="4">
        <v>36.0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6"/>
        <v>40886</v>
      </c>
    </row>
    <row r="3661" ht="12.75" customHeight="1">
      <c r="A3661" s="4">
        <v>4008.0</v>
      </c>
      <c r="B3661" s="4">
        <v>28611.0</v>
      </c>
      <c r="C3661" s="5">
        <f t="shared" ref="C3661:C3662" si="1518">DATE(2012,12,31)-4</f>
        <v>41270</v>
      </c>
      <c r="D3661" s="4" t="s">
        <v>21</v>
      </c>
      <c r="E3661" s="4">
        <v>30.0</v>
      </c>
      <c r="F3661" s="4">
        <v>15337.58</v>
      </c>
      <c r="G3661" s="4">
        <v>0.1</v>
      </c>
      <c r="H3661" s="4" t="s">
        <v>22</v>
      </c>
      <c r="I3661" s="6">
        <v>6670.409</v>
      </c>
      <c r="J3661" s="4">
        <v>525.98</v>
      </c>
      <c r="K3661" s="4">
        <v>19.99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ht="12.75" customHeight="1">
      <c r="A3662" s="4">
        <v>4009.0</v>
      </c>
      <c r="B3662" s="4">
        <v>28611.0</v>
      </c>
      <c r="C3662" s="5">
        <f t="shared" si="1518"/>
        <v>41270</v>
      </c>
      <c r="D3662" s="4" t="s">
        <v>21</v>
      </c>
      <c r="E3662" s="4">
        <v>42.0</v>
      </c>
      <c r="F3662" s="4">
        <v>3883.4714999999997</v>
      </c>
      <c r="G3662" s="4">
        <v>0.1</v>
      </c>
      <c r="H3662" s="4" t="s">
        <v>22</v>
      </c>
      <c r="I3662" s="6">
        <v>707.1659999999999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0.58</v>
      </c>
      <c r="U3662" s="5">
        <f>C3662+2</f>
        <v>41272</v>
      </c>
    </row>
    <row r="3663" ht="12.75" customHeight="1">
      <c r="A3663" s="4">
        <v>4015.0</v>
      </c>
      <c r="B3663" s="4">
        <v>28647.0</v>
      </c>
      <c r="C3663" s="5">
        <f>DATE(2012,12,31)-1388</f>
        <v>39886</v>
      </c>
      <c r="D3663" s="4" t="s">
        <v>78</v>
      </c>
      <c r="E3663" s="4">
        <v>38.0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69.0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ht="12.75" customHeight="1">
      <c r="A3664" s="4">
        <v>4018.0</v>
      </c>
      <c r="B3664" s="4">
        <v>28736.0</v>
      </c>
      <c r="C3664" s="5">
        <f>DATE(2012,12,31)-1350</f>
        <v>39924</v>
      </c>
      <c r="D3664" s="4" t="s">
        <v>30</v>
      </c>
      <c r="E3664" s="4">
        <v>26.0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ht="12.75" customHeight="1">
      <c r="A3665" s="4">
        <v>4041.0</v>
      </c>
      <c r="B3665" s="4">
        <v>28835.0</v>
      </c>
      <c r="C3665" s="5">
        <f>DATE(2012,12,31)-275</f>
        <v>40999</v>
      </c>
      <c r="D3665" s="4" t="s">
        <v>45</v>
      </c>
      <c r="E3665" s="4">
        <v>1.0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19.99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</v>
      </c>
      <c r="U3665" s="5">
        <f>C3665+2</f>
        <v>41001</v>
      </c>
    </row>
    <row r="3666" ht="12.75" customHeight="1">
      <c r="A3666" s="4">
        <v>4106.0</v>
      </c>
      <c r="B3666" s="4">
        <v>29220.0</v>
      </c>
      <c r="C3666" s="5">
        <f>DATE(2012,12,31)-2</f>
        <v>41272</v>
      </c>
      <c r="D3666" s="4" t="s">
        <v>63</v>
      </c>
      <c r="E3666" s="4">
        <v>36.0</v>
      </c>
      <c r="F3666" s="4">
        <v>12690.33</v>
      </c>
      <c r="G3666" s="4">
        <v>0.08</v>
      </c>
      <c r="H3666" s="4" t="s">
        <v>56</v>
      </c>
      <c r="I3666" s="6">
        <v>5045.3025</v>
      </c>
      <c r="J3666" s="4">
        <v>367.99</v>
      </c>
      <c r="K3666" s="4">
        <v>19.99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ht="12.75" customHeight="1">
      <c r="A3667" s="4">
        <v>4235.0</v>
      </c>
      <c r="B3667" s="4">
        <v>30114.0</v>
      </c>
      <c r="C3667" s="5">
        <f>DATE(2012,12,31)-868</f>
        <v>40406</v>
      </c>
      <c r="D3667" s="4" t="s">
        <v>21</v>
      </c>
      <c r="E3667" s="4">
        <v>7.0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ht="12.75" customHeight="1">
      <c r="A3668" s="4">
        <v>4258.0</v>
      </c>
      <c r="B3668" s="4">
        <v>30336.0</v>
      </c>
      <c r="C3668" s="5">
        <f>DATE(2012,12,31)-1067</f>
        <v>40207</v>
      </c>
      <c r="D3668" s="4" t="s">
        <v>63</v>
      </c>
      <c r="E3668" s="4">
        <v>28.0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19.99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ht="12.75" customHeight="1">
      <c r="A3669" s="4">
        <v>4312.0</v>
      </c>
      <c r="B3669" s="4">
        <v>30725.0</v>
      </c>
      <c r="C3669" s="5">
        <f>DATE(2012,12,31)-1099</f>
        <v>40175</v>
      </c>
      <c r="D3669" s="4" t="s">
        <v>63</v>
      </c>
      <c r="E3669" s="4">
        <v>39.0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49.0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ht="12.75" customHeight="1">
      <c r="A3670" s="4">
        <v>4319.0</v>
      </c>
      <c r="B3670" s="4">
        <v>30784.0</v>
      </c>
      <c r="C3670" s="5">
        <f t="shared" ref="C3670:C3671" si="1519">DATE(2012,12,31)-238</f>
        <v>41036</v>
      </c>
      <c r="D3670" s="4" t="s">
        <v>63</v>
      </c>
      <c r="E3670" s="4">
        <v>10.0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ht="12.75" customHeight="1">
      <c r="A3671" s="4">
        <v>4320.0</v>
      </c>
      <c r="B3671" s="4">
        <v>30784.0</v>
      </c>
      <c r="C3671" s="5">
        <f t="shared" si="1519"/>
        <v>41036</v>
      </c>
      <c r="D3671" s="4" t="s">
        <v>63</v>
      </c>
      <c r="E3671" s="4">
        <v>48.0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ht="12.75" customHeight="1">
      <c r="A3672" s="4">
        <v>4351.0</v>
      </c>
      <c r="B3672" s="4">
        <v>31040.0</v>
      </c>
      <c r="C3672" s="5">
        <f t="shared" ref="C3672:C3673" si="1520">DATE(2012,12,31)-839</f>
        <v>40435</v>
      </c>
      <c r="D3672" s="4" t="s">
        <v>45</v>
      </c>
      <c r="E3672" s="4">
        <v>23.0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39.98</v>
      </c>
      <c r="K3672" s="4">
        <v>4.0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1">C3672+2</f>
        <v>40437</v>
      </c>
    </row>
    <row r="3673" ht="12.75" customHeight="1">
      <c r="A3673" s="4">
        <v>4352.0</v>
      </c>
      <c r="B3673" s="4">
        <v>31040.0</v>
      </c>
      <c r="C3673" s="5">
        <f t="shared" si="1520"/>
        <v>40435</v>
      </c>
      <c r="D3673" s="4" t="s">
        <v>45</v>
      </c>
      <c r="E3673" s="4">
        <v>19.0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1"/>
        <v>40437</v>
      </c>
    </row>
    <row r="3674" ht="12.75" customHeight="1">
      <c r="A3674" s="4">
        <v>4469.0</v>
      </c>
      <c r="B3674" s="4">
        <v>31846.0</v>
      </c>
      <c r="C3674" s="5">
        <f>DATE(2012,12,31)-506</f>
        <v>40768</v>
      </c>
      <c r="D3674" s="4" t="s">
        <v>78</v>
      </c>
      <c r="E3674" s="4">
        <v>7.0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0.58</v>
      </c>
      <c r="U3674" s="5">
        <f t="shared" si="1521"/>
        <v>40770</v>
      </c>
    </row>
    <row r="3675" ht="12.75" customHeight="1">
      <c r="A3675" s="4">
        <v>4503.0</v>
      </c>
      <c r="B3675" s="4">
        <v>32038.0</v>
      </c>
      <c r="C3675" s="5">
        <f>DATE(2012,12,31)-1293</f>
        <v>39981</v>
      </c>
      <c r="D3675" s="4" t="s">
        <v>21</v>
      </c>
      <c r="E3675" s="4">
        <v>26.0</v>
      </c>
      <c r="F3675" s="4">
        <v>342.4</v>
      </c>
      <c r="G3675" s="4">
        <v>0.0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1"/>
        <v>39983</v>
      </c>
    </row>
    <row r="3676" ht="12.75" customHeight="1">
      <c r="A3676" s="4">
        <v>4504.0</v>
      </c>
      <c r="B3676" s="4">
        <v>32065.0</v>
      </c>
      <c r="C3676" s="5">
        <f>DATE(2012,12,31)-395</f>
        <v>40879</v>
      </c>
      <c r="D3676" s="4" t="s">
        <v>63</v>
      </c>
      <c r="E3676" s="4">
        <v>25.0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2">C3676+1</f>
        <v>40880</v>
      </c>
    </row>
    <row r="3677" ht="12.75" customHeight="1">
      <c r="A3677" s="4">
        <v>4545.0</v>
      </c>
      <c r="B3677" s="4">
        <v>32326.0</v>
      </c>
      <c r="C3677" s="5">
        <f>DATE(2012,12,31)-792</f>
        <v>40482</v>
      </c>
      <c r="D3677" s="4" t="s">
        <v>30</v>
      </c>
      <c r="E3677" s="4">
        <v>50.0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19.99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2"/>
        <v>40483</v>
      </c>
    </row>
    <row r="3678" ht="12.75" customHeight="1">
      <c r="A3678" s="4">
        <v>4584.0</v>
      </c>
      <c r="B3678" s="4">
        <v>32613.0</v>
      </c>
      <c r="C3678" s="5">
        <f t="shared" ref="C3678:C3680" si="1523">DATE(2012,12,31)-381</f>
        <v>40893</v>
      </c>
      <c r="D3678" s="4" t="s">
        <v>21</v>
      </c>
      <c r="E3678" s="4">
        <v>31.0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0.58</v>
      </c>
      <c r="U3678" s="5">
        <f>C3678+7</f>
        <v>40900</v>
      </c>
    </row>
    <row r="3679" ht="12.75" customHeight="1">
      <c r="A3679" s="4">
        <v>4585.0</v>
      </c>
      <c r="B3679" s="4">
        <v>32613.0</v>
      </c>
      <c r="C3679" s="5">
        <f t="shared" si="1523"/>
        <v>40893</v>
      </c>
      <c r="D3679" s="4" t="s">
        <v>21</v>
      </c>
      <c r="E3679" s="4">
        <v>38.0</v>
      </c>
      <c r="F3679" s="4">
        <v>5228.2</v>
      </c>
      <c r="G3679" s="4">
        <v>0.0</v>
      </c>
      <c r="H3679" s="4" t="s">
        <v>22</v>
      </c>
      <c r="I3679" s="6">
        <v>-691.52</v>
      </c>
      <c r="J3679" s="4">
        <v>135.31</v>
      </c>
      <c r="K3679" s="4">
        <v>35.0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4">C3679+2</f>
        <v>40895</v>
      </c>
    </row>
    <row r="3680" ht="12.75" customHeight="1">
      <c r="A3680" s="4">
        <v>4586.0</v>
      </c>
      <c r="B3680" s="4">
        <v>32613.0</v>
      </c>
      <c r="C3680" s="5">
        <f t="shared" si="1523"/>
        <v>40893</v>
      </c>
      <c r="D3680" s="4" t="s">
        <v>21</v>
      </c>
      <c r="E3680" s="4">
        <v>41.0</v>
      </c>
      <c r="F3680" s="4">
        <v>7174.9435</v>
      </c>
      <c r="G3680" s="4">
        <v>0.02</v>
      </c>
      <c r="H3680" s="4" t="s">
        <v>56</v>
      </c>
      <c r="I3680" s="6">
        <v>2373.237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0.58</v>
      </c>
      <c r="U3680" s="5">
        <f t="shared" si="1524"/>
        <v>40895</v>
      </c>
    </row>
    <row r="3681" ht="12.75" customHeight="1">
      <c r="A3681" s="4">
        <v>4598.0</v>
      </c>
      <c r="B3681" s="4">
        <v>32741.0</v>
      </c>
      <c r="C3681" s="5">
        <f>DATE(2012,12,31)-1415</f>
        <v>39859</v>
      </c>
      <c r="D3681" s="4" t="s">
        <v>21</v>
      </c>
      <c r="E3681" s="4">
        <v>13.0</v>
      </c>
      <c r="F3681" s="4">
        <v>136.24</v>
      </c>
      <c r="G3681" s="4">
        <v>0.07</v>
      </c>
      <c r="H3681" s="4" t="s">
        <v>22</v>
      </c>
      <c r="I3681" s="6">
        <v>-81.77</v>
      </c>
      <c r="J3681" s="4">
        <v>9.71</v>
      </c>
      <c r="K3681" s="4">
        <v>9.45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5">C3681+7</f>
        <v>39866</v>
      </c>
    </row>
    <row r="3682" ht="12.75" customHeight="1">
      <c r="A3682" s="4">
        <v>4624.0</v>
      </c>
      <c r="B3682" s="4">
        <v>32903.0</v>
      </c>
      <c r="C3682" s="5">
        <f>DATE(2012,12,31)-158</f>
        <v>41116</v>
      </c>
      <c r="D3682" s="4" t="s">
        <v>21</v>
      </c>
      <c r="E3682" s="4">
        <v>31.0</v>
      </c>
      <c r="F3682" s="4">
        <v>454.58</v>
      </c>
      <c r="G3682" s="4">
        <v>0.07</v>
      </c>
      <c r="H3682" s="4" t="s">
        <v>22</v>
      </c>
      <c r="I3682" s="6">
        <v>-118.75</v>
      </c>
      <c r="J3682" s="4">
        <v>15.31</v>
      </c>
      <c r="K3682" s="4">
        <v>8.78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0.57</v>
      </c>
      <c r="U3682" s="5">
        <f t="shared" si="1525"/>
        <v>41123</v>
      </c>
    </row>
    <row r="3683" ht="12.75" customHeight="1">
      <c r="A3683" s="4">
        <v>4642.0</v>
      </c>
      <c r="B3683" s="4">
        <v>33031.0</v>
      </c>
      <c r="C3683" s="5">
        <f t="shared" ref="C3683:C3684" si="1526">DATE(2012,12,31)-129</f>
        <v>41145</v>
      </c>
      <c r="D3683" s="4" t="s">
        <v>30</v>
      </c>
      <c r="E3683" s="4">
        <v>24.0</v>
      </c>
      <c r="F3683" s="4">
        <v>550.68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ht="12.75" customHeight="1">
      <c r="A3684" s="4">
        <v>4643.0</v>
      </c>
      <c r="B3684" s="4">
        <v>33031.0</v>
      </c>
      <c r="C3684" s="5">
        <f t="shared" si="1526"/>
        <v>41145</v>
      </c>
      <c r="D3684" s="4" t="s">
        <v>30</v>
      </c>
      <c r="E3684" s="4">
        <v>18.0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ht="12.75" customHeight="1">
      <c r="A3685" s="4">
        <v>4654.0</v>
      </c>
      <c r="B3685" s="4">
        <v>33152.0</v>
      </c>
      <c r="C3685" s="5">
        <f>DATE(2012,12,31)-771</f>
        <v>40503</v>
      </c>
      <c r="D3685" s="4" t="s">
        <v>78</v>
      </c>
      <c r="E3685" s="4">
        <v>19.0</v>
      </c>
      <c r="F3685" s="4">
        <v>2569.6265</v>
      </c>
      <c r="G3685" s="4">
        <v>0.0</v>
      </c>
      <c r="H3685" s="4" t="s">
        <v>22</v>
      </c>
      <c r="I3685" s="6">
        <v>398.007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</v>
      </c>
      <c r="U3685" s="5">
        <f>C3685+2</f>
        <v>40505</v>
      </c>
    </row>
    <row r="3686" ht="12.75" customHeight="1">
      <c r="A3686" s="4">
        <v>4662.0</v>
      </c>
      <c r="B3686" s="4">
        <v>33217.0</v>
      </c>
      <c r="C3686" s="5">
        <f t="shared" ref="C3686:C3687" si="1527">DATE(2012,12,31)-1390</f>
        <v>39884</v>
      </c>
      <c r="D3686" s="4" t="s">
        <v>30</v>
      </c>
      <c r="E3686" s="4">
        <v>20.0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4.0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8">C3686+1</f>
        <v>39885</v>
      </c>
    </row>
    <row r="3687" ht="12.75" customHeight="1">
      <c r="A3687" s="4">
        <v>4663.0</v>
      </c>
      <c r="B3687" s="4">
        <v>33217.0</v>
      </c>
      <c r="C3687" s="5">
        <f t="shared" si="1527"/>
        <v>39884</v>
      </c>
      <c r="D3687" s="4" t="s">
        <v>30</v>
      </c>
      <c r="E3687" s="4">
        <v>34.0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8"/>
        <v>39885</v>
      </c>
    </row>
    <row r="3688" ht="12.75" customHeight="1">
      <c r="A3688" s="4">
        <v>4721.0</v>
      </c>
      <c r="B3688" s="4">
        <v>33606.0</v>
      </c>
      <c r="C3688" s="5">
        <f>DATE(2012,12,31)-305</f>
        <v>40969</v>
      </c>
      <c r="D3688" s="4" t="s">
        <v>30</v>
      </c>
      <c r="E3688" s="4">
        <v>46.0</v>
      </c>
      <c r="F3688" s="4">
        <v>410.03</v>
      </c>
      <c r="G3688" s="4">
        <v>0.05</v>
      </c>
      <c r="H3688" s="4" t="s">
        <v>22</v>
      </c>
      <c r="I3688" s="6">
        <v>-138.39</v>
      </c>
      <c r="J3688" s="4">
        <v>8.75</v>
      </c>
      <c r="K3688" s="4">
        <v>8.54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9">C3688+2</f>
        <v>40971</v>
      </c>
    </row>
    <row r="3689" ht="12.75" customHeight="1">
      <c r="A3689" s="4">
        <v>4728.0</v>
      </c>
      <c r="B3689" s="4">
        <v>33666.0</v>
      </c>
      <c r="C3689" s="5">
        <f>DATE(2012,12,31)-168</f>
        <v>41106</v>
      </c>
      <c r="D3689" s="4" t="s">
        <v>45</v>
      </c>
      <c r="E3689" s="4">
        <v>17.0</v>
      </c>
      <c r="F3689" s="4">
        <v>3801.27</v>
      </c>
      <c r="G3689" s="4">
        <v>0.02</v>
      </c>
      <c r="H3689" s="4" t="s">
        <v>22</v>
      </c>
      <c r="I3689" s="6">
        <v>-861.3033</v>
      </c>
      <c r="J3689" s="4">
        <v>209.37</v>
      </c>
      <c r="K3689" s="4">
        <v>69.0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9"/>
        <v>41108</v>
      </c>
    </row>
    <row r="3690" ht="12.75" customHeight="1">
      <c r="A3690" s="4">
        <v>4749.0</v>
      </c>
      <c r="B3690" s="4">
        <v>33764.0</v>
      </c>
      <c r="C3690" s="5">
        <f>DATE(2012,12,31)-690</f>
        <v>40584</v>
      </c>
      <c r="D3690" s="4" t="s">
        <v>78</v>
      </c>
      <c r="E3690" s="4">
        <v>31.0</v>
      </c>
      <c r="F3690" s="4">
        <v>226.15</v>
      </c>
      <c r="G3690" s="4">
        <v>0.01</v>
      </c>
      <c r="H3690" s="4" t="s">
        <v>22</v>
      </c>
      <c r="I3690" s="6">
        <v>35.98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ht="12.75" customHeight="1">
      <c r="A3691" s="4">
        <v>4776.0</v>
      </c>
      <c r="B3691" s="4">
        <v>33921.0</v>
      </c>
      <c r="C3691" s="5">
        <f>DATE(2012,12,31)-1007</f>
        <v>40267</v>
      </c>
      <c r="D3691" s="4" t="s">
        <v>21</v>
      </c>
      <c r="E3691" s="4">
        <v>35.0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</v>
      </c>
      <c r="U3691" s="5">
        <f>C3691+9</f>
        <v>40276</v>
      </c>
    </row>
    <row r="3692" ht="12.75" customHeight="1">
      <c r="A3692" s="4">
        <v>4781.0</v>
      </c>
      <c r="B3692" s="4">
        <v>33956.0</v>
      </c>
      <c r="C3692" s="5">
        <f>DATE(2012,12,31)-347</f>
        <v>40927</v>
      </c>
      <c r="D3692" s="4" t="s">
        <v>21</v>
      </c>
      <c r="E3692" s="4">
        <v>13.0</v>
      </c>
      <c r="F3692" s="4">
        <v>109.58</v>
      </c>
      <c r="G3692" s="4">
        <v>0.0</v>
      </c>
      <c r="H3692" s="4" t="s">
        <v>22</v>
      </c>
      <c r="I3692" s="6">
        <v>31.32</v>
      </c>
      <c r="J3692" s="4">
        <v>7.59</v>
      </c>
      <c r="K3692" s="4">
        <v>4.0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30">C3692+2</f>
        <v>40929</v>
      </c>
    </row>
    <row r="3693" ht="12.75" customHeight="1">
      <c r="A3693" s="4">
        <v>4790.0</v>
      </c>
      <c r="B3693" s="4">
        <v>34022.0</v>
      </c>
      <c r="C3693" s="5">
        <f t="shared" ref="C3693:C3694" si="1531">DATE(2012,12,31)-58</f>
        <v>41216</v>
      </c>
      <c r="D3693" s="4" t="s">
        <v>45</v>
      </c>
      <c r="E3693" s="4">
        <v>6.0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30"/>
        <v>41218</v>
      </c>
    </row>
    <row r="3694" ht="12.75" customHeight="1">
      <c r="A3694" s="4">
        <v>4791.0</v>
      </c>
      <c r="B3694" s="4">
        <v>34022.0</v>
      </c>
      <c r="C3694" s="5">
        <f t="shared" si="1531"/>
        <v>41216</v>
      </c>
      <c r="D3694" s="4" t="s">
        <v>45</v>
      </c>
      <c r="E3694" s="4">
        <v>50.0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ht="12.75" customHeight="1">
      <c r="A3695" s="4">
        <v>4801.0</v>
      </c>
      <c r="B3695" s="4">
        <v>34148.0</v>
      </c>
      <c r="C3695" s="5">
        <f>DATE(2012,12,31)-132</f>
        <v>41142</v>
      </c>
      <c r="D3695" s="4" t="s">
        <v>78</v>
      </c>
      <c r="E3695" s="4">
        <v>33.0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ht="12.75" customHeight="1">
      <c r="A3696" s="4">
        <v>4808.0</v>
      </c>
      <c r="B3696" s="4">
        <v>34182.0</v>
      </c>
      <c r="C3696" s="5">
        <f>DATE(2012,12,31)-75</f>
        <v>41199</v>
      </c>
      <c r="D3696" s="4" t="s">
        <v>78</v>
      </c>
      <c r="E3696" s="4">
        <v>31.0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ht="12.75" customHeight="1">
      <c r="A3697" s="4">
        <v>4829.0</v>
      </c>
      <c r="B3697" s="4">
        <v>34337.0</v>
      </c>
      <c r="C3697" s="5">
        <f>DATE(2012,12,31)-962</f>
        <v>40312</v>
      </c>
      <c r="D3697" s="4" t="s">
        <v>63</v>
      </c>
      <c r="E3697" s="4">
        <v>36.0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ht="12.75" customHeight="1">
      <c r="A3698" s="4">
        <v>4866.0</v>
      </c>
      <c r="B3698" s="4">
        <v>34657.0</v>
      </c>
      <c r="C3698" s="5">
        <f>DATE(2012,12,31)-971</f>
        <v>40303</v>
      </c>
      <c r="D3698" s="4" t="s">
        <v>21</v>
      </c>
      <c r="E3698" s="4">
        <v>46.0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ht="12.75" customHeight="1">
      <c r="A3699" s="4">
        <v>4884.0</v>
      </c>
      <c r="B3699" s="4">
        <v>34727.0</v>
      </c>
      <c r="C3699" s="5">
        <f>DATE(2012,12,31)-659</f>
        <v>40615</v>
      </c>
      <c r="D3699" s="4" t="s">
        <v>21</v>
      </c>
      <c r="E3699" s="4">
        <v>20.0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8.04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ht="12.75" customHeight="1">
      <c r="A3700" s="4">
        <v>4902.0</v>
      </c>
      <c r="B3700" s="4">
        <v>34881.0</v>
      </c>
      <c r="C3700" s="5">
        <f>DATE(2012,12,31)-693</f>
        <v>40581</v>
      </c>
      <c r="D3700" s="4" t="s">
        <v>63</v>
      </c>
      <c r="E3700" s="4">
        <v>37.0</v>
      </c>
      <c r="F3700" s="4">
        <v>187.37</v>
      </c>
      <c r="G3700" s="4">
        <v>0.01</v>
      </c>
      <c r="H3700" s="4" t="s">
        <v>22</v>
      </c>
      <c r="I3700" s="6">
        <v>-85.008</v>
      </c>
      <c r="J3700" s="4">
        <v>4.98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ht="12.75" customHeight="1">
      <c r="A3701" s="4">
        <v>4903.0</v>
      </c>
      <c r="B3701" s="4">
        <v>34882.0</v>
      </c>
      <c r="C3701" s="5">
        <f>DATE(2012,12,31)-1256</f>
        <v>40018</v>
      </c>
      <c r="D3701" s="4" t="s">
        <v>78</v>
      </c>
      <c r="E3701" s="4">
        <v>43.0</v>
      </c>
      <c r="F3701" s="4">
        <v>84.61</v>
      </c>
      <c r="G3701" s="4">
        <v>0.03</v>
      </c>
      <c r="H3701" s="4" t="s">
        <v>22</v>
      </c>
      <c r="I3701" s="6">
        <v>-15.0995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ht="12.75" customHeight="1">
      <c r="A3702" s="4">
        <v>4906.0</v>
      </c>
      <c r="B3702" s="4">
        <v>34916.0</v>
      </c>
      <c r="C3702" s="5">
        <f>DATE(2012,12,31)-875</f>
        <v>40399</v>
      </c>
      <c r="D3702" s="4" t="s">
        <v>30</v>
      </c>
      <c r="E3702" s="4">
        <v>3.0</v>
      </c>
      <c r="F3702" s="4">
        <v>24.36</v>
      </c>
      <c r="G3702" s="4">
        <v>0.08</v>
      </c>
      <c r="H3702" s="4" t="s">
        <v>56</v>
      </c>
      <c r="I3702" s="6">
        <v>10.04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ht="12.75" customHeight="1">
      <c r="A3703" s="4">
        <v>4921.0</v>
      </c>
      <c r="B3703" s="4">
        <v>35041.0</v>
      </c>
      <c r="C3703" s="5">
        <f>DATE(2012,12,31)-1356</f>
        <v>39918</v>
      </c>
      <c r="D3703" s="4" t="s">
        <v>45</v>
      </c>
      <c r="E3703" s="4">
        <v>28.0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2">C3703+0</f>
        <v>39918</v>
      </c>
    </row>
    <row r="3704" ht="12.75" customHeight="1">
      <c r="A3704" s="4">
        <v>4965.0</v>
      </c>
      <c r="B3704" s="4">
        <v>35302.0</v>
      </c>
      <c r="C3704" s="5">
        <f t="shared" ref="C3704:C3705" si="1533">DATE(2012,12,31)-938</f>
        <v>40336</v>
      </c>
      <c r="D3704" s="4" t="s">
        <v>63</v>
      </c>
      <c r="E3704" s="4">
        <v>6.0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2"/>
        <v>40336</v>
      </c>
    </row>
    <row r="3705" ht="12.75" customHeight="1">
      <c r="A3705" s="4">
        <v>4966.0</v>
      </c>
      <c r="B3705" s="4">
        <v>35302.0</v>
      </c>
      <c r="C3705" s="5">
        <f t="shared" si="1533"/>
        <v>40336</v>
      </c>
      <c r="D3705" s="4" t="s">
        <v>63</v>
      </c>
      <c r="E3705" s="4">
        <v>13.0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4">C3705+1</f>
        <v>40337</v>
      </c>
    </row>
    <row r="3706" ht="12.75" customHeight="1">
      <c r="A3706" s="4">
        <v>5027.0</v>
      </c>
      <c r="B3706" s="4">
        <v>35841.0</v>
      </c>
      <c r="C3706" s="5">
        <f t="shared" ref="C3706:C3707" si="1535">DATE(2012,12,31)-603</f>
        <v>40671</v>
      </c>
      <c r="D3706" s="4" t="s">
        <v>63</v>
      </c>
      <c r="E3706" s="4">
        <v>23.0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4"/>
        <v>40672</v>
      </c>
    </row>
    <row r="3707" ht="12.75" customHeight="1">
      <c r="A3707" s="4">
        <v>5028.0</v>
      </c>
      <c r="B3707" s="4">
        <v>35841.0</v>
      </c>
      <c r="C3707" s="5">
        <f t="shared" si="1535"/>
        <v>40671</v>
      </c>
      <c r="D3707" s="4" t="s">
        <v>63</v>
      </c>
      <c r="E3707" s="4">
        <v>48.0</v>
      </c>
      <c r="F3707" s="4">
        <v>5163.0105</v>
      </c>
      <c r="G3707" s="4">
        <v>0.07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0.57</v>
      </c>
      <c r="U3707" s="5">
        <f t="shared" si="1534"/>
        <v>40672</v>
      </c>
    </row>
    <row r="3708" ht="12.75" customHeight="1">
      <c r="A3708" s="4">
        <v>5054.0</v>
      </c>
      <c r="B3708" s="4">
        <v>36034.0</v>
      </c>
      <c r="C3708" s="5">
        <f>DATE(2012,12,31)-76</f>
        <v>41198</v>
      </c>
      <c r="D3708" s="4" t="s">
        <v>30</v>
      </c>
      <c r="E3708" s="4">
        <v>10.0</v>
      </c>
      <c r="F3708" s="4">
        <v>19.36</v>
      </c>
      <c r="G3708" s="4">
        <v>0.0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</v>
      </c>
      <c r="U3708" s="5">
        <f>C3708+2</f>
        <v>41200</v>
      </c>
    </row>
    <row r="3709" ht="12.75" customHeight="1">
      <c r="A3709" s="4">
        <v>5056.0</v>
      </c>
      <c r="B3709" s="4">
        <v>36065.0</v>
      </c>
      <c r="C3709" s="5">
        <f>DATE(2012,12,31)-1048</f>
        <v>40226</v>
      </c>
      <c r="D3709" s="4" t="s">
        <v>30</v>
      </c>
      <c r="E3709" s="4">
        <v>31.0</v>
      </c>
      <c r="F3709" s="4">
        <v>538.3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6">C3709+0</f>
        <v>40226</v>
      </c>
    </row>
    <row r="3710" ht="12.75" customHeight="1">
      <c r="A3710" s="4">
        <v>5097.0</v>
      </c>
      <c r="B3710" s="4">
        <v>36355.0</v>
      </c>
      <c r="C3710" s="5">
        <f t="shared" ref="C3710:C3713" si="1537">DATE(2012,12,31)-1125</f>
        <v>40149</v>
      </c>
      <c r="D3710" s="4" t="s">
        <v>63</v>
      </c>
      <c r="E3710" s="4">
        <v>9.0</v>
      </c>
      <c r="F3710" s="4">
        <v>61.43</v>
      </c>
      <c r="G3710" s="4">
        <v>0.09</v>
      </c>
      <c r="H3710" s="4" t="s">
        <v>56</v>
      </c>
      <c r="I3710" s="6">
        <v>-42.9755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6"/>
        <v>40149</v>
      </c>
    </row>
    <row r="3711" ht="12.75" customHeight="1">
      <c r="A3711" s="4">
        <v>5098.0</v>
      </c>
      <c r="B3711" s="4">
        <v>36355.0</v>
      </c>
      <c r="C3711" s="5">
        <f t="shared" si="1537"/>
        <v>40149</v>
      </c>
      <c r="D3711" s="4" t="s">
        <v>63</v>
      </c>
      <c r="E3711" s="4">
        <v>6.0</v>
      </c>
      <c r="F3711" s="4">
        <v>129.5</v>
      </c>
      <c r="G3711" s="4">
        <v>0.02</v>
      </c>
      <c r="H3711" s="4" t="s">
        <v>22</v>
      </c>
      <c r="I3711" s="6">
        <v>65.49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6"/>
        <v>40149</v>
      </c>
    </row>
    <row r="3712" ht="12.75" customHeight="1">
      <c r="A3712" s="4">
        <v>5099.0</v>
      </c>
      <c r="B3712" s="4">
        <v>36355.0</v>
      </c>
      <c r="C3712" s="5">
        <f t="shared" si="1537"/>
        <v>40149</v>
      </c>
      <c r="D3712" s="4" t="s">
        <v>63</v>
      </c>
      <c r="E3712" s="4">
        <v>10.0</v>
      </c>
      <c r="F3712" s="4">
        <v>125.95</v>
      </c>
      <c r="G3712" s="4">
        <v>0.0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</v>
      </c>
      <c r="U3712" s="5">
        <f t="shared" ref="U3712:U3713" si="1538">C3712+1</f>
        <v>40150</v>
      </c>
    </row>
    <row r="3713" ht="12.75" customHeight="1">
      <c r="A3713" s="4">
        <v>5100.0</v>
      </c>
      <c r="B3713" s="4">
        <v>36355.0</v>
      </c>
      <c r="C3713" s="5">
        <f t="shared" si="1537"/>
        <v>40149</v>
      </c>
      <c r="D3713" s="4" t="s">
        <v>63</v>
      </c>
      <c r="E3713" s="4">
        <v>43.0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</v>
      </c>
      <c r="U3713" s="5">
        <f t="shared" si="1538"/>
        <v>40150</v>
      </c>
    </row>
    <row r="3714" ht="12.75" customHeight="1">
      <c r="A3714" s="4">
        <v>5104.0</v>
      </c>
      <c r="B3714" s="4">
        <v>36358.0</v>
      </c>
      <c r="C3714" s="5">
        <f t="shared" ref="C3714:C3715" si="1539">DATE(2012,12,31)-1328</f>
        <v>39946</v>
      </c>
      <c r="D3714" s="4" t="s">
        <v>45</v>
      </c>
      <c r="E3714" s="4">
        <v>28.0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ht="12.75" customHeight="1">
      <c r="A3715" s="4">
        <v>5105.0</v>
      </c>
      <c r="B3715" s="4">
        <v>36358.0</v>
      </c>
      <c r="C3715" s="5">
        <f t="shared" si="1539"/>
        <v>39946</v>
      </c>
      <c r="D3715" s="4" t="s">
        <v>45</v>
      </c>
      <c r="E3715" s="4">
        <v>22.0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ht="12.75" customHeight="1">
      <c r="A3716" s="4">
        <v>5161.0</v>
      </c>
      <c r="B3716" s="4">
        <v>36739.0</v>
      </c>
      <c r="C3716" s="5">
        <f t="shared" ref="C3716:C3717" si="1540">DATE(2012,12,31)-1180</f>
        <v>40094</v>
      </c>
      <c r="D3716" s="4" t="s">
        <v>45</v>
      </c>
      <c r="E3716" s="4">
        <v>16.0</v>
      </c>
      <c r="F3716" s="4">
        <v>68.04</v>
      </c>
      <c r="G3716" s="4">
        <v>0.07</v>
      </c>
      <c r="H3716" s="4" t="s">
        <v>22</v>
      </c>
      <c r="I3716" s="6">
        <v>-55.522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ht="12.75" customHeight="1">
      <c r="A3717" s="4">
        <v>5162.0</v>
      </c>
      <c r="B3717" s="4">
        <v>36739.0</v>
      </c>
      <c r="C3717" s="5">
        <f t="shared" si="1540"/>
        <v>40094</v>
      </c>
      <c r="D3717" s="4" t="s">
        <v>45</v>
      </c>
      <c r="E3717" s="4">
        <v>27.0</v>
      </c>
      <c r="F3717" s="4">
        <v>331.17</v>
      </c>
      <c r="G3717" s="4">
        <v>0.07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</v>
      </c>
      <c r="U3717" s="5">
        <f>C3717+0</f>
        <v>40094</v>
      </c>
    </row>
    <row r="3718" ht="12.75" customHeight="1">
      <c r="A3718" s="4">
        <v>5165.0</v>
      </c>
      <c r="B3718" s="4">
        <v>36743.0</v>
      </c>
      <c r="C3718" s="5">
        <f>DATE(2012,12,31)-114</f>
        <v>41160</v>
      </c>
      <c r="D3718" s="4" t="s">
        <v>78</v>
      </c>
      <c r="E3718" s="4">
        <v>3.0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4.0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ht="12.75" customHeight="1">
      <c r="A3719" s="4">
        <v>5186.0</v>
      </c>
      <c r="B3719" s="4">
        <v>36864.0</v>
      </c>
      <c r="C3719" s="5">
        <f>DATE(2012,12,31)-155</f>
        <v>41119</v>
      </c>
      <c r="D3719" s="4" t="s">
        <v>21</v>
      </c>
      <c r="E3719" s="4">
        <v>9.0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ht="12.75" customHeight="1">
      <c r="A3720" s="4">
        <v>5224.0</v>
      </c>
      <c r="B3720" s="4">
        <v>37188.0</v>
      </c>
      <c r="C3720" s="5">
        <f>DATE(2012,12,31)-302</f>
        <v>40972</v>
      </c>
      <c r="D3720" s="4" t="s">
        <v>78</v>
      </c>
      <c r="E3720" s="4">
        <v>24.0</v>
      </c>
      <c r="F3720" s="4">
        <v>132.02</v>
      </c>
      <c r="G3720" s="4">
        <v>0.04</v>
      </c>
      <c r="H3720" s="4" t="s">
        <v>56</v>
      </c>
      <c r="I3720" s="6">
        <v>-123.28</v>
      </c>
      <c r="J3720" s="4">
        <v>4.98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ht="12.75" customHeight="1">
      <c r="A3721" s="4">
        <v>5257.0</v>
      </c>
      <c r="B3721" s="4">
        <v>37414.0</v>
      </c>
      <c r="C3721" s="5">
        <f>DATE(2012,12,31)-479</f>
        <v>40795</v>
      </c>
      <c r="D3721" s="4" t="s">
        <v>21</v>
      </c>
      <c r="E3721" s="4">
        <v>39.0</v>
      </c>
      <c r="F3721" s="4">
        <v>20596.58</v>
      </c>
      <c r="G3721" s="4">
        <v>0.09</v>
      </c>
      <c r="H3721" s="4" t="s">
        <v>31</v>
      </c>
      <c r="I3721" s="6">
        <v>-1331.553366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1">C3721+2</f>
        <v>40797</v>
      </c>
    </row>
    <row r="3722" ht="12.75" customHeight="1">
      <c r="A3722" s="4">
        <v>5287.0</v>
      </c>
      <c r="B3722" s="4">
        <v>37638.0</v>
      </c>
      <c r="C3722" s="5">
        <f>DATE(2012,12,31)-1440</f>
        <v>39834</v>
      </c>
      <c r="D3722" s="4" t="s">
        <v>21</v>
      </c>
      <c r="E3722" s="4">
        <v>33.0</v>
      </c>
      <c r="F3722" s="4">
        <v>139.98</v>
      </c>
      <c r="G3722" s="4">
        <v>0.07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1"/>
        <v>39836</v>
      </c>
    </row>
    <row r="3723" ht="12.75" customHeight="1">
      <c r="A3723" s="4">
        <v>5300.0</v>
      </c>
      <c r="B3723" s="4">
        <v>37734.0</v>
      </c>
      <c r="C3723" s="5">
        <f t="shared" ref="C3723:C3724" si="1542">DATE(2012,12,31)-1101</f>
        <v>40173</v>
      </c>
      <c r="D3723" s="4" t="s">
        <v>78</v>
      </c>
      <c r="E3723" s="4">
        <v>15.0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3">C3723+1</f>
        <v>40174</v>
      </c>
    </row>
    <row r="3724" ht="12.75" customHeight="1">
      <c r="A3724" s="4">
        <v>5301.0</v>
      </c>
      <c r="B3724" s="4">
        <v>37734.0</v>
      </c>
      <c r="C3724" s="5">
        <f t="shared" si="1542"/>
        <v>40173</v>
      </c>
      <c r="D3724" s="4" t="s">
        <v>78</v>
      </c>
      <c r="E3724" s="4">
        <v>42.0</v>
      </c>
      <c r="F3724" s="4">
        <v>601.52</v>
      </c>
      <c r="G3724" s="4">
        <v>0.0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3"/>
        <v>40174</v>
      </c>
    </row>
    <row r="3725" ht="12.75" customHeight="1">
      <c r="A3725" s="4">
        <v>5305.0</v>
      </c>
      <c r="B3725" s="4">
        <v>37763.0</v>
      </c>
      <c r="C3725" s="5">
        <f t="shared" ref="C3725:C3726" si="1544">DATE(2012,12,31)-327</f>
        <v>40947</v>
      </c>
      <c r="D3725" s="4" t="s">
        <v>45</v>
      </c>
      <c r="E3725" s="4">
        <v>29.0</v>
      </c>
      <c r="F3725" s="4">
        <v>169.61</v>
      </c>
      <c r="G3725" s="4">
        <v>0.1</v>
      </c>
      <c r="H3725" s="4" t="s">
        <v>22</v>
      </c>
      <c r="I3725" s="6">
        <v>-211.0595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3"/>
        <v>40948</v>
      </c>
    </row>
    <row r="3726" ht="12.75" customHeight="1">
      <c r="A3726" s="4">
        <v>5306.0</v>
      </c>
      <c r="B3726" s="4">
        <v>37763.0</v>
      </c>
      <c r="C3726" s="5">
        <f t="shared" si="1544"/>
        <v>40947</v>
      </c>
      <c r="D3726" s="4" t="s">
        <v>45</v>
      </c>
      <c r="E3726" s="4">
        <v>24.0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65.99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</v>
      </c>
      <c r="U3726" s="5">
        <f t="shared" si="1543"/>
        <v>40948</v>
      </c>
    </row>
    <row r="3727" ht="12.75" customHeight="1">
      <c r="A3727" s="4">
        <v>5324.0</v>
      </c>
      <c r="B3727" s="4">
        <v>37859.0</v>
      </c>
      <c r="C3727" s="5">
        <f>DATE(2012,12,31)-1372</f>
        <v>39902</v>
      </c>
      <c r="D3727" s="4" t="s">
        <v>78</v>
      </c>
      <c r="E3727" s="4">
        <v>2.0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ht="12.75" customHeight="1">
      <c r="A3728" s="4">
        <v>5352.0</v>
      </c>
      <c r="B3728" s="4">
        <v>38048.0</v>
      </c>
      <c r="C3728" s="5">
        <f t="shared" ref="C3728:C3729" si="1545">DATE(2012,12,31)-1072</f>
        <v>40202</v>
      </c>
      <c r="D3728" s="4" t="s">
        <v>30</v>
      </c>
      <c r="E3728" s="4">
        <v>42.0</v>
      </c>
      <c r="F3728" s="4">
        <v>2252.2619999999997</v>
      </c>
      <c r="G3728" s="4">
        <v>0.1</v>
      </c>
      <c r="H3728" s="4" t="s">
        <v>22</v>
      </c>
      <c r="I3728" s="6">
        <v>478.107</v>
      </c>
      <c r="J3728" s="4">
        <v>65.99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</v>
      </c>
      <c r="U3728" s="5">
        <f>C3728+0</f>
        <v>40202</v>
      </c>
    </row>
    <row r="3729" ht="12.75" customHeight="1">
      <c r="A3729" s="4">
        <v>5353.0</v>
      </c>
      <c r="B3729" s="4">
        <v>38048.0</v>
      </c>
      <c r="C3729" s="5">
        <f t="shared" si="1545"/>
        <v>40202</v>
      </c>
      <c r="D3729" s="4" t="s">
        <v>30</v>
      </c>
      <c r="E3729" s="4">
        <v>47.0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</v>
      </c>
      <c r="U3729" s="5">
        <f>C3729+1</f>
        <v>40203</v>
      </c>
    </row>
    <row r="3730" ht="12.75" customHeight="1">
      <c r="A3730" s="4">
        <v>5386.0</v>
      </c>
      <c r="B3730" s="4">
        <v>38305.0</v>
      </c>
      <c r="C3730" s="5">
        <f>DATE(2012,12,31)-611</f>
        <v>40663</v>
      </c>
      <c r="D3730" s="4" t="s">
        <v>78</v>
      </c>
      <c r="E3730" s="4">
        <v>21.0</v>
      </c>
      <c r="F3730" s="4">
        <v>2561.6705</v>
      </c>
      <c r="G3730" s="4">
        <v>0.08</v>
      </c>
      <c r="H3730" s="4" t="s">
        <v>22</v>
      </c>
      <c r="I3730" s="6">
        <v>88.767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ht="12.75" customHeight="1">
      <c r="A3731" s="4">
        <v>5398.0</v>
      </c>
      <c r="B3731" s="4">
        <v>38371.0</v>
      </c>
      <c r="C3731" s="5">
        <f>DATE(2012,12,31)-1149</f>
        <v>40125</v>
      </c>
      <c r="D3731" s="4" t="s">
        <v>45</v>
      </c>
      <c r="E3731" s="4">
        <v>24.0</v>
      </c>
      <c r="F3731" s="4">
        <v>2004.4</v>
      </c>
      <c r="G3731" s="4">
        <v>0.05</v>
      </c>
      <c r="H3731" s="4" t="s">
        <v>56</v>
      </c>
      <c r="I3731" s="6">
        <v>544.3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6">C3731+1</f>
        <v>40126</v>
      </c>
    </row>
    <row r="3732" ht="12.75" customHeight="1">
      <c r="A3732" s="4">
        <v>5461.0</v>
      </c>
      <c r="B3732" s="4">
        <v>38789.0</v>
      </c>
      <c r="C3732" s="5">
        <f t="shared" ref="C3732:C3733" si="1547">DATE(2012,12,31)-778</f>
        <v>40496</v>
      </c>
      <c r="D3732" s="4" t="s">
        <v>30</v>
      </c>
      <c r="E3732" s="4">
        <v>9.0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0.57</v>
      </c>
      <c r="U3732" s="5">
        <f t="shared" si="1546"/>
        <v>40497</v>
      </c>
    </row>
    <row r="3733" ht="12.75" customHeight="1">
      <c r="A3733" s="4">
        <v>5462.0</v>
      </c>
      <c r="B3733" s="4">
        <v>38789.0</v>
      </c>
      <c r="C3733" s="5">
        <f t="shared" si="1547"/>
        <v>40496</v>
      </c>
      <c r="D3733" s="4" t="s">
        <v>30</v>
      </c>
      <c r="E3733" s="4">
        <v>4.0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6"/>
        <v>40497</v>
      </c>
    </row>
    <row r="3734" ht="12.75" customHeight="1">
      <c r="A3734" s="4">
        <v>5511.0</v>
      </c>
      <c r="B3734" s="4">
        <v>39076.0</v>
      </c>
      <c r="C3734" s="5">
        <f>DATE(2012,12,31)-1116</f>
        <v>40158</v>
      </c>
      <c r="D3734" s="4" t="s">
        <v>78</v>
      </c>
      <c r="E3734" s="4">
        <v>41.0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6"/>
        <v>40159</v>
      </c>
    </row>
    <row r="3735" ht="12.75" customHeight="1">
      <c r="A3735" s="4">
        <v>5533.0</v>
      </c>
      <c r="B3735" s="4">
        <v>39173.0</v>
      </c>
      <c r="C3735" s="5">
        <f t="shared" ref="C3735:C3736" si="1548">DATE(2012,12,31)-1445</f>
        <v>39829</v>
      </c>
      <c r="D3735" s="4" t="s">
        <v>78</v>
      </c>
      <c r="E3735" s="4">
        <v>36.0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9">C3735+2</f>
        <v>39831</v>
      </c>
    </row>
    <row r="3736" ht="12.75" customHeight="1">
      <c r="A3736" s="4">
        <v>5534.0</v>
      </c>
      <c r="B3736" s="4">
        <v>39173.0</v>
      </c>
      <c r="C3736" s="5">
        <f t="shared" si="1548"/>
        <v>39829</v>
      </c>
      <c r="D3736" s="4" t="s">
        <v>78</v>
      </c>
      <c r="E3736" s="4">
        <v>2.0</v>
      </c>
      <c r="F3736" s="4">
        <v>373.27</v>
      </c>
      <c r="G3736" s="4">
        <v>0.05</v>
      </c>
      <c r="H3736" s="4" t="s">
        <v>31</v>
      </c>
      <c r="I3736" s="6">
        <v>-433.2901430000001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9"/>
        <v>39831</v>
      </c>
    </row>
    <row r="3737" ht="12.75" customHeight="1">
      <c r="A3737" s="4">
        <v>5557.0</v>
      </c>
      <c r="B3737" s="4">
        <v>39335.0</v>
      </c>
      <c r="C3737" s="5">
        <f t="shared" ref="C3737:C3738" si="1550">DATE(2012,12,31)-1316</f>
        <v>39958</v>
      </c>
      <c r="D3737" s="4" t="s">
        <v>45</v>
      </c>
      <c r="E3737" s="4">
        <v>24.0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4.77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ht="12.75" customHeight="1">
      <c r="A3738" s="4">
        <v>5558.0</v>
      </c>
      <c r="B3738" s="4">
        <v>39335.0</v>
      </c>
      <c r="C3738" s="5">
        <f t="shared" si="1550"/>
        <v>39958</v>
      </c>
      <c r="D3738" s="4" t="s">
        <v>45</v>
      </c>
      <c r="E3738" s="4">
        <v>34.0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1">C3738+2</f>
        <v>39960</v>
      </c>
    </row>
    <row r="3739" ht="12.75" customHeight="1">
      <c r="A3739" s="4">
        <v>5605.0</v>
      </c>
      <c r="B3739" s="4">
        <v>39744.0</v>
      </c>
      <c r="C3739" s="5">
        <f t="shared" ref="C3739:C3741" si="1552">DATE(2012,12,31)-1274</f>
        <v>40000</v>
      </c>
      <c r="D3739" s="4" t="s">
        <v>63</v>
      </c>
      <c r="E3739" s="4">
        <v>6.0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1"/>
        <v>40002</v>
      </c>
    </row>
    <row r="3740" ht="12.75" customHeight="1">
      <c r="A3740" s="4">
        <v>5606.0</v>
      </c>
      <c r="B3740" s="4">
        <v>39744.0</v>
      </c>
      <c r="C3740" s="5">
        <f t="shared" si="1552"/>
        <v>40000</v>
      </c>
      <c r="D3740" s="4" t="s">
        <v>63</v>
      </c>
      <c r="E3740" s="4">
        <v>9.0</v>
      </c>
      <c r="F3740" s="4">
        <v>519.9535</v>
      </c>
      <c r="G3740" s="4">
        <v>0.0</v>
      </c>
      <c r="H3740" s="4" t="s">
        <v>22</v>
      </c>
      <c r="I3740" s="6">
        <v>-107.987</v>
      </c>
      <c r="J3740" s="4">
        <v>65.99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</v>
      </c>
      <c r="U3740" s="5">
        <f t="shared" si="1551"/>
        <v>40002</v>
      </c>
    </row>
    <row r="3741" ht="12.75" customHeight="1">
      <c r="A3741" s="4">
        <v>5607.0</v>
      </c>
      <c r="B3741" s="4">
        <v>39744.0</v>
      </c>
      <c r="C3741" s="5">
        <f t="shared" si="1552"/>
        <v>40000</v>
      </c>
      <c r="D3741" s="4" t="s">
        <v>63</v>
      </c>
      <c r="E3741" s="4">
        <v>41.0</v>
      </c>
      <c r="F3741" s="4">
        <v>5636.3075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0.58</v>
      </c>
      <c r="U3741" s="5">
        <f>C3741+1</f>
        <v>40001</v>
      </c>
    </row>
    <row r="3742" ht="12.75" customHeight="1">
      <c r="A3742" s="4">
        <v>5638.0</v>
      </c>
      <c r="B3742" s="4">
        <v>39878.0</v>
      </c>
      <c r="C3742" s="5">
        <f>DATE(2012,12,31)-667</f>
        <v>40607</v>
      </c>
      <c r="D3742" s="4" t="s">
        <v>45</v>
      </c>
      <c r="E3742" s="4">
        <v>50.0</v>
      </c>
      <c r="F3742" s="4">
        <v>7663.74</v>
      </c>
      <c r="G3742" s="4">
        <v>0.0</v>
      </c>
      <c r="H3742" s="4" t="s">
        <v>31</v>
      </c>
      <c r="I3742" s="6">
        <v>-375.3321000000001</v>
      </c>
      <c r="J3742" s="4">
        <v>150.98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ht="12.75" customHeight="1">
      <c r="A3743" s="4">
        <v>5648.0</v>
      </c>
      <c r="B3743" s="4">
        <v>39972.0</v>
      </c>
      <c r="C3743" s="5">
        <f t="shared" ref="C3743:C3745" si="1553">DATE(2012,12,31)-97</f>
        <v>41177</v>
      </c>
      <c r="D3743" s="4" t="s">
        <v>45</v>
      </c>
      <c r="E3743" s="4">
        <v>35.0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ht="12.75" customHeight="1">
      <c r="A3744" s="4">
        <v>5649.0</v>
      </c>
      <c r="B3744" s="4">
        <v>39972.0</v>
      </c>
      <c r="C3744" s="5">
        <f t="shared" si="1553"/>
        <v>41177</v>
      </c>
      <c r="D3744" s="4" t="s">
        <v>45</v>
      </c>
      <c r="E3744" s="4">
        <v>36.0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ht="12.75" customHeight="1">
      <c r="A3745" s="4">
        <v>5650.0</v>
      </c>
      <c r="B3745" s="4">
        <v>39972.0</v>
      </c>
      <c r="C3745" s="5">
        <f t="shared" si="1553"/>
        <v>41177</v>
      </c>
      <c r="D3745" s="4" t="s">
        <v>45</v>
      </c>
      <c r="E3745" s="4">
        <v>19.0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ht="12.75" customHeight="1">
      <c r="A3746" s="4">
        <v>5728.0</v>
      </c>
      <c r="B3746" s="4">
        <v>40643.0</v>
      </c>
      <c r="C3746" s="5">
        <f>DATE(2012,12,31)-636</f>
        <v>40638</v>
      </c>
      <c r="D3746" s="4" t="s">
        <v>78</v>
      </c>
      <c r="E3746" s="4">
        <v>23.0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ht="12.75" customHeight="1">
      <c r="A3747" s="4">
        <v>5757.0</v>
      </c>
      <c r="B3747" s="4">
        <v>40870.0</v>
      </c>
      <c r="C3747" s="5">
        <f t="shared" ref="C3747:C3748" si="1554">DATE(2012,12,31)-386</f>
        <v>40888</v>
      </c>
      <c r="D3747" s="4" t="s">
        <v>78</v>
      </c>
      <c r="E3747" s="4">
        <v>43.0</v>
      </c>
      <c r="F3747" s="4">
        <v>12858.88</v>
      </c>
      <c r="G3747" s="4">
        <v>0.08</v>
      </c>
      <c r="H3747" s="4" t="s">
        <v>22</v>
      </c>
      <c r="I3747" s="6">
        <v>4833.27</v>
      </c>
      <c r="J3747" s="4">
        <v>300.97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ht="12.75" customHeight="1">
      <c r="A3748" s="4">
        <v>5758.0</v>
      </c>
      <c r="B3748" s="4">
        <v>40870.0</v>
      </c>
      <c r="C3748" s="5">
        <f t="shared" si="1554"/>
        <v>40888</v>
      </c>
      <c r="D3748" s="4" t="s">
        <v>78</v>
      </c>
      <c r="E3748" s="4">
        <v>28.0</v>
      </c>
      <c r="F3748" s="4">
        <v>146.69</v>
      </c>
      <c r="G3748" s="4">
        <v>0.0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ht="12.75" customHeight="1">
      <c r="A3749" s="4">
        <v>5767.0</v>
      </c>
      <c r="B3749" s="4">
        <v>40934.0</v>
      </c>
      <c r="C3749" s="5">
        <f t="shared" ref="C3749:C3750" si="1555">DATE(2012,12,31)-414</f>
        <v>40860</v>
      </c>
      <c r="D3749" s="4" t="s">
        <v>45</v>
      </c>
      <c r="E3749" s="4">
        <v>28.0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</v>
      </c>
      <c r="U3749" s="5">
        <f>C3749+1</f>
        <v>40861</v>
      </c>
    </row>
    <row r="3750" ht="12.75" customHeight="1">
      <c r="A3750" s="4">
        <v>5768.0</v>
      </c>
      <c r="B3750" s="4">
        <v>40934.0</v>
      </c>
      <c r="C3750" s="5">
        <f t="shared" si="1555"/>
        <v>40860</v>
      </c>
      <c r="D3750" s="4" t="s">
        <v>45</v>
      </c>
      <c r="E3750" s="4">
        <v>11.0</v>
      </c>
      <c r="F3750" s="4">
        <v>404.1495</v>
      </c>
      <c r="G3750" s="4">
        <v>0.07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0.57</v>
      </c>
      <c r="U3750" s="5">
        <f t="shared" ref="U3750:U3751" si="1556">C3750+2</f>
        <v>40862</v>
      </c>
    </row>
    <row r="3751" ht="12.75" customHeight="1">
      <c r="A3751" s="4">
        <v>5817.0</v>
      </c>
      <c r="B3751" s="4">
        <v>41254.0</v>
      </c>
      <c r="C3751" s="5">
        <f>DATE(2012,12,31)-721</f>
        <v>40553</v>
      </c>
      <c r="D3751" s="4" t="s">
        <v>78</v>
      </c>
      <c r="E3751" s="4">
        <v>17.0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6"/>
        <v>40555</v>
      </c>
    </row>
    <row r="3752" ht="12.75" customHeight="1">
      <c r="A3752" s="4">
        <v>5844.0</v>
      </c>
      <c r="B3752" s="4">
        <v>41472.0</v>
      </c>
      <c r="C3752" s="5">
        <f>DATE(2012,12,31)-1073</f>
        <v>40201</v>
      </c>
      <c r="D3752" s="4" t="s">
        <v>21</v>
      </c>
      <c r="E3752" s="4">
        <v>48.0</v>
      </c>
      <c r="F3752" s="4">
        <v>280.87</v>
      </c>
      <c r="G3752" s="4">
        <v>0.01</v>
      </c>
      <c r="H3752" s="4" t="s">
        <v>56</v>
      </c>
      <c r="I3752" s="6">
        <v>-214.153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7">C3752+7</f>
        <v>40208</v>
      </c>
    </row>
    <row r="3753" ht="12.75" customHeight="1">
      <c r="A3753" s="4">
        <v>5901.0</v>
      </c>
      <c r="B3753" s="4">
        <v>41830.0</v>
      </c>
      <c r="C3753" s="5">
        <f>DATE(2012,12,31)-318</f>
        <v>40956</v>
      </c>
      <c r="D3753" s="4" t="s">
        <v>21</v>
      </c>
      <c r="E3753" s="4">
        <v>42.0</v>
      </c>
      <c r="F3753" s="4">
        <v>5361.08</v>
      </c>
      <c r="G3753" s="4">
        <v>0.0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7"/>
        <v>40963</v>
      </c>
    </row>
    <row r="3754" ht="12.75" customHeight="1">
      <c r="A3754" s="4">
        <v>5939.0</v>
      </c>
      <c r="B3754" s="4">
        <v>42144.0</v>
      </c>
      <c r="C3754" s="5">
        <f>DATE(2012,12,31)-1145</f>
        <v>40129</v>
      </c>
      <c r="D3754" s="4" t="s">
        <v>63</v>
      </c>
      <c r="E3754" s="4">
        <v>10.0</v>
      </c>
      <c r="F3754" s="4">
        <v>670.03</v>
      </c>
      <c r="G3754" s="4">
        <v>0.01</v>
      </c>
      <c r="H3754" s="4" t="s">
        <v>56</v>
      </c>
      <c r="I3754" s="6">
        <v>-326.47</v>
      </c>
      <c r="J3754" s="4">
        <v>64.65</v>
      </c>
      <c r="K3754" s="4">
        <v>35.0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ht="12.75" customHeight="1">
      <c r="A3755" s="4">
        <v>5989.0</v>
      </c>
      <c r="B3755" s="4">
        <v>42439.0</v>
      </c>
      <c r="C3755" s="5">
        <f>DATE(2012,12,31)-926</f>
        <v>40348</v>
      </c>
      <c r="D3755" s="4" t="s">
        <v>45</v>
      </c>
      <c r="E3755" s="4">
        <v>28.0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1.0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ht="12.75" customHeight="1">
      <c r="A3756" s="4">
        <v>6037.0</v>
      </c>
      <c r="B3756" s="4">
        <v>42758.0</v>
      </c>
      <c r="C3756" s="5">
        <f t="shared" ref="C3756:C3757" si="1558">DATE(2012,12,31)-51</f>
        <v>41223</v>
      </c>
      <c r="D3756" s="4" t="s">
        <v>78</v>
      </c>
      <c r="E3756" s="4">
        <v>12.0</v>
      </c>
      <c r="F3756" s="4">
        <v>1769.74</v>
      </c>
      <c r="G3756" s="4">
        <v>0.07</v>
      </c>
      <c r="H3756" s="4" t="s">
        <v>22</v>
      </c>
      <c r="I3756" s="6">
        <v>-333.69</v>
      </c>
      <c r="J3756" s="4">
        <v>152.48</v>
      </c>
      <c r="K3756" s="4">
        <v>4.0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ht="12.75" customHeight="1">
      <c r="A3757" s="4">
        <v>6038.0</v>
      </c>
      <c r="B3757" s="4">
        <v>42758.0</v>
      </c>
      <c r="C3757" s="5">
        <f t="shared" si="1558"/>
        <v>41223</v>
      </c>
      <c r="D3757" s="4" t="s">
        <v>78</v>
      </c>
      <c r="E3757" s="4">
        <v>42.0</v>
      </c>
      <c r="F3757" s="4">
        <v>638.07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ht="12.75" customHeight="1">
      <c r="A3758" s="4">
        <v>6057.0</v>
      </c>
      <c r="B3758" s="4">
        <v>42918.0</v>
      </c>
      <c r="C3758" s="5">
        <f>DATE(2012,12,31)-589</f>
        <v>40685</v>
      </c>
      <c r="D3758" s="4" t="s">
        <v>30</v>
      </c>
      <c r="E3758" s="4">
        <v>38.0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ht="12.75" customHeight="1">
      <c r="A3759" s="4">
        <v>6064.0</v>
      </c>
      <c r="B3759" s="4">
        <v>42950.0</v>
      </c>
      <c r="C3759" s="5">
        <f>DATE(2012,12,31)-862</f>
        <v>40412</v>
      </c>
      <c r="D3759" s="4" t="s">
        <v>30</v>
      </c>
      <c r="E3759" s="4">
        <v>38.0</v>
      </c>
      <c r="F3759" s="4">
        <v>1142.485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0.57</v>
      </c>
      <c r="U3759" s="5">
        <f>C3759+1</f>
        <v>40413</v>
      </c>
    </row>
    <row r="3760" ht="12.75" customHeight="1">
      <c r="A3760" s="4">
        <v>6065.0</v>
      </c>
      <c r="B3760" s="4">
        <v>42951.0</v>
      </c>
      <c r="C3760" s="5">
        <f>DATE(2012,12,31)-106</f>
        <v>41168</v>
      </c>
      <c r="D3760" s="4" t="s">
        <v>78</v>
      </c>
      <c r="E3760" s="4">
        <v>20.0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9">C3760+2</f>
        <v>41170</v>
      </c>
    </row>
    <row r="3761" ht="12.75" customHeight="1">
      <c r="A3761" s="4">
        <v>6094.0</v>
      </c>
      <c r="B3761" s="4">
        <v>43172.0</v>
      </c>
      <c r="C3761" s="5">
        <f>DATE(2012,12,31)-1277</f>
        <v>39997</v>
      </c>
      <c r="D3761" s="4" t="s">
        <v>21</v>
      </c>
      <c r="E3761" s="4">
        <v>19.0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9"/>
        <v>39999</v>
      </c>
    </row>
    <row r="3762" ht="12.75" customHeight="1">
      <c r="A3762" s="4">
        <v>6108.0</v>
      </c>
      <c r="B3762" s="4">
        <v>43270.0</v>
      </c>
      <c r="C3762" s="5">
        <f>DATE(2012,12,31)-121</f>
        <v>41153</v>
      </c>
      <c r="D3762" s="4" t="s">
        <v>78</v>
      </c>
      <c r="E3762" s="4">
        <v>35.0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9"/>
        <v>41155</v>
      </c>
    </row>
    <row r="3763" ht="12.75" customHeight="1">
      <c r="A3763" s="4">
        <v>6109.0</v>
      </c>
      <c r="B3763" s="4">
        <v>43271.0</v>
      </c>
      <c r="C3763" s="5">
        <f>DATE(2012,12,31)-1034</f>
        <v>40240</v>
      </c>
      <c r="D3763" s="4" t="s">
        <v>63</v>
      </c>
      <c r="E3763" s="4">
        <v>2.0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0.58</v>
      </c>
      <c r="U3763" s="5">
        <f>C3763+1</f>
        <v>40241</v>
      </c>
    </row>
    <row r="3764" ht="12.75" customHeight="1">
      <c r="A3764" s="4">
        <v>6168.0</v>
      </c>
      <c r="B3764" s="4">
        <v>43745.0</v>
      </c>
      <c r="C3764" s="5">
        <f t="shared" ref="C3764:C3767" si="1560">DATE(2012,12,31)-791</f>
        <v>40483</v>
      </c>
      <c r="D3764" s="4" t="s">
        <v>21</v>
      </c>
      <c r="E3764" s="4">
        <v>43.0</v>
      </c>
      <c r="F3764" s="4">
        <v>2433.53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0.57</v>
      </c>
      <c r="U3764" s="5">
        <f>C3764+0</f>
        <v>40483</v>
      </c>
    </row>
    <row r="3765" ht="12.75" customHeight="1">
      <c r="A3765" s="4">
        <v>6169.0</v>
      </c>
      <c r="B3765" s="4">
        <v>43745.0</v>
      </c>
      <c r="C3765" s="5">
        <f t="shared" si="1560"/>
        <v>40483</v>
      </c>
      <c r="D3765" s="4" t="s">
        <v>21</v>
      </c>
      <c r="E3765" s="4">
        <v>26.0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1">C3765+2</f>
        <v>40485</v>
      </c>
    </row>
    <row r="3766" ht="12.75" customHeight="1">
      <c r="A3766" s="4">
        <v>6170.0</v>
      </c>
      <c r="B3766" s="4">
        <v>43745.0</v>
      </c>
      <c r="C3766" s="5">
        <f t="shared" si="1560"/>
        <v>40483</v>
      </c>
      <c r="D3766" s="4" t="s">
        <v>21</v>
      </c>
      <c r="E3766" s="4">
        <v>41.0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1"/>
        <v>40485</v>
      </c>
    </row>
    <row r="3767" ht="12.75" customHeight="1">
      <c r="A3767" s="4">
        <v>6171.0</v>
      </c>
      <c r="B3767" s="4">
        <v>43745.0</v>
      </c>
      <c r="C3767" s="5">
        <f t="shared" si="1560"/>
        <v>40483</v>
      </c>
      <c r="D3767" s="4" t="s">
        <v>21</v>
      </c>
      <c r="E3767" s="4">
        <v>32.0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</v>
      </c>
      <c r="U3767" s="5">
        <f>C3767+0</f>
        <v>40483</v>
      </c>
    </row>
    <row r="3768" ht="12.75" customHeight="1">
      <c r="A3768" s="4">
        <v>6175.0</v>
      </c>
      <c r="B3768" s="4">
        <v>43779.0</v>
      </c>
      <c r="C3768" s="5">
        <f>DATE(2012,12,31)-1228</f>
        <v>40046</v>
      </c>
      <c r="D3768" s="4" t="s">
        <v>30</v>
      </c>
      <c r="E3768" s="4">
        <v>20.0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ht="12.75" customHeight="1">
      <c r="A3769" s="4">
        <v>6194.0</v>
      </c>
      <c r="B3769" s="4">
        <v>43877.0</v>
      </c>
      <c r="C3769" s="5">
        <f>DATE(2012,12,31)-1022</f>
        <v>40252</v>
      </c>
      <c r="D3769" s="4" t="s">
        <v>21</v>
      </c>
      <c r="E3769" s="4">
        <v>36.0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0.58</v>
      </c>
      <c r="U3769" s="5">
        <f>C3769+0</f>
        <v>40252</v>
      </c>
    </row>
    <row r="3770" ht="12.75" customHeight="1">
      <c r="A3770" s="4">
        <v>6198.0</v>
      </c>
      <c r="B3770" s="4">
        <v>43907.0</v>
      </c>
      <c r="C3770" s="5">
        <f>DATE(2012,12,31)-166</f>
        <v>41108</v>
      </c>
      <c r="D3770" s="4" t="s">
        <v>78</v>
      </c>
      <c r="E3770" s="4">
        <v>42.0</v>
      </c>
      <c r="F3770" s="4">
        <v>1392.77</v>
      </c>
      <c r="G3770" s="4">
        <v>0.0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ht="12.75" customHeight="1">
      <c r="A3771" s="4">
        <v>6204.0</v>
      </c>
      <c r="B3771" s="4">
        <v>43940.0</v>
      </c>
      <c r="C3771" s="5">
        <f t="shared" ref="C3771:C3772" si="1562">DATE(2012,12,31)-1044</f>
        <v>40230</v>
      </c>
      <c r="D3771" s="4" t="s">
        <v>78</v>
      </c>
      <c r="E3771" s="4">
        <v>12.0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3">C3771+1</f>
        <v>40231</v>
      </c>
    </row>
    <row r="3772" ht="12.75" customHeight="1">
      <c r="A3772" s="4">
        <v>6205.0</v>
      </c>
      <c r="B3772" s="4">
        <v>43940.0</v>
      </c>
      <c r="C3772" s="5">
        <f t="shared" si="1562"/>
        <v>40230</v>
      </c>
      <c r="D3772" s="4" t="s">
        <v>78</v>
      </c>
      <c r="E3772" s="4">
        <v>44.0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3"/>
        <v>40231</v>
      </c>
    </row>
    <row r="3773" ht="12.75" customHeight="1">
      <c r="A3773" s="4">
        <v>6218.0</v>
      </c>
      <c r="B3773" s="4">
        <v>44036.0</v>
      </c>
      <c r="C3773" s="5">
        <f>DATE(2012,12,31)-355</f>
        <v>40919</v>
      </c>
      <c r="D3773" s="4" t="s">
        <v>30</v>
      </c>
      <c r="E3773" s="4">
        <v>40.0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</v>
      </c>
      <c r="U3773" s="5">
        <f t="shared" ref="U3773:U3775" si="1564">C3773+2</f>
        <v>40921</v>
      </c>
    </row>
    <row r="3774" ht="12.75" customHeight="1">
      <c r="A3774" s="4">
        <v>6241.0</v>
      </c>
      <c r="B3774" s="4">
        <v>44225.0</v>
      </c>
      <c r="C3774" s="5">
        <f>DATE(2012,12,31)-1368</f>
        <v>39906</v>
      </c>
      <c r="D3774" s="4" t="s">
        <v>30</v>
      </c>
      <c r="E3774" s="4">
        <v>29.0</v>
      </c>
      <c r="F3774" s="4">
        <v>1958.32</v>
      </c>
      <c r="G3774" s="4">
        <v>0.0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4"/>
        <v>39908</v>
      </c>
    </row>
    <row r="3775" ht="12.75" customHeight="1">
      <c r="A3775" s="4">
        <v>6265.0</v>
      </c>
      <c r="B3775" s="4">
        <v>44352.0</v>
      </c>
      <c r="C3775" s="5">
        <f>DATE(2012,12,31)-1203</f>
        <v>40071</v>
      </c>
      <c r="D3775" s="4" t="s">
        <v>45</v>
      </c>
      <c r="E3775" s="4">
        <v>25.0</v>
      </c>
      <c r="F3775" s="4">
        <v>81.76</v>
      </c>
      <c r="G3775" s="4">
        <v>0.06</v>
      </c>
      <c r="H3775" s="4" t="s">
        <v>22</v>
      </c>
      <c r="I3775" s="6">
        <v>8.53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4"/>
        <v>40073</v>
      </c>
    </row>
    <row r="3776" ht="12.75" customHeight="1">
      <c r="A3776" s="4">
        <v>6286.0</v>
      </c>
      <c r="B3776" s="4">
        <v>44487.0</v>
      </c>
      <c r="C3776" s="5">
        <f t="shared" ref="C3776:C3777" si="1565">DATE(2012,12,31)-1207</f>
        <v>40067</v>
      </c>
      <c r="D3776" s="4" t="s">
        <v>78</v>
      </c>
      <c r="E3776" s="4">
        <v>4.0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ht="12.75" customHeight="1">
      <c r="A3777" s="4">
        <v>6287.0</v>
      </c>
      <c r="B3777" s="4">
        <v>44487.0</v>
      </c>
      <c r="C3777" s="5">
        <f t="shared" si="1565"/>
        <v>40067</v>
      </c>
      <c r="D3777" s="4" t="s">
        <v>78</v>
      </c>
      <c r="E3777" s="4">
        <v>37.0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ht="12.75" customHeight="1">
      <c r="A3778" s="4">
        <v>6325.0</v>
      </c>
      <c r="B3778" s="4">
        <v>44775.0</v>
      </c>
      <c r="C3778" s="5">
        <f>DATE(2012,12,31)-1189</f>
        <v>40085</v>
      </c>
      <c r="D3778" s="4" t="s">
        <v>63</v>
      </c>
      <c r="E3778" s="4">
        <v>29.0</v>
      </c>
      <c r="F3778" s="4">
        <v>209.3</v>
      </c>
      <c r="G3778" s="4">
        <v>0.07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ht="12.75" customHeight="1">
      <c r="A3779" s="4">
        <v>6511.0</v>
      </c>
      <c r="B3779" s="4">
        <v>46337.0</v>
      </c>
      <c r="C3779" s="5">
        <f>DATE(2012,12,31)-248</f>
        <v>41026</v>
      </c>
      <c r="D3779" s="4" t="s">
        <v>21</v>
      </c>
      <c r="E3779" s="4">
        <v>34.0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</v>
      </c>
      <c r="U3779" s="5">
        <f>C3779+5</f>
        <v>41031</v>
      </c>
    </row>
    <row r="3780" ht="12.75" customHeight="1">
      <c r="A3780" s="4">
        <v>6547.0</v>
      </c>
      <c r="B3780" s="4">
        <v>46562.0</v>
      </c>
      <c r="C3780" s="5">
        <f>DATE(2012,12,31)-688</f>
        <v>40586</v>
      </c>
      <c r="D3780" s="4" t="s">
        <v>45</v>
      </c>
      <c r="E3780" s="4">
        <v>35.0</v>
      </c>
      <c r="F3780" s="4">
        <v>5407.9</v>
      </c>
      <c r="G3780" s="4">
        <v>0.01</v>
      </c>
      <c r="H3780" s="4" t="s">
        <v>31</v>
      </c>
      <c r="I3780" s="6">
        <v>-352.789866</v>
      </c>
      <c r="J3780" s="4">
        <v>145.98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ht="12.75" customHeight="1">
      <c r="A3781" s="4">
        <v>6552.0</v>
      </c>
      <c r="B3781" s="4">
        <v>46597.0</v>
      </c>
      <c r="C3781" s="5">
        <f t="shared" ref="C3781:C3783" si="1566">DATE(2012,12,31)-1096</f>
        <v>40178</v>
      </c>
      <c r="D3781" s="4" t="s">
        <v>45</v>
      </c>
      <c r="E3781" s="4">
        <v>47.0</v>
      </c>
      <c r="F3781" s="4">
        <v>8216.592999999999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ht="12.75" customHeight="1">
      <c r="A3782" s="4">
        <v>6553.0</v>
      </c>
      <c r="B3782" s="4">
        <v>46597.0</v>
      </c>
      <c r="C3782" s="5">
        <f t="shared" si="1566"/>
        <v>40178</v>
      </c>
      <c r="D3782" s="4" t="s">
        <v>45</v>
      </c>
      <c r="E3782" s="4">
        <v>10.0</v>
      </c>
      <c r="F3782" s="4">
        <v>130.36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7">C3782+2</f>
        <v>40180</v>
      </c>
    </row>
    <row r="3783" ht="12.75" customHeight="1">
      <c r="A3783" s="4">
        <v>6554.0</v>
      </c>
      <c r="B3783" s="4">
        <v>46597.0</v>
      </c>
      <c r="C3783" s="5">
        <f t="shared" si="1566"/>
        <v>40178</v>
      </c>
      <c r="D3783" s="4" t="s">
        <v>45</v>
      </c>
      <c r="E3783" s="4">
        <v>1.0</v>
      </c>
      <c r="F3783" s="4">
        <v>200.57</v>
      </c>
      <c r="G3783" s="4">
        <v>0.0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7"/>
        <v>40180</v>
      </c>
    </row>
    <row r="3784" ht="12.75" customHeight="1">
      <c r="A3784" s="4">
        <v>6570.0</v>
      </c>
      <c r="B3784" s="4">
        <v>46725.0</v>
      </c>
      <c r="C3784" s="5">
        <f t="shared" ref="C3784:C3785" si="1568">DATE(2012,12,31)-833</f>
        <v>40441</v>
      </c>
      <c r="D3784" s="4" t="s">
        <v>45</v>
      </c>
      <c r="E3784" s="4">
        <v>13.0</v>
      </c>
      <c r="F3784" s="4">
        <v>80.0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</v>
      </c>
      <c r="U3784" s="5">
        <f t="shared" si="1567"/>
        <v>40443</v>
      </c>
    </row>
    <row r="3785" ht="12.75" customHeight="1">
      <c r="A3785" s="4">
        <v>6571.0</v>
      </c>
      <c r="B3785" s="4">
        <v>46725.0</v>
      </c>
      <c r="C3785" s="5">
        <f t="shared" si="1568"/>
        <v>40441</v>
      </c>
      <c r="D3785" s="4" t="s">
        <v>45</v>
      </c>
      <c r="E3785" s="4">
        <v>8.0</v>
      </c>
      <c r="F3785" s="4">
        <v>137.42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0.58</v>
      </c>
      <c r="U3785" s="5">
        <f>C3785+1</f>
        <v>40442</v>
      </c>
    </row>
    <row r="3786" ht="12.75" customHeight="1">
      <c r="A3786" s="4">
        <v>6575.0</v>
      </c>
      <c r="B3786" s="4">
        <v>46787.0</v>
      </c>
      <c r="C3786" s="5">
        <f t="shared" ref="C3786:C3787" si="1569">DATE(2012,12,31)-277</f>
        <v>40997</v>
      </c>
      <c r="D3786" s="4" t="s">
        <v>63</v>
      </c>
      <c r="E3786" s="4">
        <v>28.0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70">C3786+2</f>
        <v>40999</v>
      </c>
    </row>
    <row r="3787" ht="12.75" customHeight="1">
      <c r="A3787" s="4">
        <v>6576.0</v>
      </c>
      <c r="B3787" s="4">
        <v>46787.0</v>
      </c>
      <c r="C3787" s="5">
        <f t="shared" si="1569"/>
        <v>40997</v>
      </c>
      <c r="D3787" s="4" t="s">
        <v>63</v>
      </c>
      <c r="E3787" s="4">
        <v>32.0</v>
      </c>
      <c r="F3787" s="4">
        <v>693.17</v>
      </c>
      <c r="G3787" s="4">
        <v>0.07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0.57</v>
      </c>
      <c r="U3787" s="5">
        <f t="shared" si="1570"/>
        <v>40999</v>
      </c>
    </row>
    <row r="3788" ht="12.75" customHeight="1">
      <c r="A3788" s="4">
        <v>6592.0</v>
      </c>
      <c r="B3788" s="4">
        <v>46916.0</v>
      </c>
      <c r="C3788" s="5">
        <f>DATE(2012,12,31)-455</f>
        <v>40819</v>
      </c>
      <c r="D3788" s="4" t="s">
        <v>30</v>
      </c>
      <c r="E3788" s="4">
        <v>40.0</v>
      </c>
      <c r="F3788" s="4">
        <v>115.51</v>
      </c>
      <c r="G3788" s="4">
        <v>0.0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70"/>
        <v>40821</v>
      </c>
    </row>
    <row r="3789" ht="12.75" customHeight="1">
      <c r="A3789" s="4">
        <v>6643.0</v>
      </c>
      <c r="B3789" s="4">
        <v>47265.0</v>
      </c>
      <c r="C3789" s="5">
        <f>DATE(2012,12,31)-387</f>
        <v>40887</v>
      </c>
      <c r="D3789" s="4" t="s">
        <v>78</v>
      </c>
      <c r="E3789" s="4">
        <v>31.0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ht="12.75" customHeight="1">
      <c r="A3790" s="4">
        <v>6813.0</v>
      </c>
      <c r="B3790" s="4">
        <v>48487.0</v>
      </c>
      <c r="C3790" s="5">
        <f>DATE(2012,12,31)-1085</f>
        <v>40189</v>
      </c>
      <c r="D3790" s="4" t="s">
        <v>21</v>
      </c>
      <c r="E3790" s="4">
        <v>27.0</v>
      </c>
      <c r="F3790" s="4">
        <v>360.7</v>
      </c>
      <c r="G3790" s="4">
        <v>0.0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1">C3790+2</f>
        <v>40191</v>
      </c>
    </row>
    <row r="3791" ht="12.75" customHeight="1">
      <c r="A3791" s="4">
        <v>6850.0</v>
      </c>
      <c r="B3791" s="4">
        <v>48774.0</v>
      </c>
      <c r="C3791" s="5">
        <f>DATE(2012,12,31)-144</f>
        <v>41130</v>
      </c>
      <c r="D3791" s="4" t="s">
        <v>30</v>
      </c>
      <c r="E3791" s="4">
        <v>31.0</v>
      </c>
      <c r="F3791" s="4">
        <v>7323.78</v>
      </c>
      <c r="G3791" s="4">
        <v>0.04</v>
      </c>
      <c r="H3791" s="4" t="s">
        <v>31</v>
      </c>
      <c r="I3791" s="6">
        <v>573.55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0.57</v>
      </c>
      <c r="U3791" s="5">
        <f t="shared" si="1571"/>
        <v>41132</v>
      </c>
    </row>
    <row r="3792" ht="12.75" customHeight="1">
      <c r="A3792" s="4">
        <v>6924.0</v>
      </c>
      <c r="B3792" s="4">
        <v>49381.0</v>
      </c>
      <c r="C3792" s="5">
        <f>DATE(2012,12,31)-18</f>
        <v>41256</v>
      </c>
      <c r="D3792" s="4" t="s">
        <v>45</v>
      </c>
      <c r="E3792" s="4">
        <v>21.0</v>
      </c>
      <c r="F3792" s="4">
        <v>1537.5</v>
      </c>
      <c r="G3792" s="4">
        <v>0.04</v>
      </c>
      <c r="H3792" s="4" t="s">
        <v>22</v>
      </c>
      <c r="I3792" s="6">
        <v>-531.92</v>
      </c>
      <c r="J3792" s="4">
        <v>70.98</v>
      </c>
      <c r="K3792" s="4">
        <v>35.0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ht="12.75" customHeight="1">
      <c r="A3793" s="4">
        <v>6951.0</v>
      </c>
      <c r="B3793" s="4">
        <v>49666.0</v>
      </c>
      <c r="C3793" s="5">
        <f>DATE(2012,12,31)-1243</f>
        <v>40031</v>
      </c>
      <c r="D3793" s="4" t="s">
        <v>21</v>
      </c>
      <c r="E3793" s="4">
        <v>46.0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</v>
      </c>
      <c r="U3793" s="5">
        <f>C3793+4</f>
        <v>40035</v>
      </c>
    </row>
    <row r="3794" ht="12.75" customHeight="1">
      <c r="A3794" s="4">
        <v>6959.0</v>
      </c>
      <c r="B3794" s="4">
        <v>49762.0</v>
      </c>
      <c r="C3794" s="5">
        <f>DATE(2012,12,31)-565</f>
        <v>40709</v>
      </c>
      <c r="D3794" s="4" t="s">
        <v>30</v>
      </c>
      <c r="E3794" s="4">
        <v>35.0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2">C3794+2</f>
        <v>40711</v>
      </c>
    </row>
    <row r="3795" ht="12.75" customHeight="1">
      <c r="A3795" s="4">
        <v>6976.0</v>
      </c>
      <c r="B3795" s="4">
        <v>49831.0</v>
      </c>
      <c r="C3795" s="5">
        <f>DATE(2012,12,31)-861</f>
        <v>40413</v>
      </c>
      <c r="D3795" s="4" t="s">
        <v>78</v>
      </c>
      <c r="E3795" s="4">
        <v>18.0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2"/>
        <v>40415</v>
      </c>
    </row>
    <row r="3796" ht="12.75" customHeight="1">
      <c r="A3796" s="4">
        <v>6982.0</v>
      </c>
      <c r="B3796" s="4">
        <v>49892.0</v>
      </c>
      <c r="C3796" s="5">
        <f>DATE(2012,12,31)-690</f>
        <v>40584</v>
      </c>
      <c r="D3796" s="4" t="s">
        <v>21</v>
      </c>
      <c r="E3796" s="4">
        <v>26.0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</v>
      </c>
      <c r="K3796" s="4">
        <v>49.0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ht="12.75" customHeight="1">
      <c r="A3797" s="4">
        <v>7001.0</v>
      </c>
      <c r="B3797" s="4">
        <v>49988.0</v>
      </c>
      <c r="C3797" s="5">
        <f t="shared" ref="C3797:C3799" si="1573">DATE(2012,12,31)-742</f>
        <v>40532</v>
      </c>
      <c r="D3797" s="4" t="s">
        <v>30</v>
      </c>
      <c r="E3797" s="4">
        <v>43.0</v>
      </c>
      <c r="F3797" s="4">
        <v>7731.09</v>
      </c>
      <c r="G3797" s="4">
        <v>0.0</v>
      </c>
      <c r="H3797" s="4" t="s">
        <v>22</v>
      </c>
      <c r="I3797" s="6">
        <v>-222.17</v>
      </c>
      <c r="J3797" s="4">
        <v>167.27</v>
      </c>
      <c r="K3797" s="4">
        <v>35.0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ht="12.75" customHeight="1">
      <c r="A3798" s="4">
        <v>7002.0</v>
      </c>
      <c r="B3798" s="4">
        <v>49988.0</v>
      </c>
      <c r="C3798" s="5">
        <f t="shared" si="1573"/>
        <v>40532</v>
      </c>
      <c r="D3798" s="4" t="s">
        <v>30</v>
      </c>
      <c r="E3798" s="4">
        <v>33.0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ht="12.75" customHeight="1">
      <c r="A3799" s="4">
        <v>7003.0</v>
      </c>
      <c r="B3799" s="4">
        <v>49988.0</v>
      </c>
      <c r="C3799" s="5">
        <f t="shared" si="1573"/>
        <v>40532</v>
      </c>
      <c r="D3799" s="4" t="s">
        <v>30</v>
      </c>
      <c r="E3799" s="4">
        <v>33.0</v>
      </c>
      <c r="F3799" s="4">
        <v>5834.6465</v>
      </c>
      <c r="G3799" s="4">
        <v>0.01</v>
      </c>
      <c r="H3799" s="4" t="s">
        <v>22</v>
      </c>
      <c r="I3799" s="6">
        <v>1619.658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0.58</v>
      </c>
      <c r="U3799" s="5">
        <f>C3799+3</f>
        <v>40535</v>
      </c>
    </row>
    <row r="3800" ht="12.75" customHeight="1">
      <c r="A3800" s="4">
        <v>7049.0</v>
      </c>
      <c r="B3800" s="4">
        <v>50308.0</v>
      </c>
      <c r="C3800" s="5">
        <f>DATE(2012,12,31)-74</f>
        <v>41200</v>
      </c>
      <c r="D3800" s="4" t="s">
        <v>21</v>
      </c>
      <c r="E3800" s="4">
        <v>19.0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ht="12.75" customHeight="1">
      <c r="A3801" s="4">
        <v>7104.0</v>
      </c>
      <c r="B3801" s="4">
        <v>50692.0</v>
      </c>
      <c r="C3801" s="5">
        <f t="shared" ref="C3801:C3802" si="1574">DATE(2012,12,31)-836</f>
        <v>40438</v>
      </c>
      <c r="D3801" s="4" t="s">
        <v>30</v>
      </c>
      <c r="E3801" s="4">
        <v>28.0</v>
      </c>
      <c r="F3801" s="4">
        <v>327.95</v>
      </c>
      <c r="G3801" s="4">
        <v>0.0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5">C3801+2</f>
        <v>40440</v>
      </c>
    </row>
    <row r="3802" ht="12.75" customHeight="1">
      <c r="A3802" s="4">
        <v>7105.0</v>
      </c>
      <c r="B3802" s="4">
        <v>50692.0</v>
      </c>
      <c r="C3802" s="5">
        <f t="shared" si="1574"/>
        <v>40438</v>
      </c>
      <c r="D3802" s="4" t="s">
        <v>30</v>
      </c>
      <c r="E3802" s="4">
        <v>47.0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5"/>
        <v>40440</v>
      </c>
    </row>
    <row r="3803" ht="12.75" customHeight="1">
      <c r="A3803" s="4">
        <v>7107.0</v>
      </c>
      <c r="B3803" s="4">
        <v>50725.0</v>
      </c>
      <c r="C3803" s="5">
        <f>DATE(2012,12,31)-769</f>
        <v>40505</v>
      </c>
      <c r="D3803" s="4" t="s">
        <v>63</v>
      </c>
      <c r="E3803" s="4">
        <v>1.0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30.0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6">C3803+1</f>
        <v>40506</v>
      </c>
    </row>
    <row r="3804" ht="12.75" customHeight="1">
      <c r="A3804" s="4">
        <v>7146.0</v>
      </c>
      <c r="B3804" s="4">
        <v>50982.0</v>
      </c>
      <c r="C3804" s="5">
        <f>DATE(2012,12,31)-259</f>
        <v>41015</v>
      </c>
      <c r="D3804" s="4" t="s">
        <v>30</v>
      </c>
      <c r="E3804" s="4">
        <v>23.0</v>
      </c>
      <c r="F3804" s="4">
        <v>86.53</v>
      </c>
      <c r="G3804" s="4">
        <v>0.05</v>
      </c>
      <c r="H3804" s="4" t="s">
        <v>22</v>
      </c>
      <c r="I3804" s="6">
        <v>35.62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6"/>
        <v>41016</v>
      </c>
    </row>
    <row r="3805" ht="12.75" customHeight="1">
      <c r="A3805" s="4">
        <v>7149.0</v>
      </c>
      <c r="B3805" s="4">
        <v>51008.0</v>
      </c>
      <c r="C3805" s="5">
        <f>DATE(2012,12,31)-499</f>
        <v>40775</v>
      </c>
      <c r="D3805" s="4" t="s">
        <v>30</v>
      </c>
      <c r="E3805" s="4">
        <v>20.0</v>
      </c>
      <c r="F3805" s="4">
        <v>269.66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ht="12.75" customHeight="1">
      <c r="A3806" s="4">
        <v>7211.0</v>
      </c>
      <c r="B3806" s="4">
        <v>51463.0</v>
      </c>
      <c r="C3806" s="5">
        <f t="shared" ref="C3806:C3807" si="1577">DATE(2012,12,31)-380</f>
        <v>40894</v>
      </c>
      <c r="D3806" s="4" t="s">
        <v>21</v>
      </c>
      <c r="E3806" s="4">
        <v>4.0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ht="12.75" customHeight="1">
      <c r="A3807" s="4">
        <v>7212.0</v>
      </c>
      <c r="B3807" s="4">
        <v>51463.0</v>
      </c>
      <c r="C3807" s="5">
        <f t="shared" si="1577"/>
        <v>40894</v>
      </c>
      <c r="D3807" s="4" t="s">
        <v>21</v>
      </c>
      <c r="E3807" s="4">
        <v>7.0</v>
      </c>
      <c r="F3807" s="4">
        <v>405.3395</v>
      </c>
      <c r="G3807" s="4">
        <v>0.01</v>
      </c>
      <c r="H3807" s="4" t="s">
        <v>56</v>
      </c>
      <c r="I3807" s="6">
        <v>-147.884</v>
      </c>
      <c r="J3807" s="4">
        <v>65.99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</v>
      </c>
      <c r="U3807" s="5">
        <f>C3807+0</f>
        <v>40894</v>
      </c>
    </row>
    <row r="3808" ht="12.75" customHeight="1">
      <c r="A3808" s="4">
        <v>7279.0</v>
      </c>
      <c r="B3808" s="4">
        <v>51943.0</v>
      </c>
      <c r="C3808" s="5">
        <f t="shared" ref="C3808:C3810" si="1578">DATE(2012,12,31)-1347</f>
        <v>39927</v>
      </c>
      <c r="D3808" s="4" t="s">
        <v>30</v>
      </c>
      <c r="E3808" s="4">
        <v>11.0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9">C3808+1</f>
        <v>39928</v>
      </c>
    </row>
    <row r="3809" ht="12.75" customHeight="1">
      <c r="A3809" s="4">
        <v>7280.0</v>
      </c>
      <c r="B3809" s="4">
        <v>51943.0</v>
      </c>
      <c r="C3809" s="5">
        <f t="shared" si="1578"/>
        <v>39927</v>
      </c>
      <c r="D3809" s="4" t="s">
        <v>30</v>
      </c>
      <c r="E3809" s="4">
        <v>13.0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9"/>
        <v>39928</v>
      </c>
    </row>
    <row r="3810" ht="12.75" customHeight="1">
      <c r="A3810" s="4">
        <v>7281.0</v>
      </c>
      <c r="B3810" s="4">
        <v>51943.0</v>
      </c>
      <c r="C3810" s="5">
        <f t="shared" si="1578"/>
        <v>39927</v>
      </c>
      <c r="D3810" s="4" t="s">
        <v>30</v>
      </c>
      <c r="E3810" s="4">
        <v>28.0</v>
      </c>
      <c r="F3810" s="4">
        <v>140.02</v>
      </c>
      <c r="G3810" s="4">
        <v>0.03</v>
      </c>
      <c r="H3810" s="4" t="s">
        <v>22</v>
      </c>
      <c r="I3810" s="6">
        <v>66.71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ht="12.75" customHeight="1">
      <c r="A3811" s="4">
        <v>7299.0</v>
      </c>
      <c r="B3811" s="4">
        <v>52039.0</v>
      </c>
      <c r="C3811" s="5">
        <f>DATE(2012,12,31)-151</f>
        <v>41123</v>
      </c>
      <c r="D3811" s="4" t="s">
        <v>78</v>
      </c>
      <c r="E3811" s="4">
        <v>48.0</v>
      </c>
      <c r="F3811" s="4">
        <v>2006.38</v>
      </c>
      <c r="G3811" s="4">
        <v>0.0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ht="12.75" customHeight="1">
      <c r="A3812" s="4">
        <v>7336.0</v>
      </c>
      <c r="B3812" s="4">
        <v>52290.0</v>
      </c>
      <c r="C3812" s="5">
        <f t="shared" ref="C3812:C3813" si="1580">DATE(2012,12,31)-224</f>
        <v>41050</v>
      </c>
      <c r="D3812" s="4" t="s">
        <v>21</v>
      </c>
      <c r="E3812" s="4">
        <v>7.0</v>
      </c>
      <c r="F3812" s="4">
        <v>1134.05</v>
      </c>
      <c r="G3812" s="4">
        <v>0.08</v>
      </c>
      <c r="H3812" s="4" t="s">
        <v>22</v>
      </c>
      <c r="I3812" s="6">
        <v>149.498</v>
      </c>
      <c r="J3812" s="4">
        <v>172.99</v>
      </c>
      <c r="K3812" s="4">
        <v>19.99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ht="12.75" customHeight="1">
      <c r="A3813" s="4">
        <v>7337.0</v>
      </c>
      <c r="B3813" s="4">
        <v>52290.0</v>
      </c>
      <c r="C3813" s="5">
        <f t="shared" si="1580"/>
        <v>41050</v>
      </c>
      <c r="D3813" s="4" t="s">
        <v>21</v>
      </c>
      <c r="E3813" s="4">
        <v>28.0</v>
      </c>
      <c r="F3813" s="4">
        <v>1470.0495</v>
      </c>
      <c r="G3813" s="4">
        <v>0.1</v>
      </c>
      <c r="H3813" s="4" t="s">
        <v>22</v>
      </c>
      <c r="I3813" s="6">
        <v>185.94</v>
      </c>
      <c r="J3813" s="4">
        <v>65.99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0.57</v>
      </c>
      <c r="U3813" s="5">
        <f>C3813+9</f>
        <v>41059</v>
      </c>
    </row>
    <row r="3814" ht="12.75" customHeight="1">
      <c r="A3814" s="4">
        <v>7362.0</v>
      </c>
      <c r="B3814" s="4">
        <v>52480.0</v>
      </c>
      <c r="C3814" s="5">
        <f>DATE(2012,12,31)-888</f>
        <v>40386</v>
      </c>
      <c r="D3814" s="4" t="s">
        <v>45</v>
      </c>
      <c r="E3814" s="4">
        <v>47.0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ht="12.75" customHeight="1">
      <c r="A3815" s="4">
        <v>7365.0</v>
      </c>
      <c r="B3815" s="4">
        <v>52486.0</v>
      </c>
      <c r="C3815" s="5">
        <f>DATE(2012,12,31)-727</f>
        <v>40547</v>
      </c>
      <c r="D3815" s="4" t="s">
        <v>45</v>
      </c>
      <c r="E3815" s="4">
        <v>41.0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ht="12.75" customHeight="1">
      <c r="A3816" s="4">
        <v>7372.0</v>
      </c>
      <c r="B3816" s="4">
        <v>52519.0</v>
      </c>
      <c r="C3816" s="5">
        <f>DATE(2012,12,31)-246</f>
        <v>41028</v>
      </c>
      <c r="D3816" s="4" t="s">
        <v>30</v>
      </c>
      <c r="E3816" s="4">
        <v>6.0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0.58</v>
      </c>
      <c r="U3816" s="5">
        <f>C3816+2</f>
        <v>41030</v>
      </c>
    </row>
    <row r="3817" ht="12.75" customHeight="1">
      <c r="A3817" s="4">
        <v>7448.0</v>
      </c>
      <c r="B3817" s="4">
        <v>53152.0</v>
      </c>
      <c r="C3817" s="5">
        <f>DATE(2012,12,31)-1397</f>
        <v>39877</v>
      </c>
      <c r="D3817" s="4" t="s">
        <v>63</v>
      </c>
      <c r="E3817" s="4">
        <v>36.0</v>
      </c>
      <c r="F3817" s="4">
        <v>2051.8235</v>
      </c>
      <c r="G3817" s="4">
        <v>0.01</v>
      </c>
      <c r="H3817" s="4" t="s">
        <v>56</v>
      </c>
      <c r="I3817" s="6">
        <v>350.361</v>
      </c>
      <c r="J3817" s="4">
        <v>65.99</v>
      </c>
      <c r="K3817" s="4">
        <v>8.8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0.58</v>
      </c>
      <c r="U3817" s="5">
        <f>C3817+0</f>
        <v>39877</v>
      </c>
    </row>
    <row r="3818" ht="12.75" customHeight="1">
      <c r="A3818" s="4">
        <v>7454.0</v>
      </c>
      <c r="B3818" s="4">
        <v>53188.0</v>
      </c>
      <c r="C3818" s="5">
        <f>DATE(2012,12,31)-56</f>
        <v>41218</v>
      </c>
      <c r="D3818" s="4" t="s">
        <v>30</v>
      </c>
      <c r="E3818" s="4">
        <v>22.0</v>
      </c>
      <c r="F3818" s="4">
        <v>621.21</v>
      </c>
      <c r="G3818" s="4">
        <v>0.07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ht="12.75" customHeight="1">
      <c r="A3819" s="4">
        <v>7461.0</v>
      </c>
      <c r="B3819" s="4">
        <v>53223.0</v>
      </c>
      <c r="C3819" s="5">
        <f>DATE(2012,12,31)-170</f>
        <v>41104</v>
      </c>
      <c r="D3819" s="4" t="s">
        <v>21</v>
      </c>
      <c r="E3819" s="4">
        <v>2.0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ht="12.75" customHeight="1">
      <c r="A3820" s="4">
        <v>7462.0</v>
      </c>
      <c r="B3820" s="4">
        <v>53248.0</v>
      </c>
      <c r="C3820" s="5">
        <f>DATE(2012,12,31)-794</f>
        <v>40480</v>
      </c>
      <c r="D3820" s="4" t="s">
        <v>78</v>
      </c>
      <c r="E3820" s="4">
        <v>7.0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1">C3820+1</f>
        <v>40481</v>
      </c>
    </row>
    <row r="3821" ht="12.75" customHeight="1">
      <c r="A3821" s="4">
        <v>7481.0</v>
      </c>
      <c r="B3821" s="4">
        <v>53411.0</v>
      </c>
      <c r="C3821" s="5">
        <f>DATE(2012,12,31)-398</f>
        <v>40876</v>
      </c>
      <c r="D3821" s="4" t="s">
        <v>78</v>
      </c>
      <c r="E3821" s="4">
        <v>25.0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4.0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1"/>
        <v>40877</v>
      </c>
    </row>
    <row r="3822" ht="12.75" customHeight="1">
      <c r="A3822" s="4">
        <v>7517.0</v>
      </c>
      <c r="B3822" s="4">
        <v>53668.0</v>
      </c>
      <c r="C3822" s="5">
        <f>DATE(2012,12,31)-1006</f>
        <v>40268</v>
      </c>
      <c r="D3822" s="4" t="s">
        <v>45</v>
      </c>
      <c r="E3822" s="4">
        <v>9.0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0.57</v>
      </c>
      <c r="U3822" s="5">
        <f t="shared" si="1581"/>
        <v>40269</v>
      </c>
    </row>
    <row r="3823" ht="12.75" customHeight="1">
      <c r="A3823" s="4">
        <v>7524.0</v>
      </c>
      <c r="B3823" s="4">
        <v>53730.0</v>
      </c>
      <c r="C3823" s="5">
        <f>DATE(2012,12,31)-2</f>
        <v>41272</v>
      </c>
      <c r="D3823" s="4" t="s">
        <v>30</v>
      </c>
      <c r="E3823" s="4">
        <v>40.0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1"/>
        <v>41273</v>
      </c>
    </row>
    <row r="3824" ht="12.75" customHeight="1">
      <c r="A3824" s="4">
        <v>7550.0</v>
      </c>
      <c r="B3824" s="4">
        <v>54020.0</v>
      </c>
      <c r="C3824" s="5">
        <f t="shared" ref="C3824:C3825" si="1582">DATE(2012,12,31)-335</f>
        <v>40939</v>
      </c>
      <c r="D3824" s="4" t="s">
        <v>21</v>
      </c>
      <c r="E3824" s="4">
        <v>35.0</v>
      </c>
      <c r="F3824" s="4">
        <v>648.58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ht="12.75" customHeight="1">
      <c r="A3825" s="4">
        <v>7551.0</v>
      </c>
      <c r="B3825" s="4">
        <v>54020.0</v>
      </c>
      <c r="C3825" s="5">
        <f t="shared" si="1582"/>
        <v>40939</v>
      </c>
      <c r="D3825" s="4" t="s">
        <v>21</v>
      </c>
      <c r="E3825" s="4">
        <v>43.0</v>
      </c>
      <c r="F3825" s="4">
        <v>270.56</v>
      </c>
      <c r="G3825" s="4">
        <v>0.09</v>
      </c>
      <c r="H3825" s="4" t="s">
        <v>22</v>
      </c>
      <c r="I3825" s="6">
        <v>-140.48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ht="12.75" customHeight="1">
      <c r="A3826" s="4">
        <v>7596.0</v>
      </c>
      <c r="B3826" s="4">
        <v>54368.0</v>
      </c>
      <c r="C3826" s="5">
        <f t="shared" ref="C3826:C3828" si="1583">DATE(2012,12,31)-426</f>
        <v>40848</v>
      </c>
      <c r="D3826" s="4" t="s">
        <v>45</v>
      </c>
      <c r="E3826" s="4">
        <v>31.0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ht="12.75" customHeight="1">
      <c r="A3827" s="4">
        <v>7597.0</v>
      </c>
      <c r="B3827" s="4">
        <v>54368.0</v>
      </c>
      <c r="C3827" s="5">
        <f t="shared" si="1583"/>
        <v>40848</v>
      </c>
      <c r="D3827" s="4" t="s">
        <v>45</v>
      </c>
      <c r="E3827" s="4">
        <v>16.0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4">C3827+1</f>
        <v>40849</v>
      </c>
    </row>
    <row r="3828" ht="12.75" customHeight="1">
      <c r="A3828" s="4">
        <v>7598.0</v>
      </c>
      <c r="B3828" s="4">
        <v>54368.0</v>
      </c>
      <c r="C3828" s="5">
        <f t="shared" si="1583"/>
        <v>40848</v>
      </c>
      <c r="D3828" s="4" t="s">
        <v>45</v>
      </c>
      <c r="E3828" s="4">
        <v>43.0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</v>
      </c>
      <c r="U3828" s="5">
        <f t="shared" si="1584"/>
        <v>40849</v>
      </c>
    </row>
    <row r="3829" ht="12.75" customHeight="1">
      <c r="A3829" s="4">
        <v>7640.0</v>
      </c>
      <c r="B3829" s="4">
        <v>54721.0</v>
      </c>
      <c r="C3829" s="5">
        <f>DATE(2012,12,31)-74</f>
        <v>41200</v>
      </c>
      <c r="D3829" s="4" t="s">
        <v>45</v>
      </c>
      <c r="E3829" s="4">
        <v>19.0</v>
      </c>
      <c r="F3829" s="4">
        <v>2002.4</v>
      </c>
      <c r="G3829" s="4">
        <v>0.0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4"/>
        <v>41201</v>
      </c>
    </row>
    <row r="3830" ht="12.75" customHeight="1">
      <c r="A3830" s="4">
        <v>7673.0</v>
      </c>
      <c r="B3830" s="4">
        <v>55013.0</v>
      </c>
      <c r="C3830" s="5">
        <f t="shared" ref="C3830:C3831" si="1585">DATE(2012,12,31)-538</f>
        <v>40736</v>
      </c>
      <c r="D3830" s="4" t="s">
        <v>21</v>
      </c>
      <c r="E3830" s="4">
        <v>5.0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ht="12.75" customHeight="1">
      <c r="A3831" s="4">
        <v>7674.0</v>
      </c>
      <c r="B3831" s="4">
        <v>55013.0</v>
      </c>
      <c r="C3831" s="5">
        <f t="shared" si="1585"/>
        <v>40736</v>
      </c>
      <c r="D3831" s="4" t="s">
        <v>21</v>
      </c>
      <c r="E3831" s="4">
        <v>14.0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ht="12.75" customHeight="1">
      <c r="A3832" s="4">
        <v>7686.0</v>
      </c>
      <c r="B3832" s="4">
        <v>55077.0</v>
      </c>
      <c r="C3832" s="5">
        <f t="shared" ref="C3832:C3833" si="1586">DATE(2012,12,31)-454</f>
        <v>40820</v>
      </c>
      <c r="D3832" s="4" t="s">
        <v>78</v>
      </c>
      <c r="E3832" s="4">
        <v>2.0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7">C3832+2</f>
        <v>40822</v>
      </c>
    </row>
    <row r="3833" ht="12.75" customHeight="1">
      <c r="A3833" s="4">
        <v>7687.0</v>
      </c>
      <c r="B3833" s="4">
        <v>55077.0</v>
      </c>
      <c r="C3833" s="5">
        <f t="shared" si="1586"/>
        <v>40820</v>
      </c>
      <c r="D3833" s="4" t="s">
        <v>78</v>
      </c>
      <c r="E3833" s="4">
        <v>3.0</v>
      </c>
      <c r="F3833" s="4">
        <v>143.98149999999998</v>
      </c>
      <c r="G3833" s="4">
        <v>0.08</v>
      </c>
      <c r="H3833" s="4" t="s">
        <v>22</v>
      </c>
      <c r="I3833" s="6">
        <v>-283.228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7"/>
        <v>40822</v>
      </c>
    </row>
    <row r="3834" ht="12.75" customHeight="1">
      <c r="A3834" s="4">
        <v>7703.0</v>
      </c>
      <c r="B3834" s="4">
        <v>55206.0</v>
      </c>
      <c r="C3834" s="5">
        <f>DATE(2012,12,31)-425</f>
        <v>40849</v>
      </c>
      <c r="D3834" s="4" t="s">
        <v>63</v>
      </c>
      <c r="E3834" s="4">
        <v>20.0</v>
      </c>
      <c r="F3834" s="4">
        <v>52.7</v>
      </c>
      <c r="G3834" s="4">
        <v>0.03</v>
      </c>
      <c r="H3834" s="4" t="s">
        <v>56</v>
      </c>
      <c r="I3834" s="6">
        <v>-64.883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ht="12.75" customHeight="1">
      <c r="A3835" s="4">
        <v>7755.0</v>
      </c>
      <c r="B3835" s="4">
        <v>55492.0</v>
      </c>
      <c r="C3835" s="5">
        <f>DATE(2012,12,31)-469</f>
        <v>40805</v>
      </c>
      <c r="D3835" s="4" t="s">
        <v>78</v>
      </c>
      <c r="E3835" s="4">
        <v>10.0</v>
      </c>
      <c r="F3835" s="4">
        <v>1124.2440000000001</v>
      </c>
      <c r="G3835" s="4">
        <v>0.03</v>
      </c>
      <c r="H3835" s="4" t="s">
        <v>56</v>
      </c>
      <c r="I3835" s="6">
        <v>-126.445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0.58</v>
      </c>
      <c r="U3835" s="5">
        <f>C3835+2</f>
        <v>40807</v>
      </c>
    </row>
    <row r="3836" ht="12.75" customHeight="1">
      <c r="A3836" s="4">
        <v>7789.0</v>
      </c>
      <c r="B3836" s="4">
        <v>55744.0</v>
      </c>
      <c r="C3836" s="5">
        <f>DATE(2012,12,31)-438</f>
        <v>40836</v>
      </c>
      <c r="D3836" s="4" t="s">
        <v>78</v>
      </c>
      <c r="E3836" s="4">
        <v>23.0</v>
      </c>
      <c r="F3836" s="4">
        <v>415.055</v>
      </c>
      <c r="G3836" s="4">
        <v>0.02</v>
      </c>
      <c r="H3836" s="4" t="s">
        <v>22</v>
      </c>
      <c r="I3836" s="6">
        <v>-44.132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ht="12.75" customHeight="1">
      <c r="A3837" s="4">
        <v>7828.0</v>
      </c>
      <c r="B3837" s="4">
        <v>55968.0</v>
      </c>
      <c r="C3837" s="5">
        <f>DATE(2012,12,31)-92</f>
        <v>41182</v>
      </c>
      <c r="D3837" s="4" t="s">
        <v>21</v>
      </c>
      <c r="E3837" s="4">
        <v>40.0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1.0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ht="12.75" customHeight="1">
      <c r="A3838" s="4">
        <v>7868.0</v>
      </c>
      <c r="B3838" s="4">
        <v>56288.0</v>
      </c>
      <c r="C3838" s="5">
        <f t="shared" ref="C3838:C3839" si="1588">DATE(2012,12,31)-915</f>
        <v>40359</v>
      </c>
      <c r="D3838" s="4" t="s">
        <v>45</v>
      </c>
      <c r="E3838" s="4">
        <v>37.0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ht="12.75" customHeight="1">
      <c r="A3839" s="4">
        <v>7869.0</v>
      </c>
      <c r="B3839" s="4">
        <v>56288.0</v>
      </c>
      <c r="C3839" s="5">
        <f t="shared" si="1588"/>
        <v>40359</v>
      </c>
      <c r="D3839" s="4" t="s">
        <v>45</v>
      </c>
      <c r="E3839" s="4">
        <v>39.0</v>
      </c>
      <c r="F3839" s="4">
        <v>585.36</v>
      </c>
      <c r="G3839" s="4">
        <v>0.07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9">C3839+2</f>
        <v>40361</v>
      </c>
    </row>
    <row r="3840" ht="12.75" customHeight="1">
      <c r="A3840" s="4">
        <v>7870.0</v>
      </c>
      <c r="B3840" s="4">
        <v>56291.0</v>
      </c>
      <c r="C3840" s="5">
        <f t="shared" ref="C3840:C3842" si="1590">DATE(2012,12,31)-105</f>
        <v>41169</v>
      </c>
      <c r="D3840" s="4" t="s">
        <v>45</v>
      </c>
      <c r="E3840" s="4">
        <v>22.0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9"/>
        <v>41171</v>
      </c>
    </row>
    <row r="3841" ht="12.75" customHeight="1">
      <c r="A3841" s="4">
        <v>7871.0</v>
      </c>
      <c r="B3841" s="4">
        <v>56291.0</v>
      </c>
      <c r="C3841" s="5">
        <f t="shared" si="1590"/>
        <v>41169</v>
      </c>
      <c r="D3841" s="4" t="s">
        <v>45</v>
      </c>
      <c r="E3841" s="4">
        <v>25.0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ht="12.75" customHeight="1">
      <c r="A3842" s="4">
        <v>7872.0</v>
      </c>
      <c r="B3842" s="4">
        <v>56291.0</v>
      </c>
      <c r="C3842" s="5">
        <f t="shared" si="1590"/>
        <v>41169</v>
      </c>
      <c r="D3842" s="4" t="s">
        <v>45</v>
      </c>
      <c r="E3842" s="4">
        <v>47.0</v>
      </c>
      <c r="F3842" s="4">
        <v>1200.7</v>
      </c>
      <c r="G3842" s="4">
        <v>0.06</v>
      </c>
      <c r="H3842" s="4" t="s">
        <v>22</v>
      </c>
      <c r="I3842" s="6">
        <v>-37.27</v>
      </c>
      <c r="J3842" s="4">
        <v>24.98</v>
      </c>
      <c r="K3842" s="4">
        <v>8.79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1">C3842+1</f>
        <v>41170</v>
      </c>
    </row>
    <row r="3843" ht="12.75" customHeight="1">
      <c r="A3843" s="4">
        <v>7898.0</v>
      </c>
      <c r="B3843" s="4">
        <v>56486.0</v>
      </c>
      <c r="C3843" s="5">
        <f>DATE(2012,12,31)-1313</f>
        <v>39961</v>
      </c>
      <c r="D3843" s="4" t="s">
        <v>78</v>
      </c>
      <c r="E3843" s="4">
        <v>11.0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1"/>
        <v>39962</v>
      </c>
    </row>
    <row r="3844" ht="12.75" customHeight="1">
      <c r="A3844" s="4">
        <v>7899.0</v>
      </c>
      <c r="B3844" s="4">
        <v>56514.0</v>
      </c>
      <c r="C3844" s="5">
        <f t="shared" ref="C3844:C3845" si="1592">DATE(2012,12,31)-324</f>
        <v>40950</v>
      </c>
      <c r="D3844" s="4" t="s">
        <v>21</v>
      </c>
      <c r="E3844" s="4">
        <v>3.0</v>
      </c>
      <c r="F3844" s="4">
        <v>110.0</v>
      </c>
      <c r="G3844" s="4">
        <v>0.02</v>
      </c>
      <c r="H3844" s="4" t="s">
        <v>22</v>
      </c>
      <c r="I3844" s="6">
        <v>-24.426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3">C3844+7</f>
        <v>40957</v>
      </c>
    </row>
    <row r="3845" ht="12.75" customHeight="1">
      <c r="A3845" s="4">
        <v>7900.0</v>
      </c>
      <c r="B3845" s="4">
        <v>56514.0</v>
      </c>
      <c r="C3845" s="5">
        <f t="shared" si="1592"/>
        <v>40950</v>
      </c>
      <c r="D3845" s="4" t="s">
        <v>21</v>
      </c>
      <c r="E3845" s="4">
        <v>35.0</v>
      </c>
      <c r="F3845" s="4">
        <v>186.89</v>
      </c>
      <c r="G3845" s="4">
        <v>0.02</v>
      </c>
      <c r="H3845" s="4" t="s">
        <v>22</v>
      </c>
      <c r="I3845" s="6">
        <v>-153.2</v>
      </c>
      <c r="J3845" s="4">
        <v>4.98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3"/>
        <v>40957</v>
      </c>
    </row>
    <row r="3846" ht="12.75" customHeight="1">
      <c r="A3846" s="4">
        <v>7928.0</v>
      </c>
      <c r="B3846" s="4">
        <v>56672.0</v>
      </c>
      <c r="C3846" s="5">
        <f t="shared" ref="C3846:C3848" si="1594">DATE(2012,12,31)-233</f>
        <v>41041</v>
      </c>
      <c r="D3846" s="4" t="s">
        <v>30</v>
      </c>
      <c r="E3846" s="4">
        <v>34.0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36.55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ht="12.75" customHeight="1">
      <c r="A3847" s="4">
        <v>7929.0</v>
      </c>
      <c r="B3847" s="4">
        <v>56672.0</v>
      </c>
      <c r="C3847" s="5">
        <f t="shared" si="1594"/>
        <v>41041</v>
      </c>
      <c r="D3847" s="4" t="s">
        <v>30</v>
      </c>
      <c r="E3847" s="4">
        <v>8.0</v>
      </c>
      <c r="F3847" s="4">
        <v>593.64</v>
      </c>
      <c r="G3847" s="4">
        <v>0.02</v>
      </c>
      <c r="H3847" s="4" t="s">
        <v>31</v>
      </c>
      <c r="I3847" s="6">
        <v>65.24685</v>
      </c>
      <c r="J3847" s="4">
        <v>85.29</v>
      </c>
      <c r="K3847" s="4">
        <v>60.0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</v>
      </c>
      <c r="U3847" s="5">
        <f t="shared" ref="U3847:U3850" si="1595">C3847+2</f>
        <v>41043</v>
      </c>
    </row>
    <row r="3848" ht="12.75" customHeight="1">
      <c r="A3848" s="4">
        <v>7930.0</v>
      </c>
      <c r="B3848" s="4">
        <v>56672.0</v>
      </c>
      <c r="C3848" s="5">
        <f t="shared" si="1594"/>
        <v>41041</v>
      </c>
      <c r="D3848" s="4" t="s">
        <v>30</v>
      </c>
      <c r="E3848" s="4">
        <v>45.0</v>
      </c>
      <c r="F3848" s="4">
        <v>2438.3695</v>
      </c>
      <c r="G3848" s="4">
        <v>0.1</v>
      </c>
      <c r="H3848" s="4" t="s">
        <v>22</v>
      </c>
      <c r="I3848" s="6">
        <v>317.196</v>
      </c>
      <c r="J3848" s="4">
        <v>65.99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5"/>
        <v>41043</v>
      </c>
    </row>
    <row r="3849" ht="12.75" customHeight="1">
      <c r="A3849" s="4">
        <v>7966.0</v>
      </c>
      <c r="B3849" s="4">
        <v>56931.0</v>
      </c>
      <c r="C3849" s="5">
        <f>DATE(2012,12,31)-1062</f>
        <v>40212</v>
      </c>
      <c r="D3849" s="4" t="s">
        <v>30</v>
      </c>
      <c r="E3849" s="4">
        <v>34.0</v>
      </c>
      <c r="F3849" s="4">
        <v>232.4155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5"/>
        <v>40214</v>
      </c>
    </row>
    <row r="3850" ht="12.75" customHeight="1">
      <c r="A3850" s="4">
        <v>7971.0</v>
      </c>
      <c r="B3850" s="4">
        <v>57025.0</v>
      </c>
      <c r="C3850" s="5">
        <f>DATE(2012,12,31)-188</f>
        <v>41086</v>
      </c>
      <c r="D3850" s="4" t="s">
        <v>63</v>
      </c>
      <c r="E3850" s="4">
        <v>8.0</v>
      </c>
      <c r="F3850" s="4">
        <v>71.1</v>
      </c>
      <c r="G3850" s="4">
        <v>0.03</v>
      </c>
      <c r="H3850" s="4" t="s">
        <v>22</v>
      </c>
      <c r="I3850" s="6">
        <v>2.2865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5"/>
        <v>41088</v>
      </c>
    </row>
    <row r="3851" ht="12.75" customHeight="1">
      <c r="A3851" s="4">
        <v>7979.0</v>
      </c>
      <c r="B3851" s="4">
        <v>57061.0</v>
      </c>
      <c r="C3851" s="5">
        <f t="shared" ref="C3851:C3853" si="1596">DATE(2012,12,31)-1127</f>
        <v>40147</v>
      </c>
      <c r="D3851" s="4" t="s">
        <v>21</v>
      </c>
      <c r="E3851" s="4">
        <v>21.0</v>
      </c>
      <c r="F3851" s="4">
        <v>470.79</v>
      </c>
      <c r="G3851" s="4">
        <v>0.04</v>
      </c>
      <c r="H3851" s="4" t="s">
        <v>22</v>
      </c>
      <c r="I3851" s="6">
        <v>-80.109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ht="12.75" customHeight="1">
      <c r="A3852" s="4">
        <v>7980.0</v>
      </c>
      <c r="B3852" s="4">
        <v>57061.0</v>
      </c>
      <c r="C3852" s="5">
        <f t="shared" si="1596"/>
        <v>40147</v>
      </c>
      <c r="D3852" s="4" t="s">
        <v>21</v>
      </c>
      <c r="E3852" s="4">
        <v>6.0</v>
      </c>
      <c r="F3852" s="4">
        <v>36.56</v>
      </c>
      <c r="G3852" s="4">
        <v>0.07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ht="12.75" customHeight="1">
      <c r="A3853" s="4">
        <v>7981.0</v>
      </c>
      <c r="B3853" s="4">
        <v>57061.0</v>
      </c>
      <c r="C3853" s="5">
        <f t="shared" si="1596"/>
        <v>40147</v>
      </c>
      <c r="D3853" s="4" t="s">
        <v>21</v>
      </c>
      <c r="E3853" s="4">
        <v>3.0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7">C3853+2</f>
        <v>40149</v>
      </c>
    </row>
    <row r="3854" ht="12.75" customHeight="1">
      <c r="A3854" s="4">
        <v>8008.0</v>
      </c>
      <c r="B3854" s="4">
        <v>57217.0</v>
      </c>
      <c r="C3854" s="5">
        <f>DATE(2012,12,31)-710</f>
        <v>40564</v>
      </c>
      <c r="D3854" s="4" t="s">
        <v>63</v>
      </c>
      <c r="E3854" s="4">
        <v>35.0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0.58</v>
      </c>
      <c r="U3854" s="5">
        <f t="shared" si="1597"/>
        <v>40566</v>
      </c>
    </row>
    <row r="3855" ht="12.75" customHeight="1">
      <c r="A3855" s="4">
        <v>8054.0</v>
      </c>
      <c r="B3855" s="4">
        <v>57504.0</v>
      </c>
      <c r="C3855" s="5">
        <f>DATE(2012,12,31)-1245</f>
        <v>40029</v>
      </c>
      <c r="D3855" s="4" t="s">
        <v>45</v>
      </c>
      <c r="E3855" s="4">
        <v>44.0</v>
      </c>
      <c r="F3855" s="4">
        <v>357.48</v>
      </c>
      <c r="G3855" s="4">
        <v>0.01</v>
      </c>
      <c r="H3855" s="4" t="s">
        <v>22</v>
      </c>
      <c r="I3855" s="6">
        <v>160.02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8">C3855+3</f>
        <v>40032</v>
      </c>
    </row>
    <row r="3856" ht="12.75" customHeight="1">
      <c r="A3856" s="4">
        <v>8083.0</v>
      </c>
      <c r="B3856" s="4">
        <v>57666.0</v>
      </c>
      <c r="C3856" s="5">
        <f t="shared" ref="C3856:C3857" si="1599">DATE(2012,12,31)-1319</f>
        <v>39955</v>
      </c>
      <c r="D3856" s="4" t="s">
        <v>45</v>
      </c>
      <c r="E3856" s="4">
        <v>45.0</v>
      </c>
      <c r="F3856" s="4">
        <v>1206.15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0.57</v>
      </c>
      <c r="U3856" s="5">
        <f t="shared" si="1598"/>
        <v>39958</v>
      </c>
    </row>
    <row r="3857" ht="12.75" customHeight="1">
      <c r="A3857" s="4">
        <v>8084.0</v>
      </c>
      <c r="B3857" s="4">
        <v>57666.0</v>
      </c>
      <c r="C3857" s="5">
        <f t="shared" si="1599"/>
        <v>39955</v>
      </c>
      <c r="D3857" s="4" t="s">
        <v>45</v>
      </c>
      <c r="E3857" s="4">
        <v>44.0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ht="12.75" customHeight="1">
      <c r="A3858" s="4">
        <v>8183.0</v>
      </c>
      <c r="B3858" s="4">
        <v>58496.0</v>
      </c>
      <c r="C3858" s="5">
        <f>DATE(2012,12,31)-569</f>
        <v>40705</v>
      </c>
      <c r="D3858" s="4" t="s">
        <v>45</v>
      </c>
      <c r="E3858" s="4">
        <v>20.0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ht="12.75" customHeight="1">
      <c r="A3859" s="4">
        <v>8200.0</v>
      </c>
      <c r="B3859" s="4">
        <v>58628.0</v>
      </c>
      <c r="C3859" s="5">
        <f>DATE(2012,12,31)-1378</f>
        <v>39896</v>
      </c>
      <c r="D3859" s="4" t="s">
        <v>63</v>
      </c>
      <c r="E3859" s="4">
        <v>23.0</v>
      </c>
      <c r="F3859" s="4">
        <v>2527.792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600">C3859+1</f>
        <v>39897</v>
      </c>
    </row>
    <row r="3860" ht="12.75" customHeight="1">
      <c r="A3860" s="4">
        <v>8234.0</v>
      </c>
      <c r="B3860" s="4">
        <v>58854.0</v>
      </c>
      <c r="C3860" s="5">
        <f t="shared" ref="C3860:C3861" si="1601">DATE(2012,12,31)-982</f>
        <v>40292</v>
      </c>
      <c r="D3860" s="4" t="s">
        <v>78</v>
      </c>
      <c r="E3860" s="4">
        <v>35.0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600"/>
        <v>40293</v>
      </c>
    </row>
    <row r="3861" ht="12.75" customHeight="1">
      <c r="A3861" s="4">
        <v>8235.0</v>
      </c>
      <c r="B3861" s="4">
        <v>58854.0</v>
      </c>
      <c r="C3861" s="5">
        <f t="shared" si="1601"/>
        <v>40292</v>
      </c>
      <c r="D3861" s="4" t="s">
        <v>78</v>
      </c>
      <c r="E3861" s="4">
        <v>10.0</v>
      </c>
      <c r="F3861" s="4">
        <v>193.205</v>
      </c>
      <c r="G3861" s="4">
        <v>0.0</v>
      </c>
      <c r="H3861" s="4" t="s">
        <v>22</v>
      </c>
      <c r="I3861" s="6">
        <v>-52.239000000000004</v>
      </c>
      <c r="J3861" s="4">
        <v>20.99</v>
      </c>
      <c r="K3861" s="4">
        <v>4.81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0.58</v>
      </c>
      <c r="U3861" s="5">
        <f>C3861+2</f>
        <v>40294</v>
      </c>
    </row>
    <row r="3862" ht="12.75" customHeight="1">
      <c r="A3862" s="4">
        <v>8243.0</v>
      </c>
      <c r="B3862" s="4">
        <v>58917.0</v>
      </c>
      <c r="C3862" s="5">
        <f t="shared" ref="C3862:C3863" si="1602">DATE(2012,12,31)-304</f>
        <v>40970</v>
      </c>
      <c r="D3862" s="4" t="s">
        <v>30</v>
      </c>
      <c r="E3862" s="4">
        <v>27.0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ht="12.75" customHeight="1">
      <c r="A3863" s="4">
        <v>8244.0</v>
      </c>
      <c r="B3863" s="4">
        <v>58917.0</v>
      </c>
      <c r="C3863" s="5">
        <f t="shared" si="1602"/>
        <v>40970</v>
      </c>
      <c r="D3863" s="4" t="s">
        <v>30</v>
      </c>
      <c r="E3863" s="4">
        <v>3.0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</v>
      </c>
      <c r="U3863" s="5">
        <f>C3863+0</f>
        <v>40970</v>
      </c>
    </row>
    <row r="3864" ht="12.75" customHeight="1">
      <c r="A3864" s="4">
        <v>8266.0</v>
      </c>
      <c r="B3864" s="4">
        <v>59104.0</v>
      </c>
      <c r="C3864" s="5">
        <f t="shared" ref="C3864:C3866" si="1603">DATE(2012,12,31)-1418</f>
        <v>39856</v>
      </c>
      <c r="D3864" s="4" t="s">
        <v>30</v>
      </c>
      <c r="E3864" s="4">
        <v>13.0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4">C3864+3</f>
        <v>39859</v>
      </c>
    </row>
    <row r="3865" ht="12.75" customHeight="1">
      <c r="A3865" s="4">
        <v>8267.0</v>
      </c>
      <c r="B3865" s="4">
        <v>59104.0</v>
      </c>
      <c r="C3865" s="5">
        <f t="shared" si="1603"/>
        <v>39856</v>
      </c>
      <c r="D3865" s="4" t="s">
        <v>30</v>
      </c>
      <c r="E3865" s="4">
        <v>22.0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4"/>
        <v>39859</v>
      </c>
    </row>
    <row r="3866" ht="12.75" customHeight="1">
      <c r="A3866" s="4">
        <v>8268.0</v>
      </c>
      <c r="B3866" s="4">
        <v>59104.0</v>
      </c>
      <c r="C3866" s="5">
        <f t="shared" si="1603"/>
        <v>39856</v>
      </c>
      <c r="D3866" s="4" t="s">
        <v>30</v>
      </c>
      <c r="E3866" s="4">
        <v>38.0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</v>
      </c>
      <c r="U3866" s="5">
        <f>C3866+2</f>
        <v>39858</v>
      </c>
    </row>
    <row r="3867" ht="12.75" customHeight="1">
      <c r="A3867" s="4">
        <v>8389.0</v>
      </c>
      <c r="B3867" s="4">
        <v>59937.0</v>
      </c>
      <c r="C3867" s="5">
        <f>DATE(2012,12,31)-1099</f>
        <v>40175</v>
      </c>
      <c r="D3867" s="4" t="s">
        <v>30</v>
      </c>
      <c r="E3867" s="4">
        <v>7.0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ht="12.75" customHeight="1">
      <c r="A3868" s="4">
        <v>66.0</v>
      </c>
      <c r="B3868" s="4">
        <v>386.0</v>
      </c>
      <c r="C3868" s="5">
        <f t="shared" ref="C3868:C3869" si="1605">DATE(2012,12,31)-707</f>
        <v>40567</v>
      </c>
      <c r="D3868" s="4" t="s">
        <v>30</v>
      </c>
      <c r="E3868" s="4">
        <v>4.0</v>
      </c>
      <c r="F3868" s="4">
        <v>14.96</v>
      </c>
      <c r="G3868" s="4">
        <v>0.02</v>
      </c>
      <c r="H3868" s="4" t="s">
        <v>22</v>
      </c>
      <c r="I3868" s="6">
        <v>-0.03000000000000025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6">C3868+2</f>
        <v>40569</v>
      </c>
    </row>
    <row r="3869" ht="12.75" customHeight="1">
      <c r="A3869" s="4">
        <v>67.0</v>
      </c>
      <c r="B3869" s="4">
        <v>386.0</v>
      </c>
      <c r="C3869" s="5">
        <f t="shared" si="1605"/>
        <v>40567</v>
      </c>
      <c r="D3869" s="4" t="s">
        <v>30</v>
      </c>
      <c r="E3869" s="4">
        <v>4.0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6"/>
        <v>40569</v>
      </c>
    </row>
    <row r="3870" ht="12.75" customHeight="1">
      <c r="A3870" s="4">
        <v>69.0</v>
      </c>
      <c r="B3870" s="4">
        <v>416.0</v>
      </c>
      <c r="C3870" s="5">
        <f>DATE(2012,12,31)-827</f>
        <v>40447</v>
      </c>
      <c r="D3870" s="4" t="s">
        <v>21</v>
      </c>
      <c r="E3870" s="4">
        <v>20.0</v>
      </c>
      <c r="F3870" s="4">
        <v>1156.6715</v>
      </c>
      <c r="G3870" s="4">
        <v>0.01</v>
      </c>
      <c r="H3870" s="4" t="s">
        <v>56</v>
      </c>
      <c r="I3870" s="6">
        <v>88.524</v>
      </c>
      <c r="J3870" s="4">
        <v>65.99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ht="12.75" customHeight="1">
      <c r="A3871" s="4">
        <v>84.0</v>
      </c>
      <c r="B3871" s="4">
        <v>513.0</v>
      </c>
      <c r="C3871" s="5">
        <f>DATE(2012,12,31)-611</f>
        <v>40663</v>
      </c>
      <c r="D3871" s="4" t="s">
        <v>30</v>
      </c>
      <c r="E3871" s="4">
        <v>33.0</v>
      </c>
      <c r="F3871" s="4">
        <v>5437.92</v>
      </c>
      <c r="G3871" s="4">
        <v>0.0</v>
      </c>
      <c r="H3871" s="4" t="s">
        <v>31</v>
      </c>
      <c r="I3871" s="6">
        <v>-684.57</v>
      </c>
      <c r="J3871" s="4">
        <v>150.89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ht="12.75" customHeight="1">
      <c r="A3872" s="4">
        <v>94.0</v>
      </c>
      <c r="B3872" s="4">
        <v>611.0</v>
      </c>
      <c r="C3872" s="5">
        <f>DATE(2012,12,31)-1070</f>
        <v>40204</v>
      </c>
      <c r="D3872" s="4" t="s">
        <v>78</v>
      </c>
      <c r="E3872" s="4">
        <v>47.0</v>
      </c>
      <c r="F3872" s="4">
        <v>840.04</v>
      </c>
      <c r="G3872" s="4">
        <v>0.04</v>
      </c>
      <c r="H3872" s="4" t="s">
        <v>22</v>
      </c>
      <c r="I3872" s="6">
        <v>-131.27</v>
      </c>
      <c r="J3872" s="4">
        <v>17.7</v>
      </c>
      <c r="K3872" s="4">
        <v>9.47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7">C3872+2</f>
        <v>40206</v>
      </c>
    </row>
    <row r="3873" ht="12.75" customHeight="1">
      <c r="A3873" s="4">
        <v>124.0</v>
      </c>
      <c r="B3873" s="4">
        <v>802.0</v>
      </c>
      <c r="C3873" s="5">
        <f t="shared" ref="C3873:C3874" si="1608">DATE(2012,12,31)-727</f>
        <v>40547</v>
      </c>
      <c r="D3873" s="4" t="s">
        <v>78</v>
      </c>
      <c r="E3873" s="4">
        <v>33.0</v>
      </c>
      <c r="F3873" s="4">
        <v>378.6</v>
      </c>
      <c r="G3873" s="4">
        <v>0.08</v>
      </c>
      <c r="H3873" s="4" t="s">
        <v>22</v>
      </c>
      <c r="I3873" s="6">
        <v>12.7245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7"/>
        <v>40549</v>
      </c>
    </row>
    <row r="3874" ht="12.75" customHeight="1">
      <c r="A3874" s="4">
        <v>125.0</v>
      </c>
      <c r="B3874" s="4">
        <v>802.0</v>
      </c>
      <c r="C3874" s="5">
        <f t="shared" si="1608"/>
        <v>40547</v>
      </c>
      <c r="D3874" s="4" t="s">
        <v>78</v>
      </c>
      <c r="E3874" s="4">
        <v>2.0</v>
      </c>
      <c r="F3874" s="4">
        <v>38.5</v>
      </c>
      <c r="G3874" s="4">
        <v>0.09</v>
      </c>
      <c r="H3874" s="4" t="s">
        <v>22</v>
      </c>
      <c r="I3874" s="6">
        <v>-52.1391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ht="12.75" customHeight="1">
      <c r="A3875" s="4">
        <v>150.0</v>
      </c>
      <c r="B3875" s="4">
        <v>960.0</v>
      </c>
      <c r="C3875" s="5">
        <f>DATE(2012,12,31)-1198</f>
        <v>40076</v>
      </c>
      <c r="D3875" s="4" t="s">
        <v>63</v>
      </c>
      <c r="E3875" s="4">
        <v>46.0</v>
      </c>
      <c r="F3875" s="4">
        <v>605.97</v>
      </c>
      <c r="G3875" s="4">
        <v>0.07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ht="12.75" customHeight="1">
      <c r="A3876" s="4">
        <v>155.0</v>
      </c>
      <c r="B3876" s="4">
        <v>965.0</v>
      </c>
      <c r="C3876" s="5">
        <f>DATE(2012,12,31)-597</f>
        <v>40677</v>
      </c>
      <c r="D3876" s="4" t="s">
        <v>21</v>
      </c>
      <c r="E3876" s="4">
        <v>42.0</v>
      </c>
      <c r="F3876" s="4">
        <v>11230.25</v>
      </c>
      <c r="G3876" s="4">
        <v>0.07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ht="12.75" customHeight="1">
      <c r="A3877" s="4">
        <v>174.0</v>
      </c>
      <c r="B3877" s="4">
        <v>1127.0</v>
      </c>
      <c r="C3877" s="5">
        <f>DATE(2012,12,31)-470</f>
        <v>40804</v>
      </c>
      <c r="D3877" s="4" t="s">
        <v>45</v>
      </c>
      <c r="E3877" s="4">
        <v>48.0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ht="12.75" customHeight="1">
      <c r="A3878" s="4">
        <v>226.0</v>
      </c>
      <c r="B3878" s="4">
        <v>1507.0</v>
      </c>
      <c r="C3878" s="5">
        <f>DATE(2012,12,31)-810</f>
        <v>40464</v>
      </c>
      <c r="D3878" s="4" t="s">
        <v>63</v>
      </c>
      <c r="E3878" s="4">
        <v>29.0</v>
      </c>
      <c r="F3878" s="4">
        <v>4345.86</v>
      </c>
      <c r="G3878" s="4">
        <v>0.09</v>
      </c>
      <c r="H3878" s="4" t="s">
        <v>22</v>
      </c>
      <c r="I3878" s="6">
        <v>126.62</v>
      </c>
      <c r="J3878" s="4">
        <v>152.48</v>
      </c>
      <c r="K3878" s="4">
        <v>4.0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9">C3878+2</f>
        <v>40466</v>
      </c>
    </row>
    <row r="3879" ht="12.75" customHeight="1">
      <c r="A3879" s="4">
        <v>244.0</v>
      </c>
      <c r="B3879" s="4">
        <v>1665.0</v>
      </c>
      <c r="C3879" s="5">
        <f>DATE(2012,12,31)-1334</f>
        <v>39940</v>
      </c>
      <c r="D3879" s="4" t="s">
        <v>30</v>
      </c>
      <c r="E3879" s="4">
        <v>26.0</v>
      </c>
      <c r="F3879" s="4">
        <v>755.6075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</v>
      </c>
      <c r="U3879" s="5">
        <f t="shared" si="1609"/>
        <v>39942</v>
      </c>
    </row>
    <row r="3880" ht="12.75" customHeight="1">
      <c r="A3880" s="4">
        <v>281.0</v>
      </c>
      <c r="B3880" s="4">
        <v>1952.0</v>
      </c>
      <c r="C3880" s="5">
        <f>DATE(2012,12,31)-1387</f>
        <v>39887</v>
      </c>
      <c r="D3880" s="4" t="s">
        <v>30</v>
      </c>
      <c r="E3880" s="4">
        <v>24.0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10">C3880+0</f>
        <v>39887</v>
      </c>
    </row>
    <row r="3881" ht="12.75" customHeight="1">
      <c r="A3881" s="4">
        <v>282.0</v>
      </c>
      <c r="B3881" s="4">
        <v>1953.0</v>
      </c>
      <c r="C3881" s="5">
        <f>DATE(2012,12,31)-763</f>
        <v>40511</v>
      </c>
      <c r="D3881" s="4" t="s">
        <v>63</v>
      </c>
      <c r="E3881" s="4">
        <v>13.0</v>
      </c>
      <c r="F3881" s="4">
        <v>137.64</v>
      </c>
      <c r="G3881" s="4">
        <v>0.06</v>
      </c>
      <c r="H3881" s="4" t="s">
        <v>22</v>
      </c>
      <c r="I3881" s="6">
        <v>19.5925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10"/>
        <v>40511</v>
      </c>
    </row>
    <row r="3882" ht="12.75" customHeight="1">
      <c r="A3882" s="4">
        <v>323.0</v>
      </c>
      <c r="B3882" s="4">
        <v>2213.0</v>
      </c>
      <c r="C3882" s="5">
        <f>DATE(2012,12,31)-1082</f>
        <v>40192</v>
      </c>
      <c r="D3882" s="4" t="s">
        <v>45</v>
      </c>
      <c r="E3882" s="4">
        <v>6.0</v>
      </c>
      <c r="F3882" s="4">
        <v>40.31</v>
      </c>
      <c r="G3882" s="4">
        <v>0.08</v>
      </c>
      <c r="H3882" s="4" t="s">
        <v>22</v>
      </c>
      <c r="I3882" s="6">
        <v>-32.27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ht="12.75" customHeight="1">
      <c r="A3883" s="4">
        <v>344.0</v>
      </c>
      <c r="B3883" s="4">
        <v>2368.0</v>
      </c>
      <c r="C3883" s="5">
        <f>DATE(2012,12,31)-865</f>
        <v>40409</v>
      </c>
      <c r="D3883" s="4" t="s">
        <v>78</v>
      </c>
      <c r="E3883" s="4">
        <v>36.0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ht="12.75" customHeight="1">
      <c r="A3884" s="4">
        <v>365.0</v>
      </c>
      <c r="B3884" s="4">
        <v>2560.0</v>
      </c>
      <c r="C3884" s="5">
        <f t="shared" ref="C3884:C3885" si="1611">DATE(2012,12,31)-118</f>
        <v>41156</v>
      </c>
      <c r="D3884" s="4" t="s">
        <v>78</v>
      </c>
      <c r="E3884" s="4">
        <v>32.0</v>
      </c>
      <c r="F3884" s="4">
        <v>731.22</v>
      </c>
      <c r="G3884" s="4">
        <v>0.0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ht="12.75" customHeight="1">
      <c r="A3885" s="4">
        <v>366.0</v>
      </c>
      <c r="B3885" s="4">
        <v>2560.0</v>
      </c>
      <c r="C3885" s="5">
        <f t="shared" si="1611"/>
        <v>41156</v>
      </c>
      <c r="D3885" s="4" t="s">
        <v>78</v>
      </c>
      <c r="E3885" s="4">
        <v>23.0</v>
      </c>
      <c r="F3885" s="4">
        <v>114.14</v>
      </c>
      <c r="G3885" s="4">
        <v>0.07</v>
      </c>
      <c r="H3885" s="4" t="s">
        <v>22</v>
      </c>
      <c r="I3885" s="6">
        <v>-65.62</v>
      </c>
      <c r="J3885" s="4">
        <v>4.98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2">C3885+2</f>
        <v>41158</v>
      </c>
    </row>
    <row r="3886" ht="12.75" customHeight="1">
      <c r="A3886" s="4">
        <v>400.0</v>
      </c>
      <c r="B3886" s="4">
        <v>2754.0</v>
      </c>
      <c r="C3886" s="5">
        <f t="shared" ref="C3886:C3887" si="1613">DATE(2012,12,31)-1369</f>
        <v>39905</v>
      </c>
      <c r="D3886" s="4" t="s">
        <v>30</v>
      </c>
      <c r="E3886" s="4">
        <v>16.0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</v>
      </c>
      <c r="U3886" s="5">
        <f t="shared" si="1612"/>
        <v>39907</v>
      </c>
    </row>
    <row r="3887" ht="12.75" customHeight="1">
      <c r="A3887" s="4">
        <v>401.0</v>
      </c>
      <c r="B3887" s="4">
        <v>2754.0</v>
      </c>
      <c r="C3887" s="5">
        <f t="shared" si="1613"/>
        <v>39905</v>
      </c>
      <c r="D3887" s="4" t="s">
        <v>30</v>
      </c>
      <c r="E3887" s="4">
        <v>11.0</v>
      </c>
      <c r="F3887" s="4">
        <v>499.26</v>
      </c>
      <c r="G3887" s="4">
        <v>0.09</v>
      </c>
      <c r="H3887" s="4" t="s">
        <v>56</v>
      </c>
      <c r="I3887" s="6">
        <v>144.05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2"/>
        <v>39907</v>
      </c>
    </row>
    <row r="3888" ht="12.75" customHeight="1">
      <c r="A3888" s="4">
        <v>402.0</v>
      </c>
      <c r="B3888" s="4">
        <v>2755.0</v>
      </c>
      <c r="C3888" s="5">
        <f t="shared" ref="C3888:C3889" si="1614">DATE(2012,12,31)-329</f>
        <v>40945</v>
      </c>
      <c r="D3888" s="4" t="s">
        <v>45</v>
      </c>
      <c r="E3888" s="4">
        <v>30.0</v>
      </c>
      <c r="F3888" s="4">
        <v>736.3</v>
      </c>
      <c r="G3888" s="4">
        <v>0.03</v>
      </c>
      <c r="H3888" s="4" t="s">
        <v>22</v>
      </c>
      <c r="I3888" s="6">
        <v>259.0715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5">C3888+0</f>
        <v>40945</v>
      </c>
    </row>
    <row r="3889" ht="12.75" customHeight="1">
      <c r="A3889" s="4">
        <v>403.0</v>
      </c>
      <c r="B3889" s="4">
        <v>2755.0</v>
      </c>
      <c r="C3889" s="5">
        <f t="shared" si="1614"/>
        <v>40945</v>
      </c>
      <c r="D3889" s="4" t="s">
        <v>45</v>
      </c>
      <c r="E3889" s="4">
        <v>50.0</v>
      </c>
      <c r="F3889" s="4">
        <v>346.06</v>
      </c>
      <c r="G3889" s="4">
        <v>0.0</v>
      </c>
      <c r="H3889" s="4" t="s">
        <v>22</v>
      </c>
      <c r="I3889" s="6">
        <v>-76.54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5"/>
        <v>40945</v>
      </c>
    </row>
    <row r="3890" ht="12.75" customHeight="1">
      <c r="A3890" s="4">
        <v>481.0</v>
      </c>
      <c r="B3890" s="4">
        <v>3333.0</v>
      </c>
      <c r="C3890" s="5">
        <f t="shared" ref="C3890:C3891" si="1616">DATE(2012,12,31)-107</f>
        <v>41167</v>
      </c>
      <c r="D3890" s="4" t="s">
        <v>45</v>
      </c>
      <c r="E3890" s="4">
        <v>42.0</v>
      </c>
      <c r="F3890" s="4">
        <v>927.97</v>
      </c>
      <c r="G3890" s="4">
        <v>0.08</v>
      </c>
      <c r="H3890" s="4" t="s">
        <v>22</v>
      </c>
      <c r="I3890" s="6">
        <v>162.17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</v>
      </c>
      <c r="U3890" s="5">
        <f>C3890+2</f>
        <v>41169</v>
      </c>
    </row>
    <row r="3891" ht="12.75" customHeight="1">
      <c r="A3891" s="4">
        <v>482.0</v>
      </c>
      <c r="B3891" s="4">
        <v>3333.0</v>
      </c>
      <c r="C3891" s="5">
        <f t="shared" si="1616"/>
        <v>41167</v>
      </c>
      <c r="D3891" s="4" t="s">
        <v>45</v>
      </c>
      <c r="E3891" s="4">
        <v>9.0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ht="12.75" customHeight="1">
      <c r="A3892" s="4">
        <v>500.0</v>
      </c>
      <c r="B3892" s="4">
        <v>3460.0</v>
      </c>
      <c r="C3892" s="5">
        <f>DATE(2012,12,31)-456</f>
        <v>40818</v>
      </c>
      <c r="D3892" s="4" t="s">
        <v>30</v>
      </c>
      <c r="E3892" s="4">
        <v>27.0</v>
      </c>
      <c r="F3892" s="4">
        <v>153.23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7">C3892+2</f>
        <v>40820</v>
      </c>
    </row>
    <row r="3893" ht="12.75" customHeight="1">
      <c r="A3893" s="4">
        <v>530.0</v>
      </c>
      <c r="B3893" s="4">
        <v>3591.0</v>
      </c>
      <c r="C3893" s="5">
        <f t="shared" ref="C3893:C3894" si="1618">DATE(2012,12,31)-755</f>
        <v>40519</v>
      </c>
      <c r="D3893" s="4" t="s">
        <v>63</v>
      </c>
      <c r="E3893" s="4">
        <v>3.0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0.57</v>
      </c>
      <c r="U3893" s="5">
        <f t="shared" si="1617"/>
        <v>40521</v>
      </c>
    </row>
    <row r="3894" ht="12.75" customHeight="1">
      <c r="A3894" s="4">
        <v>531.0</v>
      </c>
      <c r="B3894" s="4">
        <v>3591.0</v>
      </c>
      <c r="C3894" s="5">
        <f t="shared" si="1618"/>
        <v>40519</v>
      </c>
      <c r="D3894" s="4" t="s">
        <v>63</v>
      </c>
      <c r="E3894" s="4">
        <v>12.0</v>
      </c>
      <c r="F3894" s="4">
        <v>1085.16</v>
      </c>
      <c r="G3894" s="4">
        <v>0.08</v>
      </c>
      <c r="H3894" s="4" t="s">
        <v>31</v>
      </c>
      <c r="I3894" s="6">
        <v>-311.54</v>
      </c>
      <c r="J3894" s="4">
        <v>89.99</v>
      </c>
      <c r="K3894" s="4">
        <v>42.0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9">C3894+1</f>
        <v>40520</v>
      </c>
    </row>
    <row r="3895" ht="12.75" customHeight="1">
      <c r="A3895" s="4">
        <v>586.0</v>
      </c>
      <c r="B3895" s="4">
        <v>4006.0</v>
      </c>
      <c r="C3895" s="5">
        <f>DATE(2012,12,31)-728</f>
        <v>40546</v>
      </c>
      <c r="D3895" s="4" t="s">
        <v>63</v>
      </c>
      <c r="E3895" s="4">
        <v>38.0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9"/>
        <v>40547</v>
      </c>
    </row>
    <row r="3896" ht="12.75" customHeight="1">
      <c r="A3896" s="4">
        <v>611.0</v>
      </c>
      <c r="B3896" s="4">
        <v>4193.0</v>
      </c>
      <c r="C3896" s="5">
        <f t="shared" ref="C3896:C3897" si="1620">DATE(2012,12,31)-1453</f>
        <v>39821</v>
      </c>
      <c r="D3896" s="4" t="s">
        <v>30</v>
      </c>
      <c r="E3896" s="4">
        <v>16.0</v>
      </c>
      <c r="F3896" s="4">
        <v>64.29</v>
      </c>
      <c r="G3896" s="4">
        <v>0.07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1">C3896+0</f>
        <v>39821</v>
      </c>
    </row>
    <row r="3897" ht="12.75" customHeight="1">
      <c r="A3897" s="4">
        <v>612.0</v>
      </c>
      <c r="B3897" s="4">
        <v>4193.0</v>
      </c>
      <c r="C3897" s="5">
        <f t="shared" si="1620"/>
        <v>39821</v>
      </c>
      <c r="D3897" s="4" t="s">
        <v>30</v>
      </c>
      <c r="E3897" s="4">
        <v>3.0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1"/>
        <v>39821</v>
      </c>
    </row>
    <row r="3898" ht="12.75" customHeight="1">
      <c r="A3898" s="4">
        <v>627.0</v>
      </c>
      <c r="B3898" s="4">
        <v>4387.0</v>
      </c>
      <c r="C3898" s="5">
        <f>DATE(2012,12,31)-436</f>
        <v>40838</v>
      </c>
      <c r="D3898" s="4" t="s">
        <v>78</v>
      </c>
      <c r="E3898" s="4">
        <v>4.0</v>
      </c>
      <c r="F3898" s="4">
        <v>640.21</v>
      </c>
      <c r="G3898" s="4">
        <v>0.07</v>
      </c>
      <c r="H3898" s="4" t="s">
        <v>31</v>
      </c>
      <c r="I3898" s="6">
        <v>-388.5167</v>
      </c>
      <c r="J3898" s="4">
        <v>150.98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ht="12.75" customHeight="1">
      <c r="A3899" s="4">
        <v>639.0</v>
      </c>
      <c r="B3899" s="4">
        <v>4512.0</v>
      </c>
      <c r="C3899" s="5">
        <f>DATE(2012,12,31)-434</f>
        <v>40840</v>
      </c>
      <c r="D3899" s="4" t="s">
        <v>21</v>
      </c>
      <c r="E3899" s="4">
        <v>43.0</v>
      </c>
      <c r="F3899" s="4">
        <v>6077.11</v>
      </c>
      <c r="G3899" s="4">
        <v>0.06</v>
      </c>
      <c r="H3899" s="4" t="s">
        <v>31</v>
      </c>
      <c r="I3899" s="6">
        <v>-353.6598780000001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ht="12.75" customHeight="1">
      <c r="A3900" s="4">
        <v>685.0</v>
      </c>
      <c r="B3900" s="4">
        <v>4773.0</v>
      </c>
      <c r="C3900" s="5">
        <f>DATE(2012,12,31)-375</f>
        <v>40899</v>
      </c>
      <c r="D3900" s="4" t="s">
        <v>78</v>
      </c>
      <c r="E3900" s="4">
        <v>48.0</v>
      </c>
      <c r="F3900" s="4">
        <v>6746.312</v>
      </c>
      <c r="G3900" s="4">
        <v>0.07</v>
      </c>
      <c r="H3900" s="4" t="s">
        <v>31</v>
      </c>
      <c r="I3900" s="6">
        <v>-433.2901430000001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ht="12.75" customHeight="1">
      <c r="A3901" s="4">
        <v>694.0</v>
      </c>
      <c r="B3901" s="4">
        <v>4839.0</v>
      </c>
      <c r="C3901" s="5">
        <f>DATE(2012,12,31)-1332</f>
        <v>39942</v>
      </c>
      <c r="D3901" s="4" t="s">
        <v>78</v>
      </c>
      <c r="E3901" s="4">
        <v>24.0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ht="12.75" customHeight="1">
      <c r="A3902" s="4">
        <v>705.0</v>
      </c>
      <c r="B3902" s="4">
        <v>4935.0</v>
      </c>
      <c r="C3902" s="5">
        <f>DATE(2012,12,31)-952</f>
        <v>40322</v>
      </c>
      <c r="D3902" s="4" t="s">
        <v>45</v>
      </c>
      <c r="E3902" s="4">
        <v>30.0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ht="12.75" customHeight="1">
      <c r="A3903" s="4">
        <v>891.0</v>
      </c>
      <c r="B3903" s="4">
        <v>6403.0</v>
      </c>
      <c r="C3903" s="5">
        <f>DATE(2012,12,31)-689</f>
        <v>40585</v>
      </c>
      <c r="D3903" s="4" t="s">
        <v>21</v>
      </c>
      <c r="E3903" s="4">
        <v>41.0</v>
      </c>
      <c r="F3903" s="4">
        <v>17874.26</v>
      </c>
      <c r="G3903" s="4">
        <v>0.0</v>
      </c>
      <c r="H3903" s="4" t="s">
        <v>22</v>
      </c>
      <c r="I3903" s="6">
        <v>6247.95</v>
      </c>
      <c r="J3903" s="4">
        <v>419.19</v>
      </c>
      <c r="K3903" s="4">
        <v>19.99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0.58</v>
      </c>
      <c r="U3903" s="5">
        <f t="shared" ref="U3903:U3904" si="1622">C3903+2</f>
        <v>40587</v>
      </c>
    </row>
    <row r="3904" ht="12.75" customHeight="1">
      <c r="A3904" s="4">
        <v>932.0</v>
      </c>
      <c r="B3904" s="4">
        <v>6754.0</v>
      </c>
      <c r="C3904" s="5">
        <f>DATE(2012,12,31)-508</f>
        <v>40766</v>
      </c>
      <c r="D3904" s="4" t="s">
        <v>30</v>
      </c>
      <c r="E3904" s="4">
        <v>13.0</v>
      </c>
      <c r="F3904" s="4">
        <v>2388.636</v>
      </c>
      <c r="G3904" s="4">
        <v>0.01</v>
      </c>
      <c r="H3904" s="4" t="s">
        <v>22</v>
      </c>
      <c r="I3904" s="6">
        <v>190.998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</v>
      </c>
      <c r="U3904" s="5">
        <f t="shared" si="1622"/>
        <v>40768</v>
      </c>
    </row>
    <row r="3905" ht="12.75" customHeight="1">
      <c r="A3905" s="4">
        <v>1040.0</v>
      </c>
      <c r="B3905" s="4">
        <v>7619.0</v>
      </c>
      <c r="C3905" s="5">
        <f>DATE(2012,12,31)-815</f>
        <v>40459</v>
      </c>
      <c r="D3905" s="4" t="s">
        <v>45</v>
      </c>
      <c r="E3905" s="4">
        <v>8.0</v>
      </c>
      <c r="F3905" s="4">
        <v>141.77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ht="12.75" customHeight="1">
      <c r="A3906" s="4">
        <v>1048.0</v>
      </c>
      <c r="B3906" s="4">
        <v>7744.0</v>
      </c>
      <c r="C3906" s="5">
        <f t="shared" ref="C3906:C3907" si="1623">DATE(2012,12,31)-1140</f>
        <v>40134</v>
      </c>
      <c r="D3906" s="4" t="s">
        <v>21</v>
      </c>
      <c r="E3906" s="4">
        <v>26.0</v>
      </c>
      <c r="F3906" s="4">
        <v>4286.55</v>
      </c>
      <c r="G3906" s="4">
        <v>0.07</v>
      </c>
      <c r="H3906" s="4" t="s">
        <v>22</v>
      </c>
      <c r="I3906" s="6">
        <v>1416.7035</v>
      </c>
      <c r="J3906" s="4">
        <v>172.99</v>
      </c>
      <c r="K3906" s="4">
        <v>19.99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ht="12.75" customHeight="1">
      <c r="A3907" s="4">
        <v>1049.0</v>
      </c>
      <c r="B3907" s="4">
        <v>7744.0</v>
      </c>
      <c r="C3907" s="5">
        <f t="shared" si="1623"/>
        <v>40134</v>
      </c>
      <c r="D3907" s="4" t="s">
        <v>21</v>
      </c>
      <c r="E3907" s="4">
        <v>1.0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ht="12.75" customHeight="1">
      <c r="A3908" s="4">
        <v>1089.0</v>
      </c>
      <c r="B3908" s="4">
        <v>8006.0</v>
      </c>
      <c r="C3908" s="5">
        <f>DATE(2012,12,31)-577</f>
        <v>40697</v>
      </c>
      <c r="D3908" s="4" t="s">
        <v>63</v>
      </c>
      <c r="E3908" s="4">
        <v>27.0</v>
      </c>
      <c r="F3908" s="4">
        <v>197.15</v>
      </c>
      <c r="G3908" s="4">
        <v>0.0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4">C3908+2</f>
        <v>40699</v>
      </c>
    </row>
    <row r="3909" ht="12.75" customHeight="1">
      <c r="A3909" s="4">
        <v>1121.0</v>
      </c>
      <c r="B3909" s="4">
        <v>8224.0</v>
      </c>
      <c r="C3909" s="5">
        <f>DATE(2012,12,31)-328</f>
        <v>40946</v>
      </c>
      <c r="D3909" s="4" t="s">
        <v>45</v>
      </c>
      <c r="E3909" s="4">
        <v>41.0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1.0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4"/>
        <v>40948</v>
      </c>
    </row>
    <row r="3910" ht="12.75" customHeight="1">
      <c r="A3910" s="4">
        <v>1143.0</v>
      </c>
      <c r="B3910" s="4">
        <v>8323.0</v>
      </c>
      <c r="C3910" s="5">
        <f>DATE(2012,12,31)-482</f>
        <v>40792</v>
      </c>
      <c r="D3910" s="4" t="s">
        <v>30</v>
      </c>
      <c r="E3910" s="4">
        <v>45.0</v>
      </c>
      <c r="F3910" s="4">
        <v>766.9635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ht="12.75" customHeight="1">
      <c r="A3911" s="4">
        <v>1163.0</v>
      </c>
      <c r="B3911" s="4">
        <v>8480.0</v>
      </c>
      <c r="C3911" s="5">
        <f t="shared" ref="C3911:C3912" si="1625">DATE(2012,12,31)-702</f>
        <v>40572</v>
      </c>
      <c r="D3911" s="4" t="s">
        <v>30</v>
      </c>
      <c r="E3911" s="4">
        <v>11.0</v>
      </c>
      <c r="F3911" s="4">
        <v>76.36</v>
      </c>
      <c r="G3911" s="4">
        <v>0.07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6">C3911+2</f>
        <v>40574</v>
      </c>
    </row>
    <row r="3912" ht="12.75" customHeight="1">
      <c r="A3912" s="4">
        <v>1164.0</v>
      </c>
      <c r="B3912" s="4">
        <v>8480.0</v>
      </c>
      <c r="C3912" s="5">
        <f t="shared" si="1625"/>
        <v>40572</v>
      </c>
      <c r="D3912" s="4" t="s">
        <v>30</v>
      </c>
      <c r="E3912" s="4">
        <v>3.0</v>
      </c>
      <c r="F3912" s="4">
        <v>309.9015</v>
      </c>
      <c r="G3912" s="4">
        <v>0.09</v>
      </c>
      <c r="H3912" s="4" t="s">
        <v>22</v>
      </c>
      <c r="I3912" s="6">
        <v>-558.415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0.58</v>
      </c>
      <c r="U3912" s="5">
        <f t="shared" si="1626"/>
        <v>40574</v>
      </c>
    </row>
    <row r="3913" ht="12.75" customHeight="1">
      <c r="A3913" s="4">
        <v>1304.0</v>
      </c>
      <c r="B3913" s="4">
        <v>9568.0</v>
      </c>
      <c r="C3913" s="5">
        <f>DATE(2012,12,31)-1030</f>
        <v>40244</v>
      </c>
      <c r="D3913" s="4" t="s">
        <v>45</v>
      </c>
      <c r="E3913" s="4">
        <v>46.0</v>
      </c>
      <c r="F3913" s="4">
        <v>3725.53</v>
      </c>
      <c r="G3913" s="4">
        <v>0.0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6"/>
        <v>40246</v>
      </c>
    </row>
    <row r="3914" ht="12.75" customHeight="1">
      <c r="A3914" s="4">
        <v>1331.0</v>
      </c>
      <c r="B3914" s="4">
        <v>9701.0</v>
      </c>
      <c r="C3914" s="5">
        <f t="shared" ref="C3914:C3915" si="1627">DATE(2012,12,31)-1038</f>
        <v>40236</v>
      </c>
      <c r="D3914" s="4" t="s">
        <v>21</v>
      </c>
      <c r="E3914" s="4">
        <v>8.0</v>
      </c>
      <c r="F3914" s="4">
        <v>103.75</v>
      </c>
      <c r="G3914" s="4">
        <v>0.01</v>
      </c>
      <c r="H3914" s="4" t="s">
        <v>22</v>
      </c>
      <c r="I3914" s="6">
        <v>25.1345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ht="12.75" customHeight="1">
      <c r="A3915" s="4">
        <v>1332.0</v>
      </c>
      <c r="B3915" s="4">
        <v>9701.0</v>
      </c>
      <c r="C3915" s="5">
        <f t="shared" si="1627"/>
        <v>40236</v>
      </c>
      <c r="D3915" s="4" t="s">
        <v>21</v>
      </c>
      <c r="E3915" s="4">
        <v>9.0</v>
      </c>
      <c r="F3915" s="4">
        <v>855.865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0.57</v>
      </c>
      <c r="U3915" s="5">
        <f>C3915+4</f>
        <v>40240</v>
      </c>
    </row>
    <row r="3916" ht="12.75" customHeight="1">
      <c r="A3916" s="4">
        <v>1369.0</v>
      </c>
      <c r="B3916" s="4">
        <v>9926.0</v>
      </c>
      <c r="C3916" s="5">
        <f>DATE(2012,12,31)-1177</f>
        <v>40097</v>
      </c>
      <c r="D3916" s="4" t="s">
        <v>30</v>
      </c>
      <c r="E3916" s="4">
        <v>25.0</v>
      </c>
      <c r="F3916" s="4">
        <v>158.83</v>
      </c>
      <c r="G3916" s="4">
        <v>0.0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</v>
      </c>
      <c r="U3916" s="5">
        <f t="shared" ref="U3916:U3918" si="1628">C3916+2</f>
        <v>40099</v>
      </c>
    </row>
    <row r="3917" ht="12.75" customHeight="1">
      <c r="A3917" s="4">
        <v>1439.0</v>
      </c>
      <c r="B3917" s="4">
        <v>10373.0</v>
      </c>
      <c r="C3917" s="5">
        <f>DATE(2012,12,31)-920</f>
        <v>40354</v>
      </c>
      <c r="D3917" s="4" t="s">
        <v>78</v>
      </c>
      <c r="E3917" s="4">
        <v>28.0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8"/>
        <v>40356</v>
      </c>
    </row>
    <row r="3918" ht="12.75" customHeight="1">
      <c r="A3918" s="4">
        <v>1452.0</v>
      </c>
      <c r="B3918" s="4">
        <v>10470.0</v>
      </c>
      <c r="C3918" s="5">
        <f t="shared" ref="C3918:C3920" si="1629">DATE(2012,12,31)-241</f>
        <v>41033</v>
      </c>
      <c r="D3918" s="4" t="s">
        <v>21</v>
      </c>
      <c r="E3918" s="4">
        <v>40.0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8"/>
        <v>41035</v>
      </c>
    </row>
    <row r="3919" ht="12.75" customHeight="1">
      <c r="A3919" s="4">
        <v>1453.0</v>
      </c>
      <c r="B3919" s="4">
        <v>10470.0</v>
      </c>
      <c r="C3919" s="5">
        <f t="shared" si="1629"/>
        <v>41033</v>
      </c>
      <c r="D3919" s="4" t="s">
        <v>21</v>
      </c>
      <c r="E3919" s="4">
        <v>8.0</v>
      </c>
      <c r="F3919" s="4">
        <v>137.26</v>
      </c>
      <c r="G3919" s="4">
        <v>0.03</v>
      </c>
      <c r="H3919" s="4" t="s">
        <v>22</v>
      </c>
      <c r="I3919" s="6">
        <v>-54.6135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ht="12.75" customHeight="1">
      <c r="A3920" s="4">
        <v>1454.0</v>
      </c>
      <c r="B3920" s="4">
        <v>10470.0</v>
      </c>
      <c r="C3920" s="5">
        <f t="shared" si="1629"/>
        <v>41033</v>
      </c>
      <c r="D3920" s="4" t="s">
        <v>21</v>
      </c>
      <c r="E3920" s="4">
        <v>20.0</v>
      </c>
      <c r="F3920" s="4">
        <v>2913.1455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30">C3920+2</f>
        <v>41035</v>
      </c>
    </row>
    <row r="3921" ht="12.75" customHeight="1">
      <c r="A3921" s="4">
        <v>1542.0</v>
      </c>
      <c r="B3921" s="4">
        <v>11111.0</v>
      </c>
      <c r="C3921" s="5">
        <f t="shared" ref="C3921:C3922" si="1631">DATE(2012,12,31)-714</f>
        <v>40560</v>
      </c>
      <c r="D3921" s="4" t="s">
        <v>63</v>
      </c>
      <c r="E3921" s="4">
        <v>7.0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30"/>
        <v>40562</v>
      </c>
    </row>
    <row r="3922" ht="12.75" customHeight="1">
      <c r="A3922" s="4">
        <v>1543.0</v>
      </c>
      <c r="B3922" s="4">
        <v>11111.0</v>
      </c>
      <c r="C3922" s="5">
        <f t="shared" si="1631"/>
        <v>40560</v>
      </c>
      <c r="D3922" s="4" t="s">
        <v>63</v>
      </c>
      <c r="E3922" s="4">
        <v>29.0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30"/>
        <v>40562</v>
      </c>
    </row>
    <row r="3923" ht="12.75" customHeight="1">
      <c r="A3923" s="4">
        <v>1549.0</v>
      </c>
      <c r="B3923" s="4">
        <v>11173.0</v>
      </c>
      <c r="C3923" s="5">
        <f>DATE(2012,12,31)-276</f>
        <v>40998</v>
      </c>
      <c r="D3923" s="4" t="s">
        <v>78</v>
      </c>
      <c r="E3923" s="4">
        <v>37.0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30"/>
        <v>41000</v>
      </c>
    </row>
    <row r="3924" ht="12.75" customHeight="1">
      <c r="A3924" s="4">
        <v>1559.0</v>
      </c>
      <c r="B3924" s="4">
        <v>11239.0</v>
      </c>
      <c r="C3924" s="5">
        <f>DATE(2012,12,31)-326</f>
        <v>40948</v>
      </c>
      <c r="D3924" s="4" t="s">
        <v>78</v>
      </c>
      <c r="E3924" s="4">
        <v>33.0</v>
      </c>
      <c r="F3924" s="4">
        <v>6170.02</v>
      </c>
      <c r="G3924" s="4">
        <v>0.03</v>
      </c>
      <c r="H3924" s="4" t="s">
        <v>31</v>
      </c>
      <c r="I3924" s="6">
        <v>-433.2901430000001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30"/>
        <v>40950</v>
      </c>
    </row>
    <row r="3925" ht="12.75" customHeight="1">
      <c r="A3925" s="4">
        <v>1576.0</v>
      </c>
      <c r="B3925" s="4">
        <v>11396.0</v>
      </c>
      <c r="C3925" s="5">
        <f>DATE(2012,12,31)-163</f>
        <v>41111</v>
      </c>
      <c r="D3925" s="4" t="s">
        <v>78</v>
      </c>
      <c r="E3925" s="4">
        <v>42.0</v>
      </c>
      <c r="F3925" s="4">
        <v>12270.3</v>
      </c>
      <c r="G3925" s="4">
        <v>0.07</v>
      </c>
      <c r="H3925" s="4" t="s">
        <v>22</v>
      </c>
      <c r="I3925" s="6">
        <v>4842.3735</v>
      </c>
      <c r="J3925" s="4">
        <v>304.99</v>
      </c>
      <c r="K3925" s="4">
        <v>19.99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2">C3925+1</f>
        <v>41112</v>
      </c>
    </row>
    <row r="3926" ht="12.75" customHeight="1">
      <c r="A3926" s="4">
        <v>1633.0</v>
      </c>
      <c r="B3926" s="4">
        <v>11808.0</v>
      </c>
      <c r="C3926" s="5">
        <f>DATE(2012,12,31)-153</f>
        <v>41121</v>
      </c>
      <c r="D3926" s="4" t="s">
        <v>45</v>
      </c>
      <c r="E3926" s="4">
        <v>1.0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150.98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2"/>
        <v>41122</v>
      </c>
    </row>
    <row r="3927" ht="12.75" customHeight="1">
      <c r="A3927" s="4">
        <v>1642.0</v>
      </c>
      <c r="B3927" s="4">
        <v>11874.0</v>
      </c>
      <c r="C3927" s="5">
        <f t="shared" ref="C3927:C3928" si="1633">DATE(2012,12,31)-113</f>
        <v>41161</v>
      </c>
      <c r="D3927" s="4" t="s">
        <v>63</v>
      </c>
      <c r="E3927" s="4">
        <v>1.0</v>
      </c>
      <c r="F3927" s="4">
        <v>40.29</v>
      </c>
      <c r="G3927" s="4">
        <v>0.0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ht="12.75" customHeight="1">
      <c r="A3928" s="4">
        <v>1643.0</v>
      </c>
      <c r="B3928" s="4">
        <v>11874.0</v>
      </c>
      <c r="C3928" s="5">
        <f t="shared" si="1633"/>
        <v>41161</v>
      </c>
      <c r="D3928" s="4" t="s">
        <v>63</v>
      </c>
      <c r="E3928" s="4">
        <v>20.0</v>
      </c>
      <c r="F3928" s="4">
        <v>775.77</v>
      </c>
      <c r="G3928" s="4">
        <v>0.07</v>
      </c>
      <c r="H3928" s="4" t="s">
        <v>22</v>
      </c>
      <c r="I3928" s="6">
        <v>179.37</v>
      </c>
      <c r="J3928" s="4">
        <v>39.98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ht="12.75" customHeight="1">
      <c r="A3929" s="4">
        <v>1714.0</v>
      </c>
      <c r="B3929" s="4">
        <v>12322.0</v>
      </c>
      <c r="C3929" s="5">
        <f>DATE(2012,12,31)-600</f>
        <v>40674</v>
      </c>
      <c r="D3929" s="4" t="s">
        <v>78</v>
      </c>
      <c r="E3929" s="4">
        <v>36.0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ht="12.75" customHeight="1">
      <c r="A3930" s="4">
        <v>1739.0</v>
      </c>
      <c r="B3930" s="4">
        <v>12480.0</v>
      </c>
      <c r="C3930" s="5">
        <f>DATE(2012,12,31)-1273</f>
        <v>40001</v>
      </c>
      <c r="D3930" s="4" t="s">
        <v>63</v>
      </c>
      <c r="E3930" s="4">
        <v>8.0</v>
      </c>
      <c r="F3930" s="4">
        <v>1187.01</v>
      </c>
      <c r="G3930" s="4">
        <v>0.0</v>
      </c>
      <c r="H3930" s="4" t="s">
        <v>31</v>
      </c>
      <c r="I3930" s="6">
        <v>-203.27</v>
      </c>
      <c r="J3930" s="4">
        <v>137.48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ht="12.75" customHeight="1">
      <c r="A3931" s="4">
        <v>1749.0</v>
      </c>
      <c r="B3931" s="4">
        <v>12516.0</v>
      </c>
      <c r="C3931" s="5">
        <f t="shared" ref="C3931:C3932" si="1634">DATE(2012,12,31)-1317</f>
        <v>39957</v>
      </c>
      <c r="D3931" s="4" t="s">
        <v>21</v>
      </c>
      <c r="E3931" s="4">
        <v>31.0</v>
      </c>
      <c r="F3931" s="4">
        <v>2360.43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ht="12.75" customHeight="1">
      <c r="A3932" s="4">
        <v>1750.0</v>
      </c>
      <c r="B3932" s="4">
        <v>12516.0</v>
      </c>
      <c r="C3932" s="5">
        <f t="shared" si="1634"/>
        <v>39957</v>
      </c>
      <c r="D3932" s="4" t="s">
        <v>21</v>
      </c>
      <c r="E3932" s="4">
        <v>22.0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ht="12.75" customHeight="1">
      <c r="A3933" s="4">
        <v>1820.0</v>
      </c>
      <c r="B3933" s="4">
        <v>13088.0</v>
      </c>
      <c r="C3933" s="5">
        <f>DATE(2012,12,31)-984</f>
        <v>40290</v>
      </c>
      <c r="D3933" s="4" t="s">
        <v>45</v>
      </c>
      <c r="E3933" s="4">
        <v>46.0</v>
      </c>
      <c r="F3933" s="4">
        <v>187.92</v>
      </c>
      <c r="G3933" s="4">
        <v>0.08</v>
      </c>
      <c r="H3933" s="4" t="s">
        <v>22</v>
      </c>
      <c r="I3933" s="6">
        <v>-2149.8</v>
      </c>
      <c r="J3933" s="4">
        <v>3.25</v>
      </c>
      <c r="K3933" s="4">
        <v>49.0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</v>
      </c>
      <c r="U3933" s="5">
        <f>C3933+2</f>
        <v>40292</v>
      </c>
    </row>
    <row r="3934" ht="12.75" customHeight="1">
      <c r="A3934" s="4">
        <v>1828.0</v>
      </c>
      <c r="B3934" s="4">
        <v>13121.0</v>
      </c>
      <c r="C3934" s="5">
        <f t="shared" ref="C3934:C3935" si="1635">DATE(2012,12,31)-1030</f>
        <v>40244</v>
      </c>
      <c r="D3934" s="4" t="s">
        <v>30</v>
      </c>
      <c r="E3934" s="4">
        <v>36.0</v>
      </c>
      <c r="F3934" s="4">
        <v>1211.0</v>
      </c>
      <c r="G3934" s="4">
        <v>0.0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ht="12.75" customHeight="1">
      <c r="A3935" s="4">
        <v>1829.0</v>
      </c>
      <c r="B3935" s="4">
        <v>13121.0</v>
      </c>
      <c r="C3935" s="5">
        <f t="shared" si="1635"/>
        <v>40244</v>
      </c>
      <c r="D3935" s="4" t="s">
        <v>30</v>
      </c>
      <c r="E3935" s="4">
        <v>28.0</v>
      </c>
      <c r="F3935" s="4">
        <v>4924.135</v>
      </c>
      <c r="G3935" s="4">
        <v>0.07</v>
      </c>
      <c r="H3935" s="4" t="s">
        <v>22</v>
      </c>
      <c r="I3935" s="6">
        <v>1049.535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0.58</v>
      </c>
      <c r="U3935" s="5">
        <f>C3935+3</f>
        <v>40247</v>
      </c>
    </row>
    <row r="3936" ht="12.75" customHeight="1">
      <c r="A3936" s="4">
        <v>1857.0</v>
      </c>
      <c r="B3936" s="4">
        <v>13348.0</v>
      </c>
      <c r="C3936" s="5">
        <f>DATE(2012,12,31)-785</f>
        <v>40489</v>
      </c>
      <c r="D3936" s="4" t="s">
        <v>63</v>
      </c>
      <c r="E3936" s="4">
        <v>35.0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19.99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ht="12.75" customHeight="1">
      <c r="A3937" s="4">
        <v>1866.0</v>
      </c>
      <c r="B3937" s="4">
        <v>13413.0</v>
      </c>
      <c r="C3937" s="5">
        <f>DATE(2012,12,31)-1067</f>
        <v>40207</v>
      </c>
      <c r="D3937" s="4" t="s">
        <v>78</v>
      </c>
      <c r="E3937" s="4">
        <v>29.0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6">C3937+2</f>
        <v>40209</v>
      </c>
    </row>
    <row r="3938" ht="12.75" customHeight="1">
      <c r="A3938" s="4">
        <v>1869.0</v>
      </c>
      <c r="B3938" s="4">
        <v>13447.0</v>
      </c>
      <c r="C3938" s="5">
        <f>DATE(2012,12,31)-1088</f>
        <v>40186</v>
      </c>
      <c r="D3938" s="4" t="s">
        <v>30</v>
      </c>
      <c r="E3938" s="4">
        <v>24.0</v>
      </c>
      <c r="F3938" s="4">
        <v>436.4835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4.81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0.58</v>
      </c>
      <c r="U3938" s="5">
        <f t="shared" si="1636"/>
        <v>40188</v>
      </c>
    </row>
    <row r="3939" ht="12.75" customHeight="1">
      <c r="A3939" s="4">
        <v>1910.0</v>
      </c>
      <c r="B3939" s="4">
        <v>13638.0</v>
      </c>
      <c r="C3939" s="5">
        <f>DATE(2012,12,31)-458</f>
        <v>40816</v>
      </c>
      <c r="D3939" s="4" t="s">
        <v>30</v>
      </c>
      <c r="E3939" s="4">
        <v>49.0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6"/>
        <v>40818</v>
      </c>
    </row>
    <row r="3940" ht="12.75" customHeight="1">
      <c r="A3940" s="4">
        <v>1918.0</v>
      </c>
      <c r="B3940" s="4">
        <v>13761.0</v>
      </c>
      <c r="C3940" s="5">
        <f>DATE(2012,12,31)-1171</f>
        <v>40103</v>
      </c>
      <c r="D3940" s="4" t="s">
        <v>21</v>
      </c>
      <c r="E3940" s="4">
        <v>32.0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35.0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ht="12.75" customHeight="1">
      <c r="A3941" s="4">
        <v>1999.0</v>
      </c>
      <c r="B3941" s="4">
        <v>14247.0</v>
      </c>
      <c r="C3941" s="5">
        <f>DATE(2012,12,31)-503</f>
        <v>40771</v>
      </c>
      <c r="D3941" s="4" t="s">
        <v>78</v>
      </c>
      <c r="E3941" s="4">
        <v>4.0</v>
      </c>
      <c r="F3941" s="4">
        <v>14.75</v>
      </c>
      <c r="G3941" s="4">
        <v>0.03</v>
      </c>
      <c r="H3941" s="4" t="s">
        <v>22</v>
      </c>
      <c r="I3941" s="6">
        <v>-2.49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ht="12.75" customHeight="1">
      <c r="A3942" s="4">
        <v>2061.0</v>
      </c>
      <c r="B3942" s="4">
        <v>14755.0</v>
      </c>
      <c r="C3942" s="5">
        <f t="shared" ref="C3942:C3943" si="1637">DATE(2012,12,31)-1091</f>
        <v>40183</v>
      </c>
      <c r="D3942" s="4" t="s">
        <v>30</v>
      </c>
      <c r="E3942" s="4">
        <v>31.0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ht="12.75" customHeight="1">
      <c r="A3943" s="4">
        <v>2062.0</v>
      </c>
      <c r="B3943" s="4">
        <v>14755.0</v>
      </c>
      <c r="C3943" s="5">
        <f t="shared" si="1637"/>
        <v>40183</v>
      </c>
      <c r="D3943" s="4" t="s">
        <v>30</v>
      </c>
      <c r="E3943" s="4">
        <v>44.0</v>
      </c>
      <c r="F3943" s="4">
        <v>2322.812</v>
      </c>
      <c r="G3943" s="4">
        <v>0.1</v>
      </c>
      <c r="H3943" s="4" t="s">
        <v>56</v>
      </c>
      <c r="I3943" s="6">
        <v>454.383</v>
      </c>
      <c r="J3943" s="4">
        <v>65.99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ht="12.75" customHeight="1">
      <c r="A3944" s="4">
        <v>2078.0</v>
      </c>
      <c r="B3944" s="4">
        <v>14854.0</v>
      </c>
      <c r="C3944" s="5">
        <f>DATE(2012,12,31)-978</f>
        <v>40296</v>
      </c>
      <c r="D3944" s="4" t="s">
        <v>21</v>
      </c>
      <c r="E3944" s="4">
        <v>24.0</v>
      </c>
      <c r="F3944" s="4">
        <v>391.23</v>
      </c>
      <c r="G3944" s="4">
        <v>0.07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0.58</v>
      </c>
      <c r="U3944" s="5">
        <f>C3944+4</f>
        <v>40300</v>
      </c>
    </row>
    <row r="3945" ht="12.75" customHeight="1">
      <c r="A3945" s="4">
        <v>2109.0</v>
      </c>
      <c r="B3945" s="4">
        <v>15078.0</v>
      </c>
      <c r="C3945" s="5">
        <f>DATE(2012,12,31)-783</f>
        <v>40491</v>
      </c>
      <c r="D3945" s="4" t="s">
        <v>30</v>
      </c>
      <c r="E3945" s="4">
        <v>33.0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ht="12.75" customHeight="1">
      <c r="A3946" s="4">
        <v>2183.0</v>
      </c>
      <c r="B3946" s="4">
        <v>15718.0</v>
      </c>
      <c r="C3946" s="5">
        <f t="shared" ref="C3946:C3947" si="1638">DATE(2012,12,31)-1434</f>
        <v>39840</v>
      </c>
      <c r="D3946" s="4" t="s">
        <v>78</v>
      </c>
      <c r="E3946" s="4">
        <v>41.0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0.58</v>
      </c>
      <c r="U3946" s="5">
        <f>C3946+2</f>
        <v>39842</v>
      </c>
    </row>
    <row r="3947" ht="12.75" customHeight="1">
      <c r="A3947" s="4">
        <v>2184.0</v>
      </c>
      <c r="B3947" s="4">
        <v>15718.0</v>
      </c>
      <c r="C3947" s="5">
        <f t="shared" si="1638"/>
        <v>39840</v>
      </c>
      <c r="D3947" s="4" t="s">
        <v>78</v>
      </c>
      <c r="E3947" s="4">
        <v>50.0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1.14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ht="12.75" customHeight="1">
      <c r="A3948" s="4">
        <v>2186.0</v>
      </c>
      <c r="B3948" s="4">
        <v>15744.0</v>
      </c>
      <c r="C3948" s="5">
        <f>DATE(2012,12,31)-1016</f>
        <v>40258</v>
      </c>
      <c r="D3948" s="4" t="s">
        <v>78</v>
      </c>
      <c r="E3948" s="4">
        <v>16.0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ht="12.75" customHeight="1">
      <c r="A3949" s="4">
        <v>2285.0</v>
      </c>
      <c r="B3949" s="4">
        <v>16454.0</v>
      </c>
      <c r="C3949" s="5">
        <f>DATE(2012,12,31)-234</f>
        <v>41040</v>
      </c>
      <c r="D3949" s="4" t="s">
        <v>63</v>
      </c>
      <c r="E3949" s="4">
        <v>12.0</v>
      </c>
      <c r="F3949" s="4">
        <v>94.39</v>
      </c>
      <c r="G3949" s="4">
        <v>0.04</v>
      </c>
      <c r="H3949" s="4" t="s">
        <v>22</v>
      </c>
      <c r="I3949" s="6">
        <v>-29.486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9">C3949+0</f>
        <v>41040</v>
      </c>
    </row>
    <row r="3950" ht="12.75" customHeight="1">
      <c r="A3950" s="4">
        <v>2314.0</v>
      </c>
      <c r="B3950" s="4">
        <v>16676.0</v>
      </c>
      <c r="C3950" s="5">
        <f>DATE(2012,12,31)-1383</f>
        <v>39891</v>
      </c>
      <c r="D3950" s="4" t="s">
        <v>30</v>
      </c>
      <c r="E3950" s="4">
        <v>39.0</v>
      </c>
      <c r="F3950" s="4">
        <v>936.8019999999999</v>
      </c>
      <c r="G3950" s="4">
        <v>0.07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</v>
      </c>
      <c r="U3950" s="5">
        <f t="shared" si="1639"/>
        <v>39891</v>
      </c>
    </row>
    <row r="3951" ht="12.75" customHeight="1">
      <c r="A3951" s="4">
        <v>2344.0</v>
      </c>
      <c r="B3951" s="4">
        <v>16897.0</v>
      </c>
      <c r="C3951" s="5">
        <f t="shared" ref="C3951:C3952" si="1640">DATE(2012,12,31)-199</f>
        <v>41075</v>
      </c>
      <c r="D3951" s="4" t="s">
        <v>45</v>
      </c>
      <c r="E3951" s="4">
        <v>1.0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0.57</v>
      </c>
      <c r="U3951" s="5">
        <f t="shared" ref="U3951:U3953" si="1641">C3951+2</f>
        <v>41077</v>
      </c>
    </row>
    <row r="3952" ht="12.75" customHeight="1">
      <c r="A3952" s="4">
        <v>2345.0</v>
      </c>
      <c r="B3952" s="4">
        <v>16897.0</v>
      </c>
      <c r="C3952" s="5">
        <f t="shared" si="1640"/>
        <v>41075</v>
      </c>
      <c r="D3952" s="4" t="s">
        <v>45</v>
      </c>
      <c r="E3952" s="4">
        <v>48.0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1.0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1"/>
        <v>41077</v>
      </c>
    </row>
    <row r="3953" ht="12.75" customHeight="1">
      <c r="A3953" s="4">
        <v>2357.0</v>
      </c>
      <c r="B3953" s="4">
        <v>16999.0</v>
      </c>
      <c r="C3953" s="5">
        <f>DATE(2012,12,31)-1442</f>
        <v>39832</v>
      </c>
      <c r="D3953" s="4" t="s">
        <v>78</v>
      </c>
      <c r="E3953" s="4">
        <v>18.0</v>
      </c>
      <c r="F3953" s="4">
        <v>3568.45</v>
      </c>
      <c r="G3953" s="4">
        <v>0.09</v>
      </c>
      <c r="H3953" s="4" t="s">
        <v>22</v>
      </c>
      <c r="I3953" s="6">
        <v>1081.62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</v>
      </c>
      <c r="U3953" s="5">
        <f t="shared" si="1641"/>
        <v>39834</v>
      </c>
    </row>
    <row r="3954" ht="12.75" customHeight="1">
      <c r="A3954" s="4">
        <v>2364.0</v>
      </c>
      <c r="B3954" s="4">
        <v>17091.0</v>
      </c>
      <c r="C3954" s="5">
        <f>DATE(2012,12,31)-163</f>
        <v>41111</v>
      </c>
      <c r="D3954" s="4" t="s">
        <v>63</v>
      </c>
      <c r="E3954" s="4">
        <v>45.0</v>
      </c>
      <c r="F3954" s="4">
        <v>2604.315</v>
      </c>
      <c r="G3954" s="4">
        <v>0.0</v>
      </c>
      <c r="H3954" s="4" t="s">
        <v>22</v>
      </c>
      <c r="I3954" s="6">
        <v>750.87</v>
      </c>
      <c r="J3954" s="4">
        <v>65.99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</v>
      </c>
      <c r="U3954" s="5">
        <f>C3954+1</f>
        <v>41112</v>
      </c>
    </row>
    <row r="3955" ht="12.75" customHeight="1">
      <c r="A3955" s="4">
        <v>2376.0</v>
      </c>
      <c r="B3955" s="4">
        <v>17249.0</v>
      </c>
      <c r="C3955" s="5">
        <f>DATE(2012,12,31)-828</f>
        <v>40446</v>
      </c>
      <c r="D3955" s="4" t="s">
        <v>21</v>
      </c>
      <c r="E3955" s="4">
        <v>37.0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2">C3955+2</f>
        <v>40448</v>
      </c>
    </row>
    <row r="3956" ht="12.75" customHeight="1">
      <c r="A3956" s="4">
        <v>2435.0</v>
      </c>
      <c r="B3956" s="4">
        <v>17670.0</v>
      </c>
      <c r="C3956" s="5">
        <f>DATE(2012,12,31)-1224</f>
        <v>40050</v>
      </c>
      <c r="D3956" s="4" t="s">
        <v>63</v>
      </c>
      <c r="E3956" s="4">
        <v>14.0</v>
      </c>
      <c r="F3956" s="4">
        <v>36.52</v>
      </c>
      <c r="G3956" s="4">
        <v>0.07</v>
      </c>
      <c r="H3956" s="4" t="s">
        <v>22</v>
      </c>
      <c r="I3956" s="6">
        <v>10.05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2"/>
        <v>40052</v>
      </c>
    </row>
    <row r="3957" ht="12.75" customHeight="1">
      <c r="A3957" s="4">
        <v>2448.0</v>
      </c>
      <c r="B3957" s="4">
        <v>17797.0</v>
      </c>
      <c r="C3957" s="5">
        <f t="shared" ref="C3957:C3958" si="1643">DATE(2012,12,31)-174</f>
        <v>41100</v>
      </c>
      <c r="D3957" s="4" t="s">
        <v>21</v>
      </c>
      <c r="E3957" s="4">
        <v>10.0</v>
      </c>
      <c r="F3957" s="4">
        <v>1077.28</v>
      </c>
      <c r="G3957" s="4">
        <v>0.0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2"/>
        <v>41102</v>
      </c>
    </row>
    <row r="3958" ht="12.75" customHeight="1">
      <c r="A3958" s="4">
        <v>2449.0</v>
      </c>
      <c r="B3958" s="4">
        <v>17797.0</v>
      </c>
      <c r="C3958" s="5">
        <f t="shared" si="1643"/>
        <v>41100</v>
      </c>
      <c r="D3958" s="4" t="s">
        <v>21</v>
      </c>
      <c r="E3958" s="4">
        <v>16.0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ht="12.75" customHeight="1">
      <c r="A3959" s="4">
        <v>2508.0</v>
      </c>
      <c r="B3959" s="4">
        <v>18213.0</v>
      </c>
      <c r="C3959" s="5">
        <f>DATE(2012,12,31)-843</f>
        <v>40431</v>
      </c>
      <c r="D3959" s="4" t="s">
        <v>63</v>
      </c>
      <c r="E3959" s="4">
        <v>29.0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19.99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4">C3959+2</f>
        <v>40433</v>
      </c>
    </row>
    <row r="3960" ht="12.75" customHeight="1">
      <c r="A3960" s="4">
        <v>2510.0</v>
      </c>
      <c r="B3960" s="4">
        <v>18241.0</v>
      </c>
      <c r="C3960" s="5">
        <f t="shared" ref="C3960:C3961" si="1645">DATE(2012,12,31)-888</f>
        <v>40386</v>
      </c>
      <c r="D3960" s="4" t="s">
        <v>21</v>
      </c>
      <c r="E3960" s="4">
        <v>3.0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4"/>
        <v>40388</v>
      </c>
    </row>
    <row r="3961" ht="12.75" customHeight="1">
      <c r="A3961" s="4">
        <v>2511.0</v>
      </c>
      <c r="B3961" s="4">
        <v>18241.0</v>
      </c>
      <c r="C3961" s="5">
        <f t="shared" si="1645"/>
        <v>40386</v>
      </c>
      <c r="D3961" s="4" t="s">
        <v>21</v>
      </c>
      <c r="E3961" s="4">
        <v>25.0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4"/>
        <v>40388</v>
      </c>
    </row>
    <row r="3962" ht="12.75" customHeight="1">
      <c r="A3962" s="4">
        <v>2512.0</v>
      </c>
      <c r="B3962" s="4">
        <v>18244.0</v>
      </c>
      <c r="C3962" s="5">
        <f>DATE(2012,12,31)-689</f>
        <v>40585</v>
      </c>
      <c r="D3962" s="4" t="s">
        <v>78</v>
      </c>
      <c r="E3962" s="4">
        <v>1.0</v>
      </c>
      <c r="F3962" s="4">
        <v>172.34</v>
      </c>
      <c r="G3962" s="4">
        <v>0.0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0.57</v>
      </c>
      <c r="U3962" s="5">
        <f t="shared" si="1644"/>
        <v>40587</v>
      </c>
    </row>
    <row r="3963" ht="12.75" customHeight="1">
      <c r="A3963" s="4">
        <v>2548.0</v>
      </c>
      <c r="B3963" s="4">
        <v>18465.0</v>
      </c>
      <c r="C3963" s="5">
        <f>DATE(2012,12,31)-991</f>
        <v>40283</v>
      </c>
      <c r="D3963" s="4" t="s">
        <v>30</v>
      </c>
      <c r="E3963" s="4">
        <v>12.0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</v>
      </c>
      <c r="K3963" s="4">
        <v>35.0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4"/>
        <v>40285</v>
      </c>
    </row>
    <row r="3964" ht="12.75" customHeight="1">
      <c r="A3964" s="4">
        <v>2561.0</v>
      </c>
      <c r="B3964" s="4">
        <v>18528.0</v>
      </c>
      <c r="C3964" s="5">
        <f t="shared" ref="C3964:C3965" si="1646">DATE(2012,12,31)-611</f>
        <v>40663</v>
      </c>
      <c r="D3964" s="4" t="s">
        <v>78</v>
      </c>
      <c r="E3964" s="4">
        <v>33.0</v>
      </c>
      <c r="F3964" s="4">
        <v>340.97</v>
      </c>
      <c r="G3964" s="4">
        <v>0.07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0.58</v>
      </c>
      <c r="U3964" s="5">
        <f>C3964+1</f>
        <v>40664</v>
      </c>
    </row>
    <row r="3965" ht="12.75" customHeight="1">
      <c r="A3965" s="4">
        <v>2562.0</v>
      </c>
      <c r="B3965" s="4">
        <v>18528.0</v>
      </c>
      <c r="C3965" s="5">
        <f t="shared" si="1646"/>
        <v>40663</v>
      </c>
      <c r="D3965" s="4" t="s">
        <v>78</v>
      </c>
      <c r="E3965" s="4">
        <v>22.0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7">C3965+2</f>
        <v>40665</v>
      </c>
    </row>
    <row r="3966" ht="12.75" customHeight="1">
      <c r="A3966" s="4">
        <v>2616.0</v>
      </c>
      <c r="B3966" s="4">
        <v>18917.0</v>
      </c>
      <c r="C3966" s="5">
        <f>DATE(2012,12,31)-242</f>
        <v>41032</v>
      </c>
      <c r="D3966" s="4" t="s">
        <v>78</v>
      </c>
      <c r="E3966" s="4">
        <v>14.0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7"/>
        <v>41034</v>
      </c>
    </row>
    <row r="3967" ht="12.75" customHeight="1">
      <c r="A3967" s="4">
        <v>2693.0</v>
      </c>
      <c r="B3967" s="4">
        <v>19493.0</v>
      </c>
      <c r="C3967" s="5">
        <f>DATE(2012,12,31)-1428</f>
        <v>39846</v>
      </c>
      <c r="D3967" s="4" t="s">
        <v>78</v>
      </c>
      <c r="E3967" s="4">
        <v>31.0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69.0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8">C3967+1</f>
        <v>39847</v>
      </c>
    </row>
    <row r="3968" ht="12.75" customHeight="1">
      <c r="A3968" s="4">
        <v>2714.0</v>
      </c>
      <c r="B3968" s="4">
        <v>19616.0</v>
      </c>
      <c r="C3968" s="5">
        <f t="shared" ref="C3968:C3969" si="1649">DATE(2012,12,31)-375</f>
        <v>40899</v>
      </c>
      <c r="D3968" s="4" t="s">
        <v>30</v>
      </c>
      <c r="E3968" s="4">
        <v>3.0</v>
      </c>
      <c r="F3968" s="4">
        <v>92.31</v>
      </c>
      <c r="G3968" s="4">
        <v>0.0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</v>
      </c>
      <c r="U3968" s="5">
        <f t="shared" si="1648"/>
        <v>40900</v>
      </c>
    </row>
    <row r="3969" ht="12.75" customHeight="1">
      <c r="A3969" s="4">
        <v>2715.0</v>
      </c>
      <c r="B3969" s="4">
        <v>19616.0</v>
      </c>
      <c r="C3969" s="5">
        <f t="shared" si="1649"/>
        <v>40899</v>
      </c>
      <c r="D3969" s="4" t="s">
        <v>30</v>
      </c>
      <c r="E3969" s="4">
        <v>42.0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8"/>
        <v>40900</v>
      </c>
    </row>
    <row r="3970" ht="12.75" customHeight="1">
      <c r="A3970" s="4">
        <v>2827.0</v>
      </c>
      <c r="B3970" s="4">
        <v>20390.0</v>
      </c>
      <c r="C3970" s="5">
        <f t="shared" ref="C3970:C3971" si="1650">DATE(2012,12,31)-1218</f>
        <v>40056</v>
      </c>
      <c r="D3970" s="4" t="s">
        <v>45</v>
      </c>
      <c r="E3970" s="4">
        <v>35.0</v>
      </c>
      <c r="F3970" s="4">
        <v>1271.12</v>
      </c>
      <c r="G3970" s="4">
        <v>0.05</v>
      </c>
      <c r="H3970" s="4" t="s">
        <v>56</v>
      </c>
      <c r="I3970" s="6">
        <v>-62.82</v>
      </c>
      <c r="J3970" s="4">
        <v>34.98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ht="12.75" customHeight="1">
      <c r="A3971" s="4">
        <v>2828.0</v>
      </c>
      <c r="B3971" s="4">
        <v>20390.0</v>
      </c>
      <c r="C3971" s="5">
        <f t="shared" si="1650"/>
        <v>40056</v>
      </c>
      <c r="D3971" s="4" t="s">
        <v>45</v>
      </c>
      <c r="E3971" s="4">
        <v>17.0</v>
      </c>
      <c r="F3971" s="4">
        <v>58.5</v>
      </c>
      <c r="G3971" s="4">
        <v>0.0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1">C3971+2</f>
        <v>40058</v>
      </c>
    </row>
    <row r="3972" ht="12.75" customHeight="1">
      <c r="A3972" s="4">
        <v>2834.0</v>
      </c>
      <c r="B3972" s="4">
        <v>20451.0</v>
      </c>
      <c r="C3972" s="5">
        <f t="shared" ref="C3972:C3974" si="1652">DATE(2012,12,31)-220</f>
        <v>41054</v>
      </c>
      <c r="D3972" s="4" t="s">
        <v>78</v>
      </c>
      <c r="E3972" s="4">
        <v>6.0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8.95</v>
      </c>
      <c r="K3972" s="4">
        <v>2.01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1"/>
        <v>41056</v>
      </c>
    </row>
    <row r="3973" ht="12.75" customHeight="1">
      <c r="A3973" s="4">
        <v>2835.0</v>
      </c>
      <c r="B3973" s="4">
        <v>20451.0</v>
      </c>
      <c r="C3973" s="5">
        <f t="shared" si="1652"/>
        <v>41054</v>
      </c>
      <c r="D3973" s="4" t="s">
        <v>78</v>
      </c>
      <c r="E3973" s="4">
        <v>33.0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1"/>
        <v>41056</v>
      </c>
    </row>
    <row r="3974" ht="12.75" customHeight="1">
      <c r="A3974" s="4">
        <v>2836.0</v>
      </c>
      <c r="B3974" s="4">
        <v>20451.0</v>
      </c>
      <c r="C3974" s="5">
        <f t="shared" si="1652"/>
        <v>41054</v>
      </c>
      <c r="D3974" s="4" t="s">
        <v>78</v>
      </c>
      <c r="E3974" s="4">
        <v>17.0</v>
      </c>
      <c r="F3974" s="4">
        <v>9150.09</v>
      </c>
      <c r="G3974" s="4">
        <v>0.1</v>
      </c>
      <c r="H3974" s="4" t="s">
        <v>31</v>
      </c>
      <c r="I3974" s="6">
        <v>-1331.553366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1"/>
        <v>41056</v>
      </c>
    </row>
    <row r="3975" ht="12.75" customHeight="1">
      <c r="A3975" s="4">
        <v>2845.0</v>
      </c>
      <c r="B3975" s="4">
        <v>20486.0</v>
      </c>
      <c r="C3975" s="5">
        <f t="shared" ref="C3975:C3976" si="1653">DATE(2012,12,31)-667</f>
        <v>40607</v>
      </c>
      <c r="D3975" s="4" t="s">
        <v>30</v>
      </c>
      <c r="E3975" s="4">
        <v>34.0</v>
      </c>
      <c r="F3975" s="4">
        <v>306.3</v>
      </c>
      <c r="G3975" s="4">
        <v>0.07</v>
      </c>
      <c r="H3975" s="4" t="s">
        <v>22</v>
      </c>
      <c r="I3975" s="6">
        <v>18.73</v>
      </c>
      <c r="J3975" s="4">
        <v>9.27</v>
      </c>
      <c r="K3975" s="4">
        <v>4.39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4">C3975+1</f>
        <v>40608</v>
      </c>
    </row>
    <row r="3976" ht="12.75" customHeight="1">
      <c r="A3976" s="4">
        <v>2846.0</v>
      </c>
      <c r="B3976" s="4">
        <v>20486.0</v>
      </c>
      <c r="C3976" s="5">
        <f t="shared" si="1653"/>
        <v>40607</v>
      </c>
      <c r="D3976" s="4" t="s">
        <v>30</v>
      </c>
      <c r="E3976" s="4">
        <v>42.0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4"/>
        <v>40608</v>
      </c>
    </row>
    <row r="3977" ht="12.75" customHeight="1">
      <c r="A3977" s="4">
        <v>2895.0</v>
      </c>
      <c r="B3977" s="4">
        <v>20899.0</v>
      </c>
      <c r="C3977" s="5">
        <f>DATE(2012,12,31)-994</f>
        <v>40280</v>
      </c>
      <c r="D3977" s="4" t="s">
        <v>21</v>
      </c>
      <c r="E3977" s="4">
        <v>9.0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ht="12.75" customHeight="1">
      <c r="A3978" s="4">
        <v>2918.0</v>
      </c>
      <c r="B3978" s="4">
        <v>21089.0</v>
      </c>
      <c r="C3978" s="5">
        <f>DATE(2012,12,31)-522</f>
        <v>40752</v>
      </c>
      <c r="D3978" s="4" t="s">
        <v>63</v>
      </c>
      <c r="E3978" s="4">
        <v>4.0</v>
      </c>
      <c r="F3978" s="4">
        <v>559.75</v>
      </c>
      <c r="G3978" s="4">
        <v>0.07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ht="12.75" customHeight="1">
      <c r="A3979" s="4">
        <v>3001.0</v>
      </c>
      <c r="B3979" s="4">
        <v>21634.0</v>
      </c>
      <c r="C3979" s="5">
        <f t="shared" ref="C3979:C3980" si="1655">DATE(2012,12,31)-64</f>
        <v>41210</v>
      </c>
      <c r="D3979" s="4" t="s">
        <v>45</v>
      </c>
      <c r="E3979" s="4">
        <v>8.0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0.58</v>
      </c>
      <c r="U3979" s="5">
        <f>C3979+1</f>
        <v>41211</v>
      </c>
    </row>
    <row r="3980" ht="12.75" customHeight="1">
      <c r="A3980" s="4">
        <v>3002.0</v>
      </c>
      <c r="B3980" s="4">
        <v>21634.0</v>
      </c>
      <c r="C3980" s="5">
        <f t="shared" si="1655"/>
        <v>41210</v>
      </c>
      <c r="D3980" s="4" t="s">
        <v>45</v>
      </c>
      <c r="E3980" s="4">
        <v>1.0</v>
      </c>
      <c r="F3980" s="4">
        <v>1946.55</v>
      </c>
      <c r="G3980" s="4">
        <v>0.07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ht="12.75" customHeight="1">
      <c r="A3981" s="4">
        <v>3012.0</v>
      </c>
      <c r="B3981" s="4">
        <v>21665.0</v>
      </c>
      <c r="C3981" s="5">
        <f>DATE(2012,12,31)-77</f>
        <v>41197</v>
      </c>
      <c r="D3981" s="4" t="s">
        <v>30</v>
      </c>
      <c r="E3981" s="4">
        <v>5.0</v>
      </c>
      <c r="F3981" s="4">
        <v>474.793</v>
      </c>
      <c r="G3981" s="4">
        <v>0.09</v>
      </c>
      <c r="H3981" s="4" t="s">
        <v>56</v>
      </c>
      <c r="I3981" s="6">
        <v>-407.264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0.58</v>
      </c>
      <c r="U3981" s="5">
        <f>C3981+1</f>
        <v>41198</v>
      </c>
    </row>
    <row r="3982" ht="12.75" customHeight="1">
      <c r="A3982" s="4">
        <v>3020.0</v>
      </c>
      <c r="B3982" s="4">
        <v>21729.0</v>
      </c>
      <c r="C3982" s="5">
        <f t="shared" ref="C3982:C3983" si="1656">DATE(2012,12,31)-25</f>
        <v>41249</v>
      </c>
      <c r="D3982" s="4" t="s">
        <v>21</v>
      </c>
      <c r="E3982" s="4">
        <v>28.0</v>
      </c>
      <c r="F3982" s="4">
        <v>120.98</v>
      </c>
      <c r="G3982" s="4">
        <v>0.0</v>
      </c>
      <c r="H3982" s="4" t="s">
        <v>22</v>
      </c>
      <c r="I3982" s="6">
        <v>-92.851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ht="12.75" customHeight="1">
      <c r="A3983" s="4">
        <v>3021.0</v>
      </c>
      <c r="B3983" s="4">
        <v>21729.0</v>
      </c>
      <c r="C3983" s="5">
        <f t="shared" si="1656"/>
        <v>41249</v>
      </c>
      <c r="D3983" s="4" t="s">
        <v>21</v>
      </c>
      <c r="E3983" s="4">
        <v>14.0</v>
      </c>
      <c r="F3983" s="4">
        <v>1082.66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ht="12.75" customHeight="1">
      <c r="A3984" s="4">
        <v>3032.0</v>
      </c>
      <c r="B3984" s="4">
        <v>21796.0</v>
      </c>
      <c r="C3984" s="5">
        <f t="shared" ref="C3984:C3987" si="1657">DATE(2012,12,31)-239</f>
        <v>41035</v>
      </c>
      <c r="D3984" s="4" t="s">
        <v>21</v>
      </c>
      <c r="E3984" s="4">
        <v>46.0</v>
      </c>
      <c r="F3984" s="4">
        <v>4744.64</v>
      </c>
      <c r="G3984" s="4">
        <v>0.04</v>
      </c>
      <c r="H3984" s="4" t="s">
        <v>22</v>
      </c>
      <c r="I3984" s="6">
        <v>1033.38</v>
      </c>
      <c r="J3984" s="4">
        <v>99.99</v>
      </c>
      <c r="K3984" s="4">
        <v>19.99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ht="12.75" customHeight="1">
      <c r="A3985" s="4">
        <v>3033.0</v>
      </c>
      <c r="B3985" s="4">
        <v>21796.0</v>
      </c>
      <c r="C3985" s="5">
        <f t="shared" si="1657"/>
        <v>41035</v>
      </c>
      <c r="D3985" s="4" t="s">
        <v>21</v>
      </c>
      <c r="E3985" s="4">
        <v>2.0</v>
      </c>
      <c r="F3985" s="4">
        <v>40.8255</v>
      </c>
      <c r="G3985" s="4">
        <v>0.01</v>
      </c>
      <c r="H3985" s="4" t="s">
        <v>22</v>
      </c>
      <c r="I3985" s="6">
        <v>-99.979</v>
      </c>
      <c r="J3985" s="4">
        <v>20.99</v>
      </c>
      <c r="K3985" s="4">
        <v>4.81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0.58</v>
      </c>
      <c r="U3985" s="5">
        <f>C3985+0</f>
        <v>41035</v>
      </c>
    </row>
    <row r="3986" ht="12.75" customHeight="1">
      <c r="A3986" s="4">
        <v>3034.0</v>
      </c>
      <c r="B3986" s="4">
        <v>21796.0</v>
      </c>
      <c r="C3986" s="5">
        <f t="shared" si="1657"/>
        <v>41035</v>
      </c>
      <c r="D3986" s="4" t="s">
        <v>21</v>
      </c>
      <c r="E3986" s="4">
        <v>41.0</v>
      </c>
      <c r="F3986" s="4">
        <v>607.13</v>
      </c>
      <c r="G3986" s="4">
        <v>0.1</v>
      </c>
      <c r="H3986" s="4" t="s">
        <v>22</v>
      </c>
      <c r="I3986" s="6">
        <v>274.66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ht="12.75" customHeight="1">
      <c r="A3987" s="4">
        <v>3035.0</v>
      </c>
      <c r="B3987" s="4">
        <v>21796.0</v>
      </c>
      <c r="C3987" s="5">
        <f t="shared" si="1657"/>
        <v>41035</v>
      </c>
      <c r="D3987" s="4" t="s">
        <v>21</v>
      </c>
      <c r="E3987" s="4">
        <v>31.0</v>
      </c>
      <c r="F3987" s="4">
        <v>34.22</v>
      </c>
      <c r="G3987" s="4">
        <v>0.07</v>
      </c>
      <c r="H3987" s="4" t="s">
        <v>22</v>
      </c>
      <c r="I3987" s="6">
        <v>-3.19</v>
      </c>
      <c r="J3987" s="4">
        <v>1.14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ht="12.75" customHeight="1">
      <c r="A3988" s="4">
        <v>3065.0</v>
      </c>
      <c r="B3988" s="4">
        <v>21958.0</v>
      </c>
      <c r="C3988" s="5">
        <f>DATE(2012,12,31)-1305</f>
        <v>39969</v>
      </c>
      <c r="D3988" s="4" t="s">
        <v>30</v>
      </c>
      <c r="E3988" s="4">
        <v>14.0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19.99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0.57</v>
      </c>
      <c r="U3988" s="5">
        <f>C3988+1</f>
        <v>39970</v>
      </c>
    </row>
    <row r="3989" ht="12.75" customHeight="1">
      <c r="A3989" s="4">
        <v>3130.0</v>
      </c>
      <c r="B3989" s="4">
        <v>22468.0</v>
      </c>
      <c r="C3989" s="5">
        <f t="shared" ref="C3989:C3991" si="1658">DATE(2012,12,31)-935</f>
        <v>40339</v>
      </c>
      <c r="D3989" s="4" t="s">
        <v>45</v>
      </c>
      <c r="E3989" s="4">
        <v>14.0</v>
      </c>
      <c r="F3989" s="4">
        <v>323.11</v>
      </c>
      <c r="G3989" s="4">
        <v>0.0</v>
      </c>
      <c r="H3989" s="4" t="s">
        <v>22</v>
      </c>
      <c r="I3989" s="6">
        <v>41.5225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ht="12.75" customHeight="1">
      <c r="A3990" s="4">
        <v>3131.0</v>
      </c>
      <c r="B3990" s="4">
        <v>22468.0</v>
      </c>
      <c r="C3990" s="5">
        <f t="shared" si="1658"/>
        <v>40339</v>
      </c>
      <c r="D3990" s="4" t="s">
        <v>45</v>
      </c>
      <c r="E3990" s="4">
        <v>11.0</v>
      </c>
      <c r="F3990" s="4">
        <v>65.1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ht="12.75" customHeight="1">
      <c r="A3991" s="4">
        <v>3132.0</v>
      </c>
      <c r="B3991" s="4">
        <v>22468.0</v>
      </c>
      <c r="C3991" s="5">
        <f t="shared" si="1658"/>
        <v>40339</v>
      </c>
      <c r="D3991" s="4" t="s">
        <v>45</v>
      </c>
      <c r="E3991" s="4">
        <v>19.0</v>
      </c>
      <c r="F3991" s="4">
        <v>163.75</v>
      </c>
      <c r="G3991" s="4">
        <v>0.0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9">C3991+2</f>
        <v>40341</v>
      </c>
    </row>
    <row r="3992" ht="12.75" customHeight="1">
      <c r="A3992" s="4">
        <v>3149.0</v>
      </c>
      <c r="B3992" s="4">
        <v>22626.0</v>
      </c>
      <c r="C3992" s="5">
        <f t="shared" ref="C3992:C3993" si="1660">DATE(2012,12,31)-916</f>
        <v>40358</v>
      </c>
      <c r="D3992" s="4" t="s">
        <v>78</v>
      </c>
      <c r="E3992" s="4">
        <v>17.0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9"/>
        <v>40360</v>
      </c>
    </row>
    <row r="3993" ht="12.75" customHeight="1">
      <c r="A3993" s="4">
        <v>3150.0</v>
      </c>
      <c r="B3993" s="4">
        <v>22626.0</v>
      </c>
      <c r="C3993" s="5">
        <f t="shared" si="1660"/>
        <v>40358</v>
      </c>
      <c r="D3993" s="4" t="s">
        <v>78</v>
      </c>
      <c r="E3993" s="4">
        <v>35.0</v>
      </c>
      <c r="F3993" s="4">
        <v>6170.912</v>
      </c>
      <c r="G3993" s="4">
        <v>0.04</v>
      </c>
      <c r="H3993" s="4" t="s">
        <v>31</v>
      </c>
      <c r="I3993" s="6">
        <v>-528.653125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9"/>
        <v>40360</v>
      </c>
    </row>
    <row r="3994" ht="12.75" customHeight="1">
      <c r="A3994" s="4">
        <v>3235.0</v>
      </c>
      <c r="B3994" s="4">
        <v>23205.0</v>
      </c>
      <c r="C3994" s="5">
        <f t="shared" ref="C3994:C3996" si="1661">DATE(2012,12,31)-1317</f>
        <v>39957</v>
      </c>
      <c r="D3994" s="4" t="s">
        <v>30</v>
      </c>
      <c r="E3994" s="4">
        <v>8.0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2">C3994+1</f>
        <v>39958</v>
      </c>
    </row>
    <row r="3995" ht="12.75" customHeight="1">
      <c r="A3995" s="4">
        <v>3236.0</v>
      </c>
      <c r="B3995" s="4">
        <v>23205.0</v>
      </c>
      <c r="C3995" s="5">
        <f t="shared" si="1661"/>
        <v>39957</v>
      </c>
      <c r="D3995" s="4" t="s">
        <v>30</v>
      </c>
      <c r="E3995" s="4">
        <v>32.0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2"/>
        <v>39958</v>
      </c>
    </row>
    <row r="3996" ht="12.75" customHeight="1">
      <c r="A3996" s="4">
        <v>3237.0</v>
      </c>
      <c r="B3996" s="4">
        <v>23205.0</v>
      </c>
      <c r="C3996" s="5">
        <f t="shared" si="1661"/>
        <v>39957</v>
      </c>
      <c r="D3996" s="4" t="s">
        <v>30</v>
      </c>
      <c r="E3996" s="4">
        <v>26.0</v>
      </c>
      <c r="F3996" s="4">
        <v>7208.8</v>
      </c>
      <c r="G3996" s="4">
        <v>0.02</v>
      </c>
      <c r="H3996" s="4" t="s">
        <v>31</v>
      </c>
      <c r="I3996" s="6">
        <v>-633.4412370000002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2"/>
        <v>39958</v>
      </c>
    </row>
    <row r="3997" ht="12.75" customHeight="1">
      <c r="A3997" s="4">
        <v>3271.0</v>
      </c>
      <c r="B3997" s="4">
        <v>23394.0</v>
      </c>
      <c r="C3997" s="5">
        <f>DATE(2012,12,31)-977</f>
        <v>40297</v>
      </c>
      <c r="D3997" s="4" t="s">
        <v>30</v>
      </c>
      <c r="E3997" s="4">
        <v>45.0</v>
      </c>
      <c r="F3997" s="4">
        <v>101.57</v>
      </c>
      <c r="G3997" s="4">
        <v>0.01</v>
      </c>
      <c r="H3997" s="4" t="s">
        <v>22</v>
      </c>
      <c r="I3997" s="6">
        <v>-5.9915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2"/>
        <v>40298</v>
      </c>
    </row>
    <row r="3998" ht="12.75" customHeight="1">
      <c r="A3998" s="4">
        <v>3421.0</v>
      </c>
      <c r="B3998" s="4">
        <v>24390.0</v>
      </c>
      <c r="C3998" s="5">
        <f>DATE(2012,12,31)-208</f>
        <v>41066</v>
      </c>
      <c r="D3998" s="4" t="s">
        <v>21</v>
      </c>
      <c r="E3998" s="4">
        <v>2.0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3">C3998+2</f>
        <v>41068</v>
      </c>
    </row>
    <row r="3999" ht="12.75" customHeight="1">
      <c r="A3999" s="4">
        <v>3457.0</v>
      </c>
      <c r="B3999" s="4">
        <v>24643.0</v>
      </c>
      <c r="C3999" s="5">
        <f>DATE(2012,12,31)-246</f>
        <v>41028</v>
      </c>
      <c r="D3999" s="4" t="s">
        <v>63</v>
      </c>
      <c r="E3999" s="4">
        <v>30.0</v>
      </c>
      <c r="F3999" s="4">
        <v>2368.1679999999997</v>
      </c>
      <c r="G3999" s="4">
        <v>0.0</v>
      </c>
      <c r="H3999" s="4" t="s">
        <v>22</v>
      </c>
      <c r="I3999" s="6">
        <v>1181.295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3"/>
        <v>41030</v>
      </c>
    </row>
    <row r="4000" ht="12.75" customHeight="1">
      <c r="A4000" s="4">
        <v>3468.0</v>
      </c>
      <c r="B4000" s="4">
        <v>24679.0</v>
      </c>
      <c r="C4000" s="5">
        <f>DATE(2012,12,31)-604</f>
        <v>40670</v>
      </c>
      <c r="D4000" s="4" t="s">
        <v>45</v>
      </c>
      <c r="E4000" s="4">
        <v>7.0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4.77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ht="12.75" customHeight="1">
      <c r="A4001" s="4">
        <v>3520.0</v>
      </c>
      <c r="B4001" s="4">
        <v>25062.0</v>
      </c>
      <c r="C4001" s="5">
        <f t="shared" ref="C4001:C4002" si="1664">DATE(2012,12,31)-793</f>
        <v>40481</v>
      </c>
      <c r="D4001" s="4" t="s">
        <v>78</v>
      </c>
      <c r="E4001" s="4">
        <v>5.0</v>
      </c>
      <c r="F4001" s="4">
        <v>78.79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5">C4001+2</f>
        <v>40483</v>
      </c>
    </row>
    <row r="4002" ht="12.75" customHeight="1">
      <c r="A4002" s="4">
        <v>3521.0</v>
      </c>
      <c r="B4002" s="4">
        <v>25062.0</v>
      </c>
      <c r="C4002" s="5">
        <f t="shared" si="1664"/>
        <v>40481</v>
      </c>
      <c r="D4002" s="4" t="s">
        <v>78</v>
      </c>
      <c r="E4002" s="4">
        <v>9.0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19.99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5"/>
        <v>40483</v>
      </c>
    </row>
    <row r="4003" ht="12.75" customHeight="1">
      <c r="A4003" s="4">
        <v>3532.0</v>
      </c>
      <c r="B4003" s="4">
        <v>25152.0</v>
      </c>
      <c r="C4003" s="5">
        <f>DATE(2012,12,31)-77</f>
        <v>41197</v>
      </c>
      <c r="D4003" s="4" t="s">
        <v>78</v>
      </c>
      <c r="E4003" s="4">
        <v>29.0</v>
      </c>
      <c r="F4003" s="4">
        <v>195.21</v>
      </c>
      <c r="G4003" s="4">
        <v>0.07</v>
      </c>
      <c r="H4003" s="4" t="s">
        <v>22</v>
      </c>
      <c r="I4003" s="6">
        <v>16.4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5"/>
        <v>41199</v>
      </c>
    </row>
    <row r="4004" ht="12.75" customHeight="1">
      <c r="A4004" s="4">
        <v>3576.0</v>
      </c>
      <c r="B4004" s="4">
        <v>25478.0</v>
      </c>
      <c r="C4004" s="5">
        <f t="shared" ref="C4004:C4005" si="1666">DATE(2012,12,31)-251</f>
        <v>41023</v>
      </c>
      <c r="D4004" s="4" t="s">
        <v>78</v>
      </c>
      <c r="E4004" s="4">
        <v>47.0</v>
      </c>
      <c r="F4004" s="4">
        <v>4725.0905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0.57</v>
      </c>
      <c r="U4004" s="5">
        <f>C4004+0</f>
        <v>41023</v>
      </c>
    </row>
    <row r="4005" ht="12.75" customHeight="1">
      <c r="A4005" s="4">
        <v>3577.0</v>
      </c>
      <c r="B4005" s="4">
        <v>25478.0</v>
      </c>
      <c r="C4005" s="5">
        <f t="shared" si="1666"/>
        <v>41023</v>
      </c>
      <c r="D4005" s="4" t="s">
        <v>78</v>
      </c>
      <c r="E4005" s="4">
        <v>50.0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7">C4005+2</f>
        <v>41025</v>
      </c>
    </row>
    <row r="4006" ht="12.75" customHeight="1">
      <c r="A4006" s="4">
        <v>3708.0</v>
      </c>
      <c r="B4006" s="4">
        <v>26469.0</v>
      </c>
      <c r="C4006" s="5">
        <f t="shared" ref="C4006:C4007" si="1668">DATE(2012,12,31)-154</f>
        <v>41120</v>
      </c>
      <c r="D4006" s="4" t="s">
        <v>63</v>
      </c>
      <c r="E4006" s="4">
        <v>4.0</v>
      </c>
      <c r="F4006" s="4">
        <v>7406.49</v>
      </c>
      <c r="G4006" s="4">
        <v>0.03</v>
      </c>
      <c r="H4006" s="4" t="s">
        <v>22</v>
      </c>
      <c r="I4006" s="6">
        <v>701.216</v>
      </c>
      <c r="J4006" s="4">
        <v>1889.99</v>
      </c>
      <c r="K4006" s="4">
        <v>19.99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7"/>
        <v>41122</v>
      </c>
    </row>
    <row r="4007" ht="12.75" customHeight="1">
      <c r="A4007" s="4">
        <v>3709.0</v>
      </c>
      <c r="B4007" s="4">
        <v>26469.0</v>
      </c>
      <c r="C4007" s="5">
        <f t="shared" si="1668"/>
        <v>41120</v>
      </c>
      <c r="D4007" s="4" t="s">
        <v>63</v>
      </c>
      <c r="E4007" s="4">
        <v>50.0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9">C4007+1</f>
        <v>41121</v>
      </c>
    </row>
    <row r="4008" ht="12.75" customHeight="1">
      <c r="A4008" s="4">
        <v>3710.0</v>
      </c>
      <c r="B4008" s="4">
        <v>26470.0</v>
      </c>
      <c r="C4008" s="5">
        <f>DATE(2012,12,31)-1381</f>
        <v>39893</v>
      </c>
      <c r="D4008" s="4" t="s">
        <v>30</v>
      </c>
      <c r="E4008" s="4">
        <v>41.0</v>
      </c>
      <c r="F4008" s="4">
        <v>18081.76</v>
      </c>
      <c r="G4008" s="4">
        <v>0.03</v>
      </c>
      <c r="H4008" s="4" t="s">
        <v>22</v>
      </c>
      <c r="I4008" s="6">
        <v>8822.2775</v>
      </c>
      <c r="J4008" s="4">
        <v>420.98</v>
      </c>
      <c r="K4008" s="4">
        <v>19.99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9"/>
        <v>39894</v>
      </c>
    </row>
    <row r="4009" ht="12.75" customHeight="1">
      <c r="A4009" s="4">
        <v>3718.0</v>
      </c>
      <c r="B4009" s="4">
        <v>26565.0</v>
      </c>
      <c r="C4009" s="5">
        <f>DATE(2012,12,31)-1167</f>
        <v>40107</v>
      </c>
      <c r="D4009" s="4" t="s">
        <v>63</v>
      </c>
      <c r="E4009" s="4">
        <v>49.0</v>
      </c>
      <c r="F4009" s="4">
        <v>21337.27</v>
      </c>
      <c r="G4009" s="4">
        <v>0.02</v>
      </c>
      <c r="H4009" s="4" t="s">
        <v>22</v>
      </c>
      <c r="I4009" s="6">
        <v>7606.0</v>
      </c>
      <c r="J4009" s="4">
        <v>419.19</v>
      </c>
      <c r="K4009" s="4">
        <v>19.99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0.58</v>
      </c>
      <c r="U4009" s="5">
        <f t="shared" si="1669"/>
        <v>40108</v>
      </c>
    </row>
    <row r="4010" ht="12.75" customHeight="1">
      <c r="A4010" s="4">
        <v>3758.0</v>
      </c>
      <c r="B4010" s="4">
        <v>26852.0</v>
      </c>
      <c r="C4010" s="5">
        <f>DATE(2012,12,31)-1031</f>
        <v>40243</v>
      </c>
      <c r="D4010" s="4" t="s">
        <v>78</v>
      </c>
      <c r="E4010" s="4">
        <v>2.0</v>
      </c>
      <c r="F4010" s="4">
        <v>15.81</v>
      </c>
      <c r="G4010" s="4">
        <v>0.06</v>
      </c>
      <c r="H4010" s="4" t="s">
        <v>22</v>
      </c>
      <c r="I4010" s="6">
        <v>-9.88</v>
      </c>
      <c r="J4010" s="4">
        <v>4.98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70">C4010+2</f>
        <v>40245</v>
      </c>
    </row>
    <row r="4011" ht="12.75" customHeight="1">
      <c r="A4011" s="4">
        <v>3829.0</v>
      </c>
      <c r="B4011" s="4">
        <v>27299.0</v>
      </c>
      <c r="C4011" s="5">
        <f>DATE(2012,12,31)-148</f>
        <v>41126</v>
      </c>
      <c r="D4011" s="4" t="s">
        <v>78</v>
      </c>
      <c r="E4011" s="4">
        <v>41.0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0.57</v>
      </c>
      <c r="U4011" s="5">
        <f t="shared" si="1670"/>
        <v>41128</v>
      </c>
    </row>
    <row r="4012" ht="12.75" customHeight="1">
      <c r="A4012" s="4">
        <v>3830.0</v>
      </c>
      <c r="B4012" s="4">
        <v>27300.0</v>
      </c>
      <c r="C4012" s="5">
        <f t="shared" ref="C4012:C4013" si="1671">DATE(2012,12,31)-92</f>
        <v>41182</v>
      </c>
      <c r="D4012" s="4" t="s">
        <v>45</v>
      </c>
      <c r="E4012" s="4">
        <v>50.0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4.0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ht="12.75" customHeight="1">
      <c r="A4013" s="4">
        <v>3831.0</v>
      </c>
      <c r="B4013" s="4">
        <v>27300.0</v>
      </c>
      <c r="C4013" s="5">
        <f t="shared" si="1671"/>
        <v>41182</v>
      </c>
      <c r="D4013" s="4" t="s">
        <v>45</v>
      </c>
      <c r="E4013" s="4">
        <v>27.0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0.57</v>
      </c>
      <c r="U4013" s="5">
        <f>C4013+0</f>
        <v>41182</v>
      </c>
    </row>
    <row r="4014" ht="12.75" customHeight="1">
      <c r="A4014" s="4">
        <v>3864.0</v>
      </c>
      <c r="B4014" s="4">
        <v>27557.0</v>
      </c>
      <c r="C4014" s="5">
        <f>DATE(2012,12,31)-327</f>
        <v>40947</v>
      </c>
      <c r="D4014" s="4" t="s">
        <v>21</v>
      </c>
      <c r="E4014" s="4">
        <v>18.0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ht="12.75" customHeight="1">
      <c r="A4015" s="4">
        <v>3872.0</v>
      </c>
      <c r="B4015" s="4">
        <v>27654.0</v>
      </c>
      <c r="C4015" s="5">
        <f>DATE(2012,12,31)-829</f>
        <v>40445</v>
      </c>
      <c r="D4015" s="4" t="s">
        <v>30</v>
      </c>
      <c r="E4015" s="4">
        <v>12.0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2">C4015+2</f>
        <v>40447</v>
      </c>
    </row>
    <row r="4016" ht="12.75" customHeight="1">
      <c r="A4016" s="4">
        <v>3877.0</v>
      </c>
      <c r="B4016" s="4">
        <v>27684.0</v>
      </c>
      <c r="C4016" s="5">
        <f>DATE(2012,12,31)-483</f>
        <v>40791</v>
      </c>
      <c r="D4016" s="4" t="s">
        <v>21</v>
      </c>
      <c r="E4016" s="4">
        <v>1.0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2"/>
        <v>40793</v>
      </c>
    </row>
    <row r="4017" ht="12.75" customHeight="1">
      <c r="A4017" s="4">
        <v>3899.0</v>
      </c>
      <c r="B4017" s="4">
        <v>27811.0</v>
      </c>
      <c r="C4017" s="5">
        <f>DATE(2012,12,31)-668</f>
        <v>40606</v>
      </c>
      <c r="D4017" s="4" t="s">
        <v>45</v>
      </c>
      <c r="E4017" s="4">
        <v>31.0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2"/>
        <v>40608</v>
      </c>
    </row>
    <row r="4018" ht="12.75" customHeight="1">
      <c r="A4018" s="4">
        <v>3938.0</v>
      </c>
      <c r="B4018" s="4">
        <v>28064.0</v>
      </c>
      <c r="C4018" s="5">
        <f t="shared" ref="C4018:C4019" si="1673">DATE(2012,12,31)-851</f>
        <v>40423</v>
      </c>
      <c r="D4018" s="4" t="s">
        <v>63</v>
      </c>
      <c r="E4018" s="4">
        <v>43.0</v>
      </c>
      <c r="F4018" s="4">
        <v>856.45</v>
      </c>
      <c r="G4018" s="4">
        <v>0.03</v>
      </c>
      <c r="H4018" s="4" t="s">
        <v>22</v>
      </c>
      <c r="I4018" s="6">
        <v>265.1</v>
      </c>
      <c r="J4018" s="4">
        <v>19.84</v>
      </c>
      <c r="K4018" s="4">
        <v>4.1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4">C4018+0</f>
        <v>40423</v>
      </c>
    </row>
    <row r="4019" ht="12.75" customHeight="1">
      <c r="A4019" s="4">
        <v>3939.0</v>
      </c>
      <c r="B4019" s="4">
        <v>28064.0</v>
      </c>
      <c r="C4019" s="5">
        <f t="shared" si="1673"/>
        <v>40423</v>
      </c>
      <c r="D4019" s="4" t="s">
        <v>63</v>
      </c>
      <c r="E4019" s="4">
        <v>1.0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1.0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4"/>
        <v>40423</v>
      </c>
    </row>
    <row r="4020" ht="12.75" customHeight="1">
      <c r="A4020" s="4">
        <v>3955.0</v>
      </c>
      <c r="B4020" s="4">
        <v>28225.0</v>
      </c>
      <c r="C4020" s="5">
        <f>DATE(2012,12,31)-1439</f>
        <v>39835</v>
      </c>
      <c r="D4020" s="4" t="s">
        <v>78</v>
      </c>
      <c r="E4020" s="4">
        <v>13.0</v>
      </c>
      <c r="F4020" s="4">
        <v>1160.59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35.0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ht="12.75" customHeight="1">
      <c r="A4021" s="4">
        <v>3959.0</v>
      </c>
      <c r="B4021" s="4">
        <v>28258.0</v>
      </c>
      <c r="C4021" s="5">
        <f t="shared" ref="C4021:C4022" si="1675">DATE(2012,12,31)-1389</f>
        <v>39885</v>
      </c>
      <c r="D4021" s="4" t="s">
        <v>78</v>
      </c>
      <c r="E4021" s="4">
        <v>2.0</v>
      </c>
      <c r="F4021" s="4">
        <v>201.178</v>
      </c>
      <c r="G4021" s="4">
        <v>0.07</v>
      </c>
      <c r="H4021" s="4" t="s">
        <v>22</v>
      </c>
      <c r="I4021" s="6">
        <v>-604.4060000000001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ht="12.75" customHeight="1">
      <c r="A4022" s="4">
        <v>3960.0</v>
      </c>
      <c r="B4022" s="4">
        <v>28258.0</v>
      </c>
      <c r="C4022" s="5">
        <f t="shared" si="1675"/>
        <v>39885</v>
      </c>
      <c r="D4022" s="4" t="s">
        <v>78</v>
      </c>
      <c r="E4022" s="4">
        <v>25.0</v>
      </c>
      <c r="F4022" s="4">
        <v>2493.24</v>
      </c>
      <c r="G4022" s="4">
        <v>0.03</v>
      </c>
      <c r="H4022" s="4" t="s">
        <v>22</v>
      </c>
      <c r="I4022" s="6">
        <v>293.66</v>
      </c>
      <c r="J4022" s="4">
        <v>99.99</v>
      </c>
      <c r="K4022" s="4">
        <v>19.99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ht="12.75" customHeight="1">
      <c r="A4023" s="4">
        <v>3968.0</v>
      </c>
      <c r="B4023" s="4">
        <v>28321.0</v>
      </c>
      <c r="C4023" s="5">
        <f>DATE(2012,12,31)-883</f>
        <v>40391</v>
      </c>
      <c r="D4023" s="4" t="s">
        <v>63</v>
      </c>
      <c r="E4023" s="4">
        <v>28.0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ht="12.75" customHeight="1">
      <c r="A4024" s="4">
        <v>3985.0</v>
      </c>
      <c r="B4024" s="4">
        <v>28454.0</v>
      </c>
      <c r="C4024" s="5">
        <f>DATE(2012,12,31)-147</f>
        <v>41127</v>
      </c>
      <c r="D4024" s="4" t="s">
        <v>63</v>
      </c>
      <c r="E4024" s="4">
        <v>25.0</v>
      </c>
      <c r="F4024" s="4">
        <v>157.4</v>
      </c>
      <c r="G4024" s="4">
        <v>0.07</v>
      </c>
      <c r="H4024" s="4" t="s">
        <v>22</v>
      </c>
      <c r="I4024" s="6">
        <v>-84.0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ht="12.75" customHeight="1">
      <c r="A4025" s="4">
        <v>4112.0</v>
      </c>
      <c r="B4025" s="4">
        <v>29255.0</v>
      </c>
      <c r="C4025" s="5">
        <f>DATE(2012,12,31)-394</f>
        <v>40880</v>
      </c>
      <c r="D4025" s="4" t="s">
        <v>21</v>
      </c>
      <c r="E4025" s="4">
        <v>11.0</v>
      </c>
      <c r="F4025" s="4">
        <v>617.2189999999999</v>
      </c>
      <c r="G4025" s="4">
        <v>0.03</v>
      </c>
      <c r="H4025" s="4" t="s">
        <v>56</v>
      </c>
      <c r="I4025" s="6">
        <v>-136.09199999999998</v>
      </c>
      <c r="J4025" s="4">
        <v>65.99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0.58</v>
      </c>
      <c r="U4025" s="5">
        <f>C4025+4</f>
        <v>40884</v>
      </c>
    </row>
    <row r="4026" ht="12.75" customHeight="1">
      <c r="A4026" s="4">
        <v>4139.0</v>
      </c>
      <c r="B4026" s="4">
        <v>29383.0</v>
      </c>
      <c r="C4026" s="5">
        <f t="shared" ref="C4026:C4029" si="1676">DATE(2012,12,31)-409</f>
        <v>40865</v>
      </c>
      <c r="D4026" s="4" t="s">
        <v>63</v>
      </c>
      <c r="E4026" s="4">
        <v>20.0</v>
      </c>
      <c r="F4026" s="4">
        <v>157.13</v>
      </c>
      <c r="G4026" s="4">
        <v>0.07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ht="12.75" customHeight="1">
      <c r="A4027" s="4">
        <v>4140.0</v>
      </c>
      <c r="B4027" s="4">
        <v>29383.0</v>
      </c>
      <c r="C4027" s="5">
        <f t="shared" si="1676"/>
        <v>40865</v>
      </c>
      <c r="D4027" s="4" t="s">
        <v>63</v>
      </c>
      <c r="E4027" s="4">
        <v>28.0</v>
      </c>
      <c r="F4027" s="4">
        <v>195.11</v>
      </c>
      <c r="G4027" s="4">
        <v>0.04</v>
      </c>
      <c r="H4027" s="4" t="s">
        <v>22</v>
      </c>
      <c r="I4027" s="6">
        <v>-129.42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ht="12.75" customHeight="1">
      <c r="A4028" s="4">
        <v>4141.0</v>
      </c>
      <c r="B4028" s="4">
        <v>29383.0</v>
      </c>
      <c r="C4028" s="5">
        <f t="shared" si="1676"/>
        <v>40865</v>
      </c>
      <c r="D4028" s="4" t="s">
        <v>63</v>
      </c>
      <c r="E4028" s="4">
        <v>29.0</v>
      </c>
      <c r="F4028" s="4">
        <v>2738.785</v>
      </c>
      <c r="G4028" s="4">
        <v>0.07</v>
      </c>
      <c r="H4028" s="4" t="s">
        <v>22</v>
      </c>
      <c r="I4028" s="6">
        <v>556.83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0.58</v>
      </c>
      <c r="U4028" s="5">
        <f>C4028+2</f>
        <v>40867</v>
      </c>
    </row>
    <row r="4029" ht="12.75" customHeight="1">
      <c r="A4029" s="4">
        <v>4142.0</v>
      </c>
      <c r="B4029" s="4">
        <v>29383.0</v>
      </c>
      <c r="C4029" s="5">
        <f t="shared" si="1676"/>
        <v>40865</v>
      </c>
      <c r="D4029" s="4" t="s">
        <v>63</v>
      </c>
      <c r="E4029" s="4">
        <v>30.0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4.0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ht="12.75" customHeight="1">
      <c r="A4030" s="4">
        <v>4162.0</v>
      </c>
      <c r="B4030" s="4">
        <v>29507.0</v>
      </c>
      <c r="C4030" s="5">
        <f t="shared" ref="C4030:C4031" si="1677">DATE(2012,12,31)-326</f>
        <v>40948</v>
      </c>
      <c r="D4030" s="4" t="s">
        <v>21</v>
      </c>
      <c r="E4030" s="4">
        <v>14.0</v>
      </c>
      <c r="F4030" s="4">
        <v>3049.632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ht="12.75" customHeight="1">
      <c r="A4031" s="4">
        <v>4163.0</v>
      </c>
      <c r="B4031" s="4">
        <v>29507.0</v>
      </c>
      <c r="C4031" s="5">
        <f t="shared" si="1677"/>
        <v>40948</v>
      </c>
      <c r="D4031" s="4" t="s">
        <v>21</v>
      </c>
      <c r="E4031" s="4">
        <v>41.0</v>
      </c>
      <c r="F4031" s="4">
        <v>1274.949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</v>
      </c>
      <c r="U4031" s="5">
        <f>C4031+5</f>
        <v>40953</v>
      </c>
    </row>
    <row r="4032" ht="12.75" customHeight="1">
      <c r="A4032" s="4">
        <v>4172.0</v>
      </c>
      <c r="B4032" s="4">
        <v>29572.0</v>
      </c>
      <c r="C4032" s="5">
        <f>DATE(2012,12,31)-942</f>
        <v>40332</v>
      </c>
      <c r="D4032" s="4" t="s">
        <v>45</v>
      </c>
      <c r="E4032" s="4">
        <v>18.0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150.98</v>
      </c>
      <c r="K4032" s="4">
        <v>16.01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ht="12.75" customHeight="1">
      <c r="A4033" s="4">
        <v>4204.0</v>
      </c>
      <c r="B4033" s="4">
        <v>29889.0</v>
      </c>
      <c r="C4033" s="5">
        <f>DATE(2012,12,31)-1123</f>
        <v>40151</v>
      </c>
      <c r="D4033" s="4" t="s">
        <v>45</v>
      </c>
      <c r="E4033" s="4">
        <v>44.0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ht="12.75" customHeight="1">
      <c r="A4034" s="4">
        <v>4206.0</v>
      </c>
      <c r="B4034" s="4">
        <v>29894.0</v>
      </c>
      <c r="C4034" s="5">
        <f t="shared" ref="C4034:C4035" si="1678">DATE(2012,12,31)-846</f>
        <v>40428</v>
      </c>
      <c r="D4034" s="4" t="s">
        <v>21</v>
      </c>
      <c r="E4034" s="4">
        <v>43.0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9">C4034+9</f>
        <v>40437</v>
      </c>
    </row>
    <row r="4035" ht="12.75" customHeight="1">
      <c r="A4035" s="4">
        <v>4207.0</v>
      </c>
      <c r="B4035" s="4">
        <v>29894.0</v>
      </c>
      <c r="C4035" s="5">
        <f t="shared" si="1678"/>
        <v>40428</v>
      </c>
      <c r="D4035" s="4" t="s">
        <v>21</v>
      </c>
      <c r="E4035" s="4">
        <v>48.0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9"/>
        <v>40437</v>
      </c>
    </row>
    <row r="4036" ht="12.75" customHeight="1">
      <c r="A4036" s="4">
        <v>4218.0</v>
      </c>
      <c r="B4036" s="4">
        <v>29985.0</v>
      </c>
      <c r="C4036" s="5">
        <f>DATE(2012,12,31)-173</f>
        <v>41101</v>
      </c>
      <c r="D4036" s="4" t="s">
        <v>78</v>
      </c>
      <c r="E4036" s="4">
        <v>2.0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8.04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80">C4036+2</f>
        <v>41103</v>
      </c>
    </row>
    <row r="4037" ht="12.75" customHeight="1">
      <c r="A4037" s="4">
        <v>4232.0</v>
      </c>
      <c r="B4037" s="4">
        <v>30054.0</v>
      </c>
      <c r="C4037" s="5">
        <f>DATE(2012,12,31)-121</f>
        <v>41153</v>
      </c>
      <c r="D4037" s="4" t="s">
        <v>45</v>
      </c>
      <c r="E4037" s="4">
        <v>33.0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0.57</v>
      </c>
      <c r="U4037" s="5">
        <f t="shared" si="1680"/>
        <v>41155</v>
      </c>
    </row>
    <row r="4038" ht="12.75" customHeight="1">
      <c r="A4038" s="4">
        <v>4244.0</v>
      </c>
      <c r="B4038" s="4">
        <v>30208.0</v>
      </c>
      <c r="C4038" s="5">
        <f>DATE(2012,12,31)-168</f>
        <v>41106</v>
      </c>
      <c r="D4038" s="4" t="s">
        <v>21</v>
      </c>
      <c r="E4038" s="4">
        <v>46.0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0.57</v>
      </c>
      <c r="U4038" s="5">
        <f>C4038+0</f>
        <v>41106</v>
      </c>
    </row>
    <row r="4039" ht="12.75" customHeight="1">
      <c r="A4039" s="4">
        <v>4265.0</v>
      </c>
      <c r="B4039" s="4">
        <v>30369.0</v>
      </c>
      <c r="C4039" s="5">
        <f t="shared" ref="C4039:C4040" si="1681">DATE(2012,12,31)-648</f>
        <v>40626</v>
      </c>
      <c r="D4039" s="4" t="s">
        <v>78</v>
      </c>
      <c r="E4039" s="4">
        <v>13.0</v>
      </c>
      <c r="F4039" s="4">
        <v>76.81</v>
      </c>
      <c r="G4039" s="4">
        <v>0.0</v>
      </c>
      <c r="H4039" s="4" t="s">
        <v>22</v>
      </c>
      <c r="I4039" s="6">
        <v>-55.77</v>
      </c>
      <c r="J4039" s="4">
        <v>4.98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2">C4039+1</f>
        <v>40627</v>
      </c>
    </row>
    <row r="4040" ht="12.75" customHeight="1">
      <c r="A4040" s="4">
        <v>4266.0</v>
      </c>
      <c r="B4040" s="4">
        <v>30369.0</v>
      </c>
      <c r="C4040" s="5">
        <f t="shared" si="1681"/>
        <v>40626</v>
      </c>
      <c r="D4040" s="4" t="s">
        <v>78</v>
      </c>
      <c r="E4040" s="4">
        <v>21.0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2"/>
        <v>40627</v>
      </c>
    </row>
    <row r="4041" ht="12.75" customHeight="1">
      <c r="A4041" s="4">
        <v>4313.0</v>
      </c>
      <c r="B4041" s="4">
        <v>30726.0</v>
      </c>
      <c r="C4041" s="5">
        <f>DATE(2012,12,31)-1132</f>
        <v>40142</v>
      </c>
      <c r="D4041" s="4" t="s">
        <v>63</v>
      </c>
      <c r="E4041" s="4">
        <v>35.0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0.57</v>
      </c>
      <c r="U4041" s="5">
        <f t="shared" si="1682"/>
        <v>40143</v>
      </c>
    </row>
    <row r="4042" ht="12.75" customHeight="1">
      <c r="A4042" s="4">
        <v>4314.0</v>
      </c>
      <c r="B4042" s="4">
        <v>30727.0</v>
      </c>
      <c r="C4042" s="5">
        <f>DATE(2012,12,31)-159</f>
        <v>41115</v>
      </c>
      <c r="D4042" s="4" t="s">
        <v>63</v>
      </c>
      <c r="E4042" s="4">
        <v>28.0</v>
      </c>
      <c r="F4042" s="4">
        <v>1166.29</v>
      </c>
      <c r="G4042" s="4">
        <v>0.07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</v>
      </c>
      <c r="U4042" s="5">
        <f>C4042+2</f>
        <v>41117</v>
      </c>
    </row>
    <row r="4043" ht="12.75" customHeight="1">
      <c r="A4043" s="4">
        <v>4341.0</v>
      </c>
      <c r="B4043" s="4">
        <v>30915.0</v>
      </c>
      <c r="C4043" s="5">
        <f t="shared" ref="C4043:C4044" si="1683">DATE(2012,12,31)-1445</f>
        <v>39829</v>
      </c>
      <c r="D4043" s="4" t="s">
        <v>21</v>
      </c>
      <c r="E4043" s="4">
        <v>20.0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2.03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0.57</v>
      </c>
      <c r="U4043" s="5">
        <f>C4043+0</f>
        <v>39829</v>
      </c>
    </row>
    <row r="4044" ht="12.75" customHeight="1">
      <c r="A4044" s="4">
        <v>4342.0</v>
      </c>
      <c r="B4044" s="4">
        <v>30915.0</v>
      </c>
      <c r="C4044" s="5">
        <f t="shared" si="1683"/>
        <v>39829</v>
      </c>
      <c r="D4044" s="4" t="s">
        <v>21</v>
      </c>
      <c r="E4044" s="4">
        <v>25.0</v>
      </c>
      <c r="F4044" s="4">
        <v>2836.0505000000003</v>
      </c>
      <c r="G4044" s="4">
        <v>0.01</v>
      </c>
      <c r="H4044" s="4" t="s">
        <v>22</v>
      </c>
      <c r="I4044" s="6">
        <v>561.1320000000001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4">C4044+5</f>
        <v>39834</v>
      </c>
    </row>
    <row r="4045" ht="12.75" customHeight="1">
      <c r="A4045" s="4">
        <v>4359.0</v>
      </c>
      <c r="B4045" s="4">
        <v>31072.0</v>
      </c>
      <c r="C4045" s="5">
        <f>DATE(2012,12,31)-763</f>
        <v>40511</v>
      </c>
      <c r="D4045" s="4" t="s">
        <v>21</v>
      </c>
      <c r="E4045" s="4">
        <v>4.0</v>
      </c>
      <c r="F4045" s="4">
        <v>701.16</v>
      </c>
      <c r="G4045" s="4">
        <v>0.08</v>
      </c>
      <c r="H4045" s="4" t="s">
        <v>22</v>
      </c>
      <c r="I4045" s="6">
        <v>4.555999999999964</v>
      </c>
      <c r="J4045" s="4">
        <v>172.99</v>
      </c>
      <c r="K4045" s="4">
        <v>19.99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4"/>
        <v>40516</v>
      </c>
    </row>
    <row r="4046" ht="12.75" customHeight="1">
      <c r="A4046" s="4">
        <v>4360.0</v>
      </c>
      <c r="B4046" s="4">
        <v>31073.0</v>
      </c>
      <c r="C4046" s="5">
        <f t="shared" ref="C4046:C4047" si="1685">DATE(2012,12,31)-890</f>
        <v>40384</v>
      </c>
      <c r="D4046" s="4" t="s">
        <v>63</v>
      </c>
      <c r="E4046" s="4">
        <v>39.0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ht="12.75" customHeight="1">
      <c r="A4047" s="4">
        <v>4361.0</v>
      </c>
      <c r="B4047" s="4">
        <v>31073.0</v>
      </c>
      <c r="C4047" s="5">
        <f t="shared" si="1685"/>
        <v>40384</v>
      </c>
      <c r="D4047" s="4" t="s">
        <v>63</v>
      </c>
      <c r="E4047" s="4">
        <v>26.0</v>
      </c>
      <c r="F4047" s="4">
        <v>4322.26</v>
      </c>
      <c r="G4047" s="4">
        <v>0.07</v>
      </c>
      <c r="H4047" s="4" t="s">
        <v>22</v>
      </c>
      <c r="I4047" s="6">
        <v>-618.95</v>
      </c>
      <c r="J4047" s="4">
        <v>167.27</v>
      </c>
      <c r="K4047" s="4">
        <v>35.0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ht="12.75" customHeight="1">
      <c r="A4048" s="4">
        <v>4370.0</v>
      </c>
      <c r="B4048" s="4">
        <v>31138.0</v>
      </c>
      <c r="C4048" s="5">
        <f>DATE(2012,12,31)-1440</f>
        <v>39834</v>
      </c>
      <c r="D4048" s="4" t="s">
        <v>30</v>
      </c>
      <c r="E4048" s="4">
        <v>37.0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ht="12.75" customHeight="1">
      <c r="A4049" s="4">
        <v>4375.0</v>
      </c>
      <c r="B4049" s="4">
        <v>31173.0</v>
      </c>
      <c r="C4049" s="5">
        <f>DATE(2012,12,31)-135</f>
        <v>41139</v>
      </c>
      <c r="D4049" s="4" t="s">
        <v>21</v>
      </c>
      <c r="E4049" s="4">
        <v>24.0</v>
      </c>
      <c r="F4049" s="4">
        <v>169.354</v>
      </c>
      <c r="G4049" s="4">
        <v>0.09</v>
      </c>
      <c r="H4049" s="4" t="s">
        <v>56</v>
      </c>
      <c r="I4049" s="6">
        <v>-84.139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ht="12.75" customHeight="1">
      <c r="A4050" s="4">
        <v>4463.0</v>
      </c>
      <c r="B4050" s="4">
        <v>31812.0</v>
      </c>
      <c r="C4050" s="5">
        <f t="shared" ref="C4050:C4051" si="1686">DATE(2012,12,31)-519</f>
        <v>40755</v>
      </c>
      <c r="D4050" s="4" t="s">
        <v>30</v>
      </c>
      <c r="E4050" s="4">
        <v>14.0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19.99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7">C4050+2</f>
        <v>40757</v>
      </c>
    </row>
    <row r="4051" ht="12.75" customHeight="1">
      <c r="A4051" s="4">
        <v>4464.0</v>
      </c>
      <c r="B4051" s="4">
        <v>31812.0</v>
      </c>
      <c r="C4051" s="5">
        <f t="shared" si="1686"/>
        <v>40755</v>
      </c>
      <c r="D4051" s="4" t="s">
        <v>30</v>
      </c>
      <c r="E4051" s="4">
        <v>31.0</v>
      </c>
      <c r="F4051" s="4">
        <v>38.52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7"/>
        <v>40757</v>
      </c>
    </row>
    <row r="4052" ht="12.75" customHeight="1">
      <c r="A4052" s="4">
        <v>4496.0</v>
      </c>
      <c r="B4052" s="4">
        <v>32002.0</v>
      </c>
      <c r="C4052" s="5">
        <f t="shared" ref="C4052:C4053" si="1688">DATE(2012,12,31)-895</f>
        <v>40379</v>
      </c>
      <c r="D4052" s="4" t="s">
        <v>21</v>
      </c>
      <c r="E4052" s="4">
        <v>37.0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ht="12.75" customHeight="1">
      <c r="A4053" s="4">
        <v>4497.0</v>
      </c>
      <c r="B4053" s="4">
        <v>32002.0</v>
      </c>
      <c r="C4053" s="5">
        <f t="shared" si="1688"/>
        <v>40379</v>
      </c>
      <c r="D4053" s="4" t="s">
        <v>21</v>
      </c>
      <c r="E4053" s="4">
        <v>7.0</v>
      </c>
      <c r="F4053" s="4">
        <v>98.55</v>
      </c>
      <c r="G4053" s="4">
        <v>0.07</v>
      </c>
      <c r="H4053" s="4" t="s">
        <v>22</v>
      </c>
      <c r="I4053" s="6">
        <v>23.16</v>
      </c>
      <c r="J4053" s="4">
        <v>13.79</v>
      </c>
      <c r="K4053" s="4">
        <v>8.78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ht="12.75" customHeight="1">
      <c r="A4054" s="4">
        <v>4541.0</v>
      </c>
      <c r="B4054" s="4">
        <v>32323.0</v>
      </c>
      <c r="C4054" s="5">
        <f t="shared" ref="C4054:C4056" si="1689">DATE(2012,12,31)-892</f>
        <v>40382</v>
      </c>
      <c r="D4054" s="4" t="s">
        <v>30</v>
      </c>
      <c r="E4054" s="4">
        <v>3.0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ht="12.75" customHeight="1">
      <c r="A4055" s="4">
        <v>4542.0</v>
      </c>
      <c r="B4055" s="4">
        <v>32323.0</v>
      </c>
      <c r="C4055" s="5">
        <f t="shared" si="1689"/>
        <v>40382</v>
      </c>
      <c r="D4055" s="4" t="s">
        <v>30</v>
      </c>
      <c r="E4055" s="4">
        <v>3.0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ht="12.75" customHeight="1">
      <c r="A4056" s="4">
        <v>4543.0</v>
      </c>
      <c r="B4056" s="4">
        <v>32323.0</v>
      </c>
      <c r="C4056" s="5">
        <f t="shared" si="1689"/>
        <v>40382</v>
      </c>
      <c r="D4056" s="4" t="s">
        <v>30</v>
      </c>
      <c r="E4056" s="4">
        <v>38.0</v>
      </c>
      <c r="F4056" s="4">
        <v>259.7175</v>
      </c>
      <c r="G4056" s="4">
        <v>0.02</v>
      </c>
      <c r="H4056" s="4" t="s">
        <v>22</v>
      </c>
      <c r="I4056" s="6">
        <v>-118.481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ht="12.75" customHeight="1">
      <c r="A4057" s="4">
        <v>4564.0</v>
      </c>
      <c r="B4057" s="4">
        <v>32454.0</v>
      </c>
      <c r="C4057" s="5">
        <f>DATE(2012,12,31)-641</f>
        <v>40633</v>
      </c>
      <c r="D4057" s="4" t="s">
        <v>78</v>
      </c>
      <c r="E4057" s="4">
        <v>12.0</v>
      </c>
      <c r="F4057" s="4">
        <v>83.89</v>
      </c>
      <c r="G4057" s="4">
        <v>0.05</v>
      </c>
      <c r="H4057" s="4" t="s">
        <v>22</v>
      </c>
      <c r="I4057" s="6">
        <v>-29.5895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ht="12.75" customHeight="1">
      <c r="A4058" s="4">
        <v>4569.0</v>
      </c>
      <c r="B4058" s="4">
        <v>32516.0</v>
      </c>
      <c r="C4058" s="5">
        <f t="shared" ref="C4058:C4059" si="1690">DATE(2012,12,31)-799</f>
        <v>40475</v>
      </c>
      <c r="D4058" s="4" t="s">
        <v>78</v>
      </c>
      <c r="E4058" s="4">
        <v>15.0</v>
      </c>
      <c r="F4058" s="4">
        <v>43.96</v>
      </c>
      <c r="G4058" s="4">
        <v>0.03</v>
      </c>
      <c r="H4058" s="4" t="s">
        <v>22</v>
      </c>
      <c r="I4058" s="6">
        <v>-0.2415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1">C4058+2</f>
        <v>40477</v>
      </c>
    </row>
    <row r="4059" ht="12.75" customHeight="1">
      <c r="A4059" s="4">
        <v>4570.0</v>
      </c>
      <c r="B4059" s="4">
        <v>32516.0</v>
      </c>
      <c r="C4059" s="5">
        <f t="shared" si="1690"/>
        <v>40475</v>
      </c>
      <c r="D4059" s="4" t="s">
        <v>78</v>
      </c>
      <c r="E4059" s="4">
        <v>7.0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1"/>
        <v>40477</v>
      </c>
    </row>
    <row r="4060" ht="12.75" customHeight="1">
      <c r="A4060" s="4">
        <v>4577.0</v>
      </c>
      <c r="B4060" s="4">
        <v>32608.0</v>
      </c>
      <c r="C4060" s="5">
        <f>DATE(2012,12,31)-223</f>
        <v>41051</v>
      </c>
      <c r="D4060" s="4" t="s">
        <v>30</v>
      </c>
      <c r="E4060" s="4">
        <v>20.0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1"/>
        <v>41053</v>
      </c>
    </row>
    <row r="4061" ht="12.75" customHeight="1">
      <c r="A4061" s="4">
        <v>4704.0</v>
      </c>
      <c r="B4061" s="4">
        <v>33510.0</v>
      </c>
      <c r="C4061" s="5">
        <f t="shared" ref="C4061:C4062" si="1692">DATE(2012,12,31)-395</f>
        <v>40879</v>
      </c>
      <c r="D4061" s="4" t="s">
        <v>30</v>
      </c>
      <c r="E4061" s="4">
        <v>42.0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ht="12.75" customHeight="1">
      <c r="A4062" s="4">
        <v>4705.0</v>
      </c>
      <c r="B4062" s="4">
        <v>33510.0</v>
      </c>
      <c r="C4062" s="5">
        <f t="shared" si="1692"/>
        <v>40879</v>
      </c>
      <c r="D4062" s="4" t="s">
        <v>30</v>
      </c>
      <c r="E4062" s="4">
        <v>11.0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3">C4062+0</f>
        <v>40879</v>
      </c>
    </row>
    <row r="4063" ht="12.75" customHeight="1">
      <c r="A4063" s="4">
        <v>4709.0</v>
      </c>
      <c r="B4063" s="4">
        <v>33541.0</v>
      </c>
      <c r="C4063" s="5">
        <f>DATE(2012,12,31)-195</f>
        <v>41079</v>
      </c>
      <c r="D4063" s="4" t="s">
        <v>78</v>
      </c>
      <c r="E4063" s="4">
        <v>43.0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3"/>
        <v>41079</v>
      </c>
    </row>
    <row r="4064" ht="12.75" customHeight="1">
      <c r="A4064" s="4">
        <v>4717.0</v>
      </c>
      <c r="B4064" s="4">
        <v>33573.0</v>
      </c>
      <c r="C4064" s="5">
        <f>DATE(2012,12,31)-819</f>
        <v>40455</v>
      </c>
      <c r="D4064" s="4" t="s">
        <v>78</v>
      </c>
      <c r="E4064" s="4">
        <v>15.0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150.98</v>
      </c>
      <c r="K4064" s="4">
        <v>16.01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3"/>
        <v>40455</v>
      </c>
    </row>
    <row r="4065" ht="12.75" customHeight="1">
      <c r="A4065" s="4">
        <v>4831.0</v>
      </c>
      <c r="B4065" s="4">
        <v>34371.0</v>
      </c>
      <c r="C4065" s="5">
        <f>DATE(2012,12,31)-1005</f>
        <v>40269</v>
      </c>
      <c r="D4065" s="4" t="s">
        <v>63</v>
      </c>
      <c r="E4065" s="4">
        <v>18.0</v>
      </c>
      <c r="F4065" s="4">
        <v>8334.03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</v>
      </c>
      <c r="U4065" s="5">
        <f t="shared" ref="U4065:U4066" si="1694">C4065+2</f>
        <v>40271</v>
      </c>
    </row>
    <row r="4066" ht="12.75" customHeight="1">
      <c r="A4066" s="4">
        <v>4851.0</v>
      </c>
      <c r="B4066" s="4">
        <v>34530.0</v>
      </c>
      <c r="C4066" s="5">
        <f t="shared" ref="C4066:C4068" si="1695">DATE(2012,12,31)-854</f>
        <v>40420</v>
      </c>
      <c r="D4066" s="4" t="s">
        <v>21</v>
      </c>
      <c r="E4066" s="4">
        <v>22.0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0.58</v>
      </c>
      <c r="U4066" s="5">
        <f t="shared" si="1694"/>
        <v>40422</v>
      </c>
    </row>
    <row r="4067" ht="12.75" customHeight="1">
      <c r="A4067" s="4">
        <v>4852.0</v>
      </c>
      <c r="B4067" s="4">
        <v>34530.0</v>
      </c>
      <c r="C4067" s="5">
        <f t="shared" si="1695"/>
        <v>40420</v>
      </c>
      <c r="D4067" s="4" t="s">
        <v>21</v>
      </c>
      <c r="E4067" s="4">
        <v>38.0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6">C4067+5</f>
        <v>40425</v>
      </c>
    </row>
    <row r="4068" ht="12.75" customHeight="1">
      <c r="A4068" s="4">
        <v>4853.0</v>
      </c>
      <c r="B4068" s="4">
        <v>34530.0</v>
      </c>
      <c r="C4068" s="5">
        <f t="shared" si="1695"/>
        <v>40420</v>
      </c>
      <c r="D4068" s="4" t="s">
        <v>21</v>
      </c>
      <c r="E4068" s="4">
        <v>7.0</v>
      </c>
      <c r="F4068" s="4">
        <v>1092.42</v>
      </c>
      <c r="G4068" s="4">
        <v>0.03</v>
      </c>
      <c r="H4068" s="4" t="s">
        <v>31</v>
      </c>
      <c r="I4068" s="6">
        <v>-364.8733660000001</v>
      </c>
      <c r="J4068" s="4">
        <v>150.98</v>
      </c>
      <c r="K4068" s="4">
        <v>16.01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6"/>
        <v>40425</v>
      </c>
    </row>
    <row r="4069" ht="12.75" customHeight="1">
      <c r="A4069" s="4">
        <v>4855.0</v>
      </c>
      <c r="B4069" s="4">
        <v>34562.0</v>
      </c>
      <c r="C4069" s="5">
        <f t="shared" ref="C4069:C4070" si="1697">DATE(2012,12,31)-860</f>
        <v>40414</v>
      </c>
      <c r="D4069" s="4" t="s">
        <v>21</v>
      </c>
      <c r="E4069" s="4">
        <v>22.0</v>
      </c>
      <c r="F4069" s="4">
        <v>561.92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ht="12.75" customHeight="1">
      <c r="A4070" s="4">
        <v>4856.0</v>
      </c>
      <c r="B4070" s="4">
        <v>34562.0</v>
      </c>
      <c r="C4070" s="5">
        <f t="shared" si="1697"/>
        <v>40414</v>
      </c>
      <c r="D4070" s="4" t="s">
        <v>21</v>
      </c>
      <c r="E4070" s="4">
        <v>19.0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9.03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ht="12.75" customHeight="1">
      <c r="A4071" s="4">
        <v>4980.0</v>
      </c>
      <c r="B4071" s="4">
        <v>35430.0</v>
      </c>
      <c r="C4071" s="5">
        <f t="shared" ref="C4071:C4073" si="1698">DATE(2012,12,31)-1012</f>
        <v>40262</v>
      </c>
      <c r="D4071" s="4" t="s">
        <v>21</v>
      </c>
      <c r="E4071" s="4">
        <v>16.0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ht="12.75" customHeight="1">
      <c r="A4072" s="4">
        <v>4981.0</v>
      </c>
      <c r="B4072" s="4">
        <v>35430.0</v>
      </c>
      <c r="C4072" s="5">
        <f t="shared" si="1698"/>
        <v>40262</v>
      </c>
      <c r="D4072" s="4" t="s">
        <v>21</v>
      </c>
      <c r="E4072" s="4">
        <v>48.0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ht="12.75" customHeight="1">
      <c r="A4073" s="4">
        <v>4982.0</v>
      </c>
      <c r="B4073" s="4">
        <v>35430.0</v>
      </c>
      <c r="C4073" s="5">
        <f t="shared" si="1698"/>
        <v>40262</v>
      </c>
      <c r="D4073" s="4" t="s">
        <v>21</v>
      </c>
      <c r="E4073" s="4">
        <v>31.0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65.99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</v>
      </c>
      <c r="U4073" s="5">
        <f t="shared" ref="U4073:U4074" si="1699">C4073+2</f>
        <v>40264</v>
      </c>
    </row>
    <row r="4074" ht="12.75" customHeight="1">
      <c r="A4074" s="4">
        <v>4999.0</v>
      </c>
      <c r="B4074" s="4">
        <v>35588.0</v>
      </c>
      <c r="C4074" s="5">
        <f>DATE(2012,12,31)-932</f>
        <v>40342</v>
      </c>
      <c r="D4074" s="4" t="s">
        <v>21</v>
      </c>
      <c r="E4074" s="4">
        <v>32.0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9"/>
        <v>40344</v>
      </c>
    </row>
    <row r="4075" ht="12.75" customHeight="1">
      <c r="A4075" s="4">
        <v>5007.0</v>
      </c>
      <c r="B4075" s="4">
        <v>35712.0</v>
      </c>
      <c r="C4075" s="5">
        <f t="shared" ref="C4075:C4076" si="1700">DATE(2012,12,31)-69</f>
        <v>41205</v>
      </c>
      <c r="D4075" s="4" t="s">
        <v>30</v>
      </c>
      <c r="E4075" s="4">
        <v>42.0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ht="12.75" customHeight="1">
      <c r="A4076" s="4">
        <v>5008.0</v>
      </c>
      <c r="B4076" s="4">
        <v>35712.0</v>
      </c>
      <c r="C4076" s="5">
        <f t="shared" si="1700"/>
        <v>41205</v>
      </c>
      <c r="D4076" s="4" t="s">
        <v>30</v>
      </c>
      <c r="E4076" s="4">
        <v>24.0</v>
      </c>
      <c r="F4076" s="4">
        <v>134.88</v>
      </c>
      <c r="G4076" s="4">
        <v>0.0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ht="12.75" customHeight="1">
      <c r="A4077" s="4">
        <v>5068.0</v>
      </c>
      <c r="B4077" s="4">
        <v>36130.0</v>
      </c>
      <c r="C4077" s="5">
        <f>DATE(2012,12,31)-109</f>
        <v>41165</v>
      </c>
      <c r="D4077" s="4" t="s">
        <v>78</v>
      </c>
      <c r="E4077" s="4">
        <v>23.0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4.0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ht="12.75" customHeight="1">
      <c r="A4078" s="4">
        <v>5109.0</v>
      </c>
      <c r="B4078" s="4">
        <v>36416.0</v>
      </c>
      <c r="C4078" s="5">
        <f t="shared" ref="C4078:C4079" si="1701">DATE(2012,12,31)-1127</f>
        <v>40147</v>
      </c>
      <c r="D4078" s="4" t="s">
        <v>21</v>
      </c>
      <c r="E4078" s="4">
        <v>44.0</v>
      </c>
      <c r="F4078" s="4">
        <v>276.0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2">C4078+4</f>
        <v>40151</v>
      </c>
    </row>
    <row r="4079" ht="12.75" customHeight="1">
      <c r="A4079" s="4">
        <v>5110.0</v>
      </c>
      <c r="B4079" s="4">
        <v>36416.0</v>
      </c>
      <c r="C4079" s="5">
        <f t="shared" si="1701"/>
        <v>40147</v>
      </c>
      <c r="D4079" s="4" t="s">
        <v>21</v>
      </c>
      <c r="E4079" s="4">
        <v>46.0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</v>
      </c>
      <c r="U4079" s="5">
        <f t="shared" si="1702"/>
        <v>40151</v>
      </c>
    </row>
    <row r="4080" ht="12.75" customHeight="1">
      <c r="A4080" s="4">
        <v>5111.0</v>
      </c>
      <c r="B4080" s="4">
        <v>36418.0</v>
      </c>
      <c r="C4080" s="5">
        <f>DATE(2012,12,31)-339</f>
        <v>40935</v>
      </c>
      <c r="D4080" s="4" t="s">
        <v>45</v>
      </c>
      <c r="E4080" s="4">
        <v>33.0</v>
      </c>
      <c r="F4080" s="4">
        <v>207.92</v>
      </c>
      <c r="G4080" s="4">
        <v>0.08</v>
      </c>
      <c r="H4080" s="4" t="s">
        <v>56</v>
      </c>
      <c r="I4080" s="6">
        <v>-124.844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3">C4080+1</f>
        <v>40936</v>
      </c>
    </row>
    <row r="4081" ht="12.75" customHeight="1">
      <c r="A4081" s="4">
        <v>5129.0</v>
      </c>
      <c r="B4081" s="4">
        <v>36517.0</v>
      </c>
      <c r="C4081" s="5">
        <f t="shared" ref="C4081:C4082" si="1704">DATE(2012,12,31)-1036</f>
        <v>40238</v>
      </c>
      <c r="D4081" s="4" t="s">
        <v>45</v>
      </c>
      <c r="E4081" s="4">
        <v>18.0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</v>
      </c>
      <c r="U4081" s="5">
        <f t="shared" si="1703"/>
        <v>40239</v>
      </c>
    </row>
    <row r="4082" ht="12.75" customHeight="1">
      <c r="A4082" s="4">
        <v>5130.0</v>
      </c>
      <c r="B4082" s="4">
        <v>36517.0</v>
      </c>
      <c r="C4082" s="5">
        <f t="shared" si="1704"/>
        <v>40238</v>
      </c>
      <c r="D4082" s="4" t="s">
        <v>45</v>
      </c>
      <c r="E4082" s="4">
        <v>9.0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4.0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ht="12.75" customHeight="1">
      <c r="A4083" s="4">
        <v>5151.0</v>
      </c>
      <c r="B4083" s="4">
        <v>36705.0</v>
      </c>
      <c r="C4083" s="5">
        <f>DATE(2012,12,31)-1285</f>
        <v>39989</v>
      </c>
      <c r="D4083" s="4" t="s">
        <v>45</v>
      </c>
      <c r="E4083" s="4">
        <v>17.0</v>
      </c>
      <c r="F4083" s="4">
        <v>1032.072</v>
      </c>
      <c r="G4083" s="4">
        <v>0.06</v>
      </c>
      <c r="H4083" s="4" t="s">
        <v>31</v>
      </c>
      <c r="I4083" s="6">
        <v>54.23085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ht="12.75" customHeight="1">
      <c r="A4084" s="4">
        <v>5179.0</v>
      </c>
      <c r="B4084" s="4">
        <v>36833.0</v>
      </c>
      <c r="C4084" s="5">
        <f>DATE(2012,12,31)-173</f>
        <v>41101</v>
      </c>
      <c r="D4084" s="4" t="s">
        <v>21</v>
      </c>
      <c r="E4084" s="4">
        <v>25.0</v>
      </c>
      <c r="F4084" s="4">
        <v>184.32</v>
      </c>
      <c r="G4084" s="4">
        <v>0.0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ht="12.75" customHeight="1">
      <c r="A4085" s="4">
        <v>5190.0</v>
      </c>
      <c r="B4085" s="4">
        <v>36896.0</v>
      </c>
      <c r="C4085" s="5">
        <f t="shared" ref="C4085:C4087" si="1705">DATE(2012,12,31)-1154</f>
        <v>40120</v>
      </c>
      <c r="D4085" s="4" t="s">
        <v>78</v>
      </c>
      <c r="E4085" s="4">
        <v>12.0</v>
      </c>
      <c r="F4085" s="4">
        <v>34.01</v>
      </c>
      <c r="G4085" s="4">
        <v>0.0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ht="12.75" customHeight="1">
      <c r="A4086" s="4">
        <v>5191.0</v>
      </c>
      <c r="B4086" s="4">
        <v>36896.0</v>
      </c>
      <c r="C4086" s="5">
        <f t="shared" si="1705"/>
        <v>40120</v>
      </c>
      <c r="D4086" s="4" t="s">
        <v>78</v>
      </c>
      <c r="E4086" s="4">
        <v>41.0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ht="12.75" customHeight="1">
      <c r="A4087" s="4">
        <v>5192.0</v>
      </c>
      <c r="B4087" s="4">
        <v>36896.0</v>
      </c>
      <c r="C4087" s="5">
        <f t="shared" si="1705"/>
        <v>40120</v>
      </c>
      <c r="D4087" s="4" t="s">
        <v>78</v>
      </c>
      <c r="E4087" s="4">
        <v>21.0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35.0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ht="12.75" customHeight="1">
      <c r="A4088" s="4">
        <v>5215.0</v>
      </c>
      <c r="B4088" s="4">
        <v>37123.0</v>
      </c>
      <c r="C4088" s="5">
        <f>DATE(2012,12,31)-317</f>
        <v>40957</v>
      </c>
      <c r="D4088" s="4" t="s">
        <v>30</v>
      </c>
      <c r="E4088" s="4">
        <v>50.0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ht="12.75" customHeight="1">
      <c r="A4089" s="4">
        <v>5280.0</v>
      </c>
      <c r="B4089" s="4">
        <v>37572.0</v>
      </c>
      <c r="C4089" s="5">
        <f>DATE(2012,12,31)-881</f>
        <v>40393</v>
      </c>
      <c r="D4089" s="4" t="s">
        <v>30</v>
      </c>
      <c r="E4089" s="4">
        <v>22.0</v>
      </c>
      <c r="F4089" s="4">
        <v>123.95</v>
      </c>
      <c r="G4089" s="4">
        <v>0.01</v>
      </c>
      <c r="H4089" s="4" t="s">
        <v>22</v>
      </c>
      <c r="I4089" s="6">
        <v>2.4225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6">C4089+2</f>
        <v>40395</v>
      </c>
    </row>
    <row r="4090" ht="12.75" customHeight="1">
      <c r="A4090" s="4">
        <v>5290.0</v>
      </c>
      <c r="B4090" s="4">
        <v>37669.0</v>
      </c>
      <c r="C4090" s="5">
        <f t="shared" ref="C4090:C4092" si="1707">DATE(2012,12,31)-794</f>
        <v>40480</v>
      </c>
      <c r="D4090" s="4" t="s">
        <v>45</v>
      </c>
      <c r="E4090" s="4">
        <v>39.0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19.99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6"/>
        <v>40482</v>
      </c>
    </row>
    <row r="4091" ht="12.75" customHeight="1">
      <c r="A4091" s="4">
        <v>5291.0</v>
      </c>
      <c r="B4091" s="4">
        <v>37669.0</v>
      </c>
      <c r="C4091" s="5">
        <f t="shared" si="1707"/>
        <v>40480</v>
      </c>
      <c r="D4091" s="4" t="s">
        <v>45</v>
      </c>
      <c r="E4091" s="4">
        <v>31.0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6"/>
        <v>40482</v>
      </c>
    </row>
    <row r="4092" ht="12.75" customHeight="1">
      <c r="A4092" s="4">
        <v>5292.0</v>
      </c>
      <c r="B4092" s="4">
        <v>37669.0</v>
      </c>
      <c r="C4092" s="5">
        <f t="shared" si="1707"/>
        <v>40480</v>
      </c>
      <c r="D4092" s="4" t="s">
        <v>45</v>
      </c>
      <c r="E4092" s="4">
        <v>4.0</v>
      </c>
      <c r="F4092" s="4">
        <v>70.02</v>
      </c>
      <c r="G4092" s="4">
        <v>0.0</v>
      </c>
      <c r="H4092" s="4" t="s">
        <v>22</v>
      </c>
      <c r="I4092" s="6">
        <v>-30.63</v>
      </c>
      <c r="J4092" s="4">
        <v>15.31</v>
      </c>
      <c r="K4092" s="4">
        <v>8.78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0.57</v>
      </c>
      <c r="U4092" s="5">
        <f>C4092+3</f>
        <v>40483</v>
      </c>
    </row>
    <row r="4093" ht="12.75" customHeight="1">
      <c r="A4093" s="4">
        <v>5362.0</v>
      </c>
      <c r="B4093" s="4">
        <v>38117.0</v>
      </c>
      <c r="C4093" s="5">
        <f>DATE(2012,12,31)-986</f>
        <v>40288</v>
      </c>
      <c r="D4093" s="4" t="s">
        <v>21</v>
      </c>
      <c r="E4093" s="4">
        <v>28.0</v>
      </c>
      <c r="F4093" s="4">
        <v>481.27</v>
      </c>
      <c r="G4093" s="4">
        <v>0.01</v>
      </c>
      <c r="H4093" s="4" t="s">
        <v>22</v>
      </c>
      <c r="I4093" s="6">
        <v>-128.89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ht="12.75" customHeight="1">
      <c r="A4094" s="4">
        <v>5372.0</v>
      </c>
      <c r="B4094" s="4">
        <v>38210.0</v>
      </c>
      <c r="C4094" s="5">
        <f>DATE(2012,12,31)-750</f>
        <v>40524</v>
      </c>
      <c r="D4094" s="4" t="s">
        <v>21</v>
      </c>
      <c r="E4094" s="4">
        <v>10.0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ht="12.75" customHeight="1">
      <c r="A4095" s="4">
        <v>5381.0</v>
      </c>
      <c r="B4095" s="4">
        <v>38274.0</v>
      </c>
      <c r="C4095" s="5">
        <f t="shared" ref="C4095:C4097" si="1708">DATE(2012,12,31)-570</f>
        <v>40704</v>
      </c>
      <c r="D4095" s="4" t="s">
        <v>30</v>
      </c>
      <c r="E4095" s="4">
        <v>9.0</v>
      </c>
      <c r="F4095" s="4">
        <v>1225.37</v>
      </c>
      <c r="G4095" s="4">
        <v>0.08</v>
      </c>
      <c r="H4095" s="4" t="s">
        <v>22</v>
      </c>
      <c r="I4095" s="6">
        <v>0.9800000000000182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0.57</v>
      </c>
      <c r="U4095" s="5">
        <f t="shared" ref="U4095:U4096" si="1709">C4095+2</f>
        <v>40706</v>
      </c>
    </row>
    <row r="4096" ht="12.75" customHeight="1">
      <c r="A4096" s="4">
        <v>5382.0</v>
      </c>
      <c r="B4096" s="4">
        <v>38274.0</v>
      </c>
      <c r="C4096" s="5">
        <f t="shared" si="1708"/>
        <v>40704</v>
      </c>
      <c r="D4096" s="4" t="s">
        <v>30</v>
      </c>
      <c r="E4096" s="4">
        <v>27.0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</v>
      </c>
      <c r="U4096" s="5">
        <f t="shared" si="1709"/>
        <v>40706</v>
      </c>
    </row>
    <row r="4097" ht="12.75" customHeight="1">
      <c r="A4097" s="4">
        <v>5383.0</v>
      </c>
      <c r="B4097" s="4">
        <v>38274.0</v>
      </c>
      <c r="C4097" s="5">
        <f t="shared" si="1708"/>
        <v>40704</v>
      </c>
      <c r="D4097" s="4" t="s">
        <v>30</v>
      </c>
      <c r="E4097" s="4">
        <v>10.0</v>
      </c>
      <c r="F4097" s="4">
        <v>484.2194999999999</v>
      </c>
      <c r="G4097" s="4">
        <v>0.02</v>
      </c>
      <c r="H4097" s="4" t="s">
        <v>56</v>
      </c>
      <c r="I4097" s="6">
        <v>-33.792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</v>
      </c>
      <c r="U4097" s="5">
        <f>C4097+1</f>
        <v>40705</v>
      </c>
    </row>
    <row r="4098" ht="12.75" customHeight="1">
      <c r="A4098" s="4">
        <v>5397.0</v>
      </c>
      <c r="B4098" s="4">
        <v>38370.0</v>
      </c>
      <c r="C4098" s="5">
        <f>DATE(2012,12,31)-638</f>
        <v>40636</v>
      </c>
      <c r="D4098" s="4" t="s">
        <v>30</v>
      </c>
      <c r="E4098" s="4">
        <v>50.0</v>
      </c>
      <c r="F4098" s="4">
        <v>169.13</v>
      </c>
      <c r="G4098" s="4">
        <v>0.0</v>
      </c>
      <c r="H4098" s="4" t="s">
        <v>22</v>
      </c>
      <c r="I4098" s="6">
        <v>43.05</v>
      </c>
      <c r="J4098" s="4">
        <v>3.14</v>
      </c>
      <c r="K4098" s="4">
        <v>1.14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ht="12.75" customHeight="1">
      <c r="A4099" s="4">
        <v>5403.0</v>
      </c>
      <c r="B4099" s="4">
        <v>38405.0</v>
      </c>
      <c r="C4099" s="5">
        <f>DATE(2012,12,31)-900</f>
        <v>40374</v>
      </c>
      <c r="D4099" s="4" t="s">
        <v>63</v>
      </c>
      <c r="E4099" s="4">
        <v>29.0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4.0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ht="12.75" customHeight="1">
      <c r="A4100" s="4">
        <v>5409.0</v>
      </c>
      <c r="B4100" s="4">
        <v>38466.0</v>
      </c>
      <c r="C4100" s="5">
        <f t="shared" ref="C4100:C4102" si="1710">DATE(2012,12,31)-502</f>
        <v>40772</v>
      </c>
      <c r="D4100" s="4" t="s">
        <v>78</v>
      </c>
      <c r="E4100" s="4">
        <v>22.0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ht="12.75" customHeight="1">
      <c r="A4101" s="4">
        <v>5410.0</v>
      </c>
      <c r="B4101" s="4">
        <v>38466.0</v>
      </c>
      <c r="C4101" s="5">
        <f t="shared" si="1710"/>
        <v>40772</v>
      </c>
      <c r="D4101" s="4" t="s">
        <v>78</v>
      </c>
      <c r="E4101" s="4">
        <v>37.0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ht="12.75" customHeight="1">
      <c r="A4102" s="4">
        <v>5411.0</v>
      </c>
      <c r="B4102" s="4">
        <v>38466.0</v>
      </c>
      <c r="C4102" s="5">
        <f t="shared" si="1710"/>
        <v>40772</v>
      </c>
      <c r="D4102" s="4" t="s">
        <v>78</v>
      </c>
      <c r="E4102" s="4">
        <v>15.0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1">C4102+1</f>
        <v>40773</v>
      </c>
    </row>
    <row r="4103" ht="12.75" customHeight="1">
      <c r="A4103" s="4">
        <v>5415.0</v>
      </c>
      <c r="B4103" s="4">
        <v>38501.0</v>
      </c>
      <c r="C4103" s="5">
        <f>DATE(2012,12,31)-1343</f>
        <v>39931</v>
      </c>
      <c r="D4103" s="4" t="s">
        <v>78</v>
      </c>
      <c r="E4103" s="4">
        <v>11.0</v>
      </c>
      <c r="F4103" s="4">
        <v>78.68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1"/>
        <v>39932</v>
      </c>
    </row>
    <row r="4104" ht="12.75" customHeight="1">
      <c r="A4104" s="4">
        <v>5425.0</v>
      </c>
      <c r="B4104" s="4">
        <v>38532.0</v>
      </c>
      <c r="C4104" s="5">
        <f>DATE(2012,12,31)-167</f>
        <v>41107</v>
      </c>
      <c r="D4104" s="4" t="s">
        <v>30</v>
      </c>
      <c r="E4104" s="4">
        <v>44.0</v>
      </c>
      <c r="F4104" s="4">
        <v>128.22</v>
      </c>
      <c r="G4104" s="4">
        <v>0.07</v>
      </c>
      <c r="H4104" s="4" t="s">
        <v>22</v>
      </c>
      <c r="I4104" s="6">
        <v>16.51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0.58</v>
      </c>
      <c r="U4104" s="5">
        <f>C4104+2</f>
        <v>41109</v>
      </c>
    </row>
    <row r="4105" ht="12.75" customHeight="1">
      <c r="A4105" s="4">
        <v>5428.0</v>
      </c>
      <c r="B4105" s="4">
        <v>38564.0</v>
      </c>
      <c r="C4105" s="5">
        <f t="shared" ref="C4105:C4106" si="1712">DATE(2012,12,31)-1155</f>
        <v>40119</v>
      </c>
      <c r="D4105" s="4" t="s">
        <v>78</v>
      </c>
      <c r="E4105" s="4">
        <v>31.0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4.0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ht="12.75" customHeight="1">
      <c r="A4106" s="4">
        <v>5429.0</v>
      </c>
      <c r="B4106" s="4">
        <v>38564.0</v>
      </c>
      <c r="C4106" s="5">
        <f t="shared" si="1712"/>
        <v>40119</v>
      </c>
      <c r="D4106" s="4" t="s">
        <v>78</v>
      </c>
      <c r="E4106" s="4">
        <v>21.0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ht="12.75" customHeight="1">
      <c r="A4107" s="4">
        <v>5481.0</v>
      </c>
      <c r="B4107" s="4">
        <v>38915.0</v>
      </c>
      <c r="C4107" s="5">
        <f t="shared" ref="C4107:C4108" si="1713">DATE(2012,12,31)-1201</f>
        <v>40073</v>
      </c>
      <c r="D4107" s="4" t="s">
        <v>63</v>
      </c>
      <c r="E4107" s="4">
        <v>12.0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0.58</v>
      </c>
      <c r="U4107" s="5">
        <f>C4107+1</f>
        <v>40074</v>
      </c>
    </row>
    <row r="4108" ht="12.75" customHeight="1">
      <c r="A4108" s="4">
        <v>5482.0</v>
      </c>
      <c r="B4108" s="4">
        <v>38915.0</v>
      </c>
      <c r="C4108" s="5">
        <f t="shared" si="1713"/>
        <v>40073</v>
      </c>
      <c r="D4108" s="4" t="s">
        <v>63</v>
      </c>
      <c r="E4108" s="4">
        <v>34.0</v>
      </c>
      <c r="F4108" s="4">
        <v>253.6</v>
      </c>
      <c r="G4108" s="4">
        <v>0.07</v>
      </c>
      <c r="H4108" s="4" t="s">
        <v>22</v>
      </c>
      <c r="I4108" s="6">
        <v>24.39</v>
      </c>
      <c r="J4108" s="4">
        <v>7.59</v>
      </c>
      <c r="K4108" s="4">
        <v>4.0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4">C4108+2</f>
        <v>40075</v>
      </c>
    </row>
    <row r="4109" ht="12.75" customHeight="1">
      <c r="A4109" s="4">
        <v>5487.0</v>
      </c>
      <c r="B4109" s="4">
        <v>38947.0</v>
      </c>
      <c r="C4109" s="5">
        <f>DATE(2012,12,31)-1128</f>
        <v>40146</v>
      </c>
      <c r="D4109" s="4" t="s">
        <v>78</v>
      </c>
      <c r="E4109" s="4">
        <v>20.0</v>
      </c>
      <c r="F4109" s="4">
        <v>307.46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4"/>
        <v>40148</v>
      </c>
    </row>
    <row r="4110" ht="12.75" customHeight="1">
      <c r="A4110" s="4">
        <v>5512.0</v>
      </c>
      <c r="B4110" s="4">
        <v>39078.0</v>
      </c>
      <c r="C4110" s="5">
        <f t="shared" ref="C4110:C4112" si="1715">DATE(2012,12,31)-1287</f>
        <v>39987</v>
      </c>
      <c r="D4110" s="4" t="s">
        <v>21</v>
      </c>
      <c r="E4110" s="4">
        <v>10.0</v>
      </c>
      <c r="F4110" s="4">
        <v>36.91</v>
      </c>
      <c r="G4110" s="4">
        <v>0.07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</v>
      </c>
      <c r="U4110" s="5">
        <f>C4110+0</f>
        <v>39987</v>
      </c>
    </row>
    <row r="4111" ht="12.75" customHeight="1">
      <c r="A4111" s="4">
        <v>5513.0</v>
      </c>
      <c r="B4111" s="4">
        <v>39078.0</v>
      </c>
      <c r="C4111" s="5">
        <f t="shared" si="1715"/>
        <v>39987</v>
      </c>
      <c r="D4111" s="4" t="s">
        <v>21</v>
      </c>
      <c r="E4111" s="4">
        <v>8.0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ht="12.75" customHeight="1">
      <c r="A4112" s="4">
        <v>5514.0</v>
      </c>
      <c r="B4112" s="4">
        <v>39078.0</v>
      </c>
      <c r="C4112" s="5">
        <f t="shared" si="1715"/>
        <v>39987</v>
      </c>
      <c r="D4112" s="4" t="s">
        <v>21</v>
      </c>
      <c r="E4112" s="4">
        <v>26.0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6">C4112+2</f>
        <v>39989</v>
      </c>
    </row>
    <row r="4113" ht="12.75" customHeight="1">
      <c r="A4113" s="4">
        <v>5524.0</v>
      </c>
      <c r="B4113" s="4">
        <v>39141.0</v>
      </c>
      <c r="C4113" s="5">
        <f t="shared" ref="C4113:C4114" si="1717">DATE(2012,12,31)-1338</f>
        <v>39936</v>
      </c>
      <c r="D4113" s="4" t="s">
        <v>21</v>
      </c>
      <c r="E4113" s="4">
        <v>49.0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6"/>
        <v>39938</v>
      </c>
    </row>
    <row r="4114" ht="12.75" customHeight="1">
      <c r="A4114" s="4">
        <v>5525.0</v>
      </c>
      <c r="B4114" s="4">
        <v>39141.0</v>
      </c>
      <c r="C4114" s="5">
        <f t="shared" si="1717"/>
        <v>39936</v>
      </c>
      <c r="D4114" s="4" t="s">
        <v>21</v>
      </c>
      <c r="E4114" s="4">
        <v>47.0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0.57</v>
      </c>
      <c r="U4114" s="5">
        <f t="shared" si="1716"/>
        <v>39938</v>
      </c>
    </row>
    <row r="4115" ht="12.75" customHeight="1">
      <c r="A4115" s="4">
        <v>5570.0</v>
      </c>
      <c r="B4115" s="4">
        <v>39460.0</v>
      </c>
      <c r="C4115" s="5">
        <f t="shared" ref="C4115:C4116" si="1718">DATE(2012,12,31)-1339</f>
        <v>39935</v>
      </c>
      <c r="D4115" s="4" t="s">
        <v>45</v>
      </c>
      <c r="E4115" s="4">
        <v>25.0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6"/>
        <v>39937</v>
      </c>
    </row>
    <row r="4116" ht="12.75" customHeight="1">
      <c r="A4116" s="4">
        <v>5571.0</v>
      </c>
      <c r="B4116" s="4">
        <v>39460.0</v>
      </c>
      <c r="C4116" s="5">
        <f t="shared" si="1718"/>
        <v>39935</v>
      </c>
      <c r="D4116" s="4" t="s">
        <v>45</v>
      </c>
      <c r="E4116" s="4">
        <v>19.0</v>
      </c>
      <c r="F4116" s="4">
        <v>2033.9225</v>
      </c>
      <c r="G4116" s="4">
        <v>0.02</v>
      </c>
      <c r="H4116" s="4" t="s">
        <v>22</v>
      </c>
      <c r="I4116" s="6">
        <v>251.199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9">C4116+1</f>
        <v>39936</v>
      </c>
    </row>
    <row r="4117" ht="12.75" customHeight="1">
      <c r="A4117" s="4">
        <v>5639.0</v>
      </c>
      <c r="B4117" s="4">
        <v>39904.0</v>
      </c>
      <c r="C4117" s="5">
        <f>DATE(2012,12,31)-1428</f>
        <v>39846</v>
      </c>
      <c r="D4117" s="4" t="s">
        <v>45</v>
      </c>
      <c r="E4117" s="4">
        <v>44.0</v>
      </c>
      <c r="F4117" s="4">
        <v>363.92</v>
      </c>
      <c r="G4117" s="4">
        <v>0.0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9"/>
        <v>39847</v>
      </c>
    </row>
    <row r="4118" ht="12.75" customHeight="1">
      <c r="A4118" s="4">
        <v>5643.0</v>
      </c>
      <c r="B4118" s="4">
        <v>39909.0</v>
      </c>
      <c r="C4118" s="5">
        <f>DATE(2012,12,31)-676</f>
        <v>40598</v>
      </c>
      <c r="D4118" s="4" t="s">
        <v>21</v>
      </c>
      <c r="E4118" s="4">
        <v>50.0</v>
      </c>
      <c r="F4118" s="4">
        <v>7778.758</v>
      </c>
      <c r="G4118" s="4">
        <v>0.0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ht="12.75" customHeight="1">
      <c r="A4119" s="4">
        <v>5669.0</v>
      </c>
      <c r="B4119" s="4">
        <v>40100.0</v>
      </c>
      <c r="C4119" s="5">
        <f>DATE(2012,12,31)-331</f>
        <v>40943</v>
      </c>
      <c r="D4119" s="4" t="s">
        <v>21</v>
      </c>
      <c r="E4119" s="4">
        <v>47.0</v>
      </c>
      <c r="F4119" s="4">
        <v>1001.17</v>
      </c>
      <c r="G4119" s="4">
        <v>0.0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ht="12.75" customHeight="1">
      <c r="A4120" s="4">
        <v>5689.0</v>
      </c>
      <c r="B4120" s="4">
        <v>40224.0</v>
      </c>
      <c r="C4120" s="5">
        <f>DATE(2012,12,31)-1280</f>
        <v>39994</v>
      </c>
      <c r="D4120" s="4" t="s">
        <v>21</v>
      </c>
      <c r="E4120" s="4">
        <v>14.0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ht="12.75" customHeight="1">
      <c r="A4121" s="4">
        <v>5712.0</v>
      </c>
      <c r="B4121" s="4">
        <v>40422.0</v>
      </c>
      <c r="C4121" s="5">
        <f>DATE(2012,12,31)-532</f>
        <v>40742</v>
      </c>
      <c r="D4121" s="4" t="s">
        <v>78</v>
      </c>
      <c r="E4121" s="4">
        <v>39.0</v>
      </c>
      <c r="F4121" s="4">
        <v>2192.439</v>
      </c>
      <c r="G4121" s="4">
        <v>0.06</v>
      </c>
      <c r="H4121" s="4" t="s">
        <v>56</v>
      </c>
      <c r="I4121" s="6">
        <v>517.815</v>
      </c>
      <c r="J4121" s="4">
        <v>65.99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ht="12.75" customHeight="1">
      <c r="A4122" s="4">
        <v>5743.0</v>
      </c>
      <c r="B4122" s="4">
        <v>40802.0</v>
      </c>
      <c r="C4122" s="5">
        <f>DATE(2012,12,31)-119</f>
        <v>41155</v>
      </c>
      <c r="D4122" s="4" t="s">
        <v>30</v>
      </c>
      <c r="E4122" s="4">
        <v>28.0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20">C4122+1</f>
        <v>41156</v>
      </c>
    </row>
    <row r="4123" ht="12.75" customHeight="1">
      <c r="A4123" s="4">
        <v>5755.0</v>
      </c>
      <c r="B4123" s="4">
        <v>40839.0</v>
      </c>
      <c r="C4123" s="5">
        <f>DATE(2012,12,31)-275</f>
        <v>40999</v>
      </c>
      <c r="D4123" s="4" t="s">
        <v>63</v>
      </c>
      <c r="E4123" s="4">
        <v>23.0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20"/>
        <v>41000</v>
      </c>
    </row>
    <row r="4124" ht="12.75" customHeight="1">
      <c r="A4124" s="4">
        <v>5777.0</v>
      </c>
      <c r="B4124" s="4">
        <v>40997.0</v>
      </c>
      <c r="C4124" s="5">
        <f t="shared" ref="C4124:C4127" si="1721">DATE(2012,12,31)-1350</f>
        <v>39924</v>
      </c>
      <c r="D4124" s="4" t="s">
        <v>21</v>
      </c>
      <c r="E4124" s="4">
        <v>12.0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ht="12.75" customHeight="1">
      <c r="A4125" s="4">
        <v>5778.0</v>
      </c>
      <c r="B4125" s="4">
        <v>40997.0</v>
      </c>
      <c r="C4125" s="5">
        <f t="shared" si="1721"/>
        <v>39924</v>
      </c>
      <c r="D4125" s="4" t="s">
        <v>21</v>
      </c>
      <c r="E4125" s="4">
        <v>37.0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0.57</v>
      </c>
      <c r="U4125" s="5">
        <f>C4125+7</f>
        <v>39931</v>
      </c>
    </row>
    <row r="4126" ht="12.75" customHeight="1">
      <c r="A4126" s="4">
        <v>5779.0</v>
      </c>
      <c r="B4126" s="4">
        <v>40997.0</v>
      </c>
      <c r="C4126" s="5">
        <f t="shared" si="1721"/>
        <v>39924</v>
      </c>
      <c r="D4126" s="4" t="s">
        <v>21</v>
      </c>
      <c r="E4126" s="4">
        <v>1.0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0.57</v>
      </c>
      <c r="U4126" s="5">
        <f>C4126+2</f>
        <v>39926</v>
      </c>
    </row>
    <row r="4127" ht="12.75" customHeight="1">
      <c r="A4127" s="4">
        <v>5780.0</v>
      </c>
      <c r="B4127" s="4">
        <v>40997.0</v>
      </c>
      <c r="C4127" s="5">
        <f t="shared" si="1721"/>
        <v>39924</v>
      </c>
      <c r="D4127" s="4" t="s">
        <v>21</v>
      </c>
      <c r="E4127" s="4">
        <v>33.0</v>
      </c>
      <c r="F4127" s="4">
        <v>7384.18</v>
      </c>
      <c r="G4127" s="4">
        <v>0.04</v>
      </c>
      <c r="H4127" s="4" t="s">
        <v>31</v>
      </c>
      <c r="I4127" s="6">
        <v>-513.79042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ht="12.75" customHeight="1">
      <c r="A4128" s="4">
        <v>5806.0</v>
      </c>
      <c r="B4128" s="4">
        <v>41185.0</v>
      </c>
      <c r="C4128" s="5">
        <f>DATE(2012,12,31)-1121</f>
        <v>40153</v>
      </c>
      <c r="D4128" s="4" t="s">
        <v>78</v>
      </c>
      <c r="E4128" s="4">
        <v>2.0</v>
      </c>
      <c r="F4128" s="4">
        <v>18.81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ht="12.75" customHeight="1">
      <c r="A4129" s="4">
        <v>5816.0</v>
      </c>
      <c r="B4129" s="4">
        <v>41253.0</v>
      </c>
      <c r="C4129" s="5">
        <f>DATE(2012,12,31)-1334</f>
        <v>39940</v>
      </c>
      <c r="D4129" s="4" t="s">
        <v>63</v>
      </c>
      <c r="E4129" s="4">
        <v>5.0</v>
      </c>
      <c r="F4129" s="4">
        <v>1455.49</v>
      </c>
      <c r="G4129" s="4">
        <v>0.07</v>
      </c>
      <c r="H4129" s="4" t="s">
        <v>22</v>
      </c>
      <c r="I4129" s="6">
        <v>-807.59</v>
      </c>
      <c r="J4129" s="4">
        <v>300.97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ht="12.75" customHeight="1">
      <c r="A4130" s="4">
        <v>5831.0</v>
      </c>
      <c r="B4130" s="4">
        <v>41378.0</v>
      </c>
      <c r="C4130" s="5">
        <f t="shared" ref="C4130:C4131" si="1722">DATE(2012,12,31)-63</f>
        <v>41211</v>
      </c>
      <c r="D4130" s="4" t="s">
        <v>45</v>
      </c>
      <c r="E4130" s="4">
        <v>30.0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30.0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ht="12.75" customHeight="1">
      <c r="A4131" s="4">
        <v>5832.0</v>
      </c>
      <c r="B4131" s="4">
        <v>41378.0</v>
      </c>
      <c r="C4131" s="5">
        <f t="shared" si="1722"/>
        <v>41211</v>
      </c>
      <c r="D4131" s="4" t="s">
        <v>45</v>
      </c>
      <c r="E4131" s="4">
        <v>42.0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3">C4131+2</f>
        <v>41213</v>
      </c>
    </row>
    <row r="4132" ht="12.75" customHeight="1">
      <c r="A4132" s="4">
        <v>5845.0</v>
      </c>
      <c r="B4132" s="4">
        <v>41474.0</v>
      </c>
      <c r="C4132" s="5">
        <f t="shared" ref="C4132:C4133" si="1724">DATE(2012,12,31)-1351</f>
        <v>39923</v>
      </c>
      <c r="D4132" s="4" t="s">
        <v>45</v>
      </c>
      <c r="E4132" s="4">
        <v>35.0</v>
      </c>
      <c r="F4132" s="4">
        <v>3640.83</v>
      </c>
      <c r="G4132" s="4">
        <v>0.0</v>
      </c>
      <c r="H4132" s="4" t="s">
        <v>31</v>
      </c>
      <c r="I4132" s="6">
        <v>-6.800000000000011</v>
      </c>
      <c r="J4132" s="4">
        <v>100.98</v>
      </c>
      <c r="K4132" s="4">
        <v>35.84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3"/>
        <v>39925</v>
      </c>
    </row>
    <row r="4133" ht="12.75" customHeight="1">
      <c r="A4133" s="4">
        <v>5846.0</v>
      </c>
      <c r="B4133" s="4">
        <v>41474.0</v>
      </c>
      <c r="C4133" s="5">
        <f t="shared" si="1724"/>
        <v>39923</v>
      </c>
      <c r="D4133" s="4" t="s">
        <v>45</v>
      </c>
      <c r="E4133" s="4">
        <v>50.0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4.77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3"/>
        <v>39925</v>
      </c>
    </row>
    <row r="4134" ht="12.75" customHeight="1">
      <c r="A4134" s="4">
        <v>5849.0</v>
      </c>
      <c r="B4134" s="4">
        <v>41508.0</v>
      </c>
      <c r="C4134" s="5">
        <f>DATE(2012,12,31)-829</f>
        <v>40445</v>
      </c>
      <c r="D4134" s="4" t="s">
        <v>30</v>
      </c>
      <c r="E4134" s="4">
        <v>39.0</v>
      </c>
      <c r="F4134" s="4">
        <v>18561.31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26.0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3"/>
        <v>40447</v>
      </c>
    </row>
    <row r="4135" ht="12.75" customHeight="1">
      <c r="A4135" s="4">
        <v>5855.0</v>
      </c>
      <c r="B4135" s="4">
        <v>41569.0</v>
      </c>
      <c r="C4135" s="5">
        <f>DATE(2012,12,31)-894</f>
        <v>40380</v>
      </c>
      <c r="D4135" s="4" t="s">
        <v>78</v>
      </c>
      <c r="E4135" s="4">
        <v>49.0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ht="12.75" customHeight="1">
      <c r="A4136" s="4">
        <v>5858.0</v>
      </c>
      <c r="B4136" s="4">
        <v>41571.0</v>
      </c>
      <c r="C4136" s="5">
        <f>DATE(2012,12,31)-574</f>
        <v>40700</v>
      </c>
      <c r="D4136" s="4" t="s">
        <v>21</v>
      </c>
      <c r="E4136" s="4">
        <v>42.0</v>
      </c>
      <c r="F4136" s="4">
        <v>906.07</v>
      </c>
      <c r="G4136" s="4">
        <v>0.0</v>
      </c>
      <c r="H4136" s="4" t="s">
        <v>22</v>
      </c>
      <c r="I4136" s="6">
        <v>-2.66</v>
      </c>
      <c r="J4136" s="4">
        <v>20.15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0.58</v>
      </c>
      <c r="U4136" s="5">
        <f>C4136+9</f>
        <v>40709</v>
      </c>
    </row>
    <row r="4137" ht="12.75" customHeight="1">
      <c r="A4137" s="4">
        <v>5880.0</v>
      </c>
      <c r="B4137" s="4">
        <v>41728.0</v>
      </c>
      <c r="C4137" s="5">
        <f t="shared" ref="C4137:C4138" si="1725">DATE(2012,12,31)-1188</f>
        <v>40086</v>
      </c>
      <c r="D4137" s="4" t="s">
        <v>30</v>
      </c>
      <c r="E4137" s="4">
        <v>28.0</v>
      </c>
      <c r="F4137" s="4">
        <v>23106.46</v>
      </c>
      <c r="G4137" s="4">
        <v>0.08</v>
      </c>
      <c r="H4137" s="4" t="s">
        <v>22</v>
      </c>
      <c r="I4137" s="6">
        <v>9527.471500000001</v>
      </c>
      <c r="J4137" s="4">
        <v>896.99</v>
      </c>
      <c r="K4137" s="4">
        <v>19.99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ht="12.75" customHeight="1">
      <c r="A4138" s="4">
        <v>5881.0</v>
      </c>
      <c r="B4138" s="4">
        <v>41728.0</v>
      </c>
      <c r="C4138" s="5">
        <f t="shared" si="1725"/>
        <v>40086</v>
      </c>
      <c r="D4138" s="4" t="s">
        <v>30</v>
      </c>
      <c r="E4138" s="4">
        <v>10.0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0.57</v>
      </c>
      <c r="U4138" s="5">
        <f>C4138+1</f>
        <v>40087</v>
      </c>
    </row>
    <row r="4139" ht="12.75" customHeight="1">
      <c r="A4139" s="4">
        <v>5886.0</v>
      </c>
      <c r="B4139" s="4">
        <v>41764.0</v>
      </c>
      <c r="C4139" s="5">
        <f>DATE(2012,12,31)-1183</f>
        <v>40091</v>
      </c>
      <c r="D4139" s="4" t="s">
        <v>45</v>
      </c>
      <c r="E4139" s="4">
        <v>16.0</v>
      </c>
      <c r="F4139" s="4">
        <v>5105.06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6">C4139+2</f>
        <v>40093</v>
      </c>
    </row>
    <row r="4140" ht="12.75" customHeight="1">
      <c r="A4140" s="4">
        <v>5931.0</v>
      </c>
      <c r="B4140" s="4">
        <v>42082.0</v>
      </c>
      <c r="C4140" s="5">
        <f>DATE(2012,12,31)-379</f>
        <v>40895</v>
      </c>
      <c r="D4140" s="4" t="s">
        <v>78</v>
      </c>
      <c r="E4140" s="4">
        <v>15.0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6"/>
        <v>40897</v>
      </c>
    </row>
    <row r="4141" ht="12.75" customHeight="1">
      <c r="A4141" s="4">
        <v>5958.0</v>
      </c>
      <c r="B4141" s="4">
        <v>42279.0</v>
      </c>
      <c r="C4141" s="5">
        <f>DATE(2012,12,31)-1280</f>
        <v>39994</v>
      </c>
      <c r="D4141" s="4" t="s">
        <v>45</v>
      </c>
      <c r="E4141" s="4">
        <v>44.0</v>
      </c>
      <c r="F4141" s="4">
        <v>1431.0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ht="12.75" customHeight="1">
      <c r="A4142" s="4">
        <v>5962.0</v>
      </c>
      <c r="B4142" s="4">
        <v>42308.0</v>
      </c>
      <c r="C4142" s="5">
        <f>DATE(2012,12,31)-1298</f>
        <v>39976</v>
      </c>
      <c r="D4142" s="4" t="s">
        <v>63</v>
      </c>
      <c r="E4142" s="4">
        <v>16.0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ht="12.75" customHeight="1">
      <c r="A4143" s="4">
        <v>5980.0</v>
      </c>
      <c r="B4143" s="4">
        <v>42375.0</v>
      </c>
      <c r="C4143" s="5">
        <f>DATE(2012,12,31)-822</f>
        <v>40452</v>
      </c>
      <c r="D4143" s="4" t="s">
        <v>30</v>
      </c>
      <c r="E4143" s="4">
        <v>45.0</v>
      </c>
      <c r="F4143" s="4">
        <v>138.45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0.58</v>
      </c>
      <c r="U4143" s="5">
        <f t="shared" ref="U4143:U4145" si="1727">C4143+1</f>
        <v>40453</v>
      </c>
    </row>
    <row r="4144" ht="12.75" customHeight="1">
      <c r="A4144" s="4">
        <v>6044.0</v>
      </c>
      <c r="B4144" s="4">
        <v>42851.0</v>
      </c>
      <c r="C4144" s="5">
        <f t="shared" ref="C4144:C4145" si="1728">DATE(2012,12,31)-1309</f>
        <v>39965</v>
      </c>
      <c r="D4144" s="4" t="s">
        <v>30</v>
      </c>
      <c r="E4144" s="4">
        <v>4.0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7"/>
        <v>39966</v>
      </c>
    </row>
    <row r="4145" ht="12.75" customHeight="1">
      <c r="A4145" s="4">
        <v>6045.0</v>
      </c>
      <c r="B4145" s="4">
        <v>42851.0</v>
      </c>
      <c r="C4145" s="5">
        <f t="shared" si="1728"/>
        <v>39965</v>
      </c>
      <c r="D4145" s="4" t="s">
        <v>30</v>
      </c>
      <c r="E4145" s="4">
        <v>7.0</v>
      </c>
      <c r="F4145" s="4">
        <v>344.301</v>
      </c>
      <c r="G4145" s="4">
        <v>0.04</v>
      </c>
      <c r="H4145" s="4" t="s">
        <v>56</v>
      </c>
      <c r="I4145" s="6">
        <v>-22.902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7"/>
        <v>39966</v>
      </c>
    </row>
    <row r="4146" ht="12.75" customHeight="1">
      <c r="A4146" s="4">
        <v>6154.0</v>
      </c>
      <c r="B4146" s="4">
        <v>43585.0</v>
      </c>
      <c r="C4146" s="5">
        <f>DATE(2012,12,31)-782</f>
        <v>40492</v>
      </c>
      <c r="D4146" s="4" t="s">
        <v>78</v>
      </c>
      <c r="E4146" s="4">
        <v>19.0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9">C4146+2</f>
        <v>40494</v>
      </c>
    </row>
    <row r="4147" ht="12.75" customHeight="1">
      <c r="A4147" s="4">
        <v>6157.0</v>
      </c>
      <c r="B4147" s="4">
        <v>43590.0</v>
      </c>
      <c r="C4147" s="5">
        <f>DATE(2012,12,31)-1208</f>
        <v>40066</v>
      </c>
      <c r="D4147" s="4" t="s">
        <v>78</v>
      </c>
      <c r="E4147" s="4">
        <v>24.0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9"/>
        <v>40068</v>
      </c>
    </row>
    <row r="4148" ht="12.75" customHeight="1">
      <c r="A4148" s="4">
        <v>6188.0</v>
      </c>
      <c r="B4148" s="4">
        <v>43874.0</v>
      </c>
      <c r="C4148" s="5">
        <f>DATE(2012,12,31)-204</f>
        <v>41070</v>
      </c>
      <c r="D4148" s="4" t="s">
        <v>30</v>
      </c>
      <c r="E4148" s="4">
        <v>46.0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5.0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</v>
      </c>
      <c r="U4148" s="5">
        <f>C4148+1</f>
        <v>41071</v>
      </c>
    </row>
    <row r="4149" ht="12.75" customHeight="1">
      <c r="A4149" s="4">
        <v>6356.0</v>
      </c>
      <c r="B4149" s="4">
        <v>45059.0</v>
      </c>
      <c r="C4149" s="5">
        <f>DATE(2012,12,31)-697</f>
        <v>40577</v>
      </c>
      <c r="D4149" s="4" t="s">
        <v>45</v>
      </c>
      <c r="E4149" s="4">
        <v>4.0</v>
      </c>
      <c r="F4149" s="4">
        <v>130.14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ht="12.75" customHeight="1">
      <c r="A4150" s="4">
        <v>6408.0</v>
      </c>
      <c r="B4150" s="4">
        <v>45542.0</v>
      </c>
      <c r="C4150" s="5">
        <f t="shared" ref="C4150:C4151" si="1730">DATE(2012,12,31)-1058</f>
        <v>40216</v>
      </c>
      <c r="D4150" s="4" t="s">
        <v>30</v>
      </c>
      <c r="E4150" s="4">
        <v>37.0</v>
      </c>
      <c r="F4150" s="4">
        <v>281.79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ht="12.75" customHeight="1">
      <c r="A4151" s="4">
        <v>6409.0</v>
      </c>
      <c r="B4151" s="4">
        <v>45542.0</v>
      </c>
      <c r="C4151" s="5">
        <f t="shared" si="1730"/>
        <v>40216</v>
      </c>
      <c r="D4151" s="4" t="s">
        <v>30</v>
      </c>
      <c r="E4151" s="4">
        <v>40.0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ht="12.75" customHeight="1">
      <c r="A4152" s="4">
        <v>6427.0</v>
      </c>
      <c r="B4152" s="4">
        <v>45698.0</v>
      </c>
      <c r="C4152" s="5">
        <f t="shared" ref="C4152:C4153" si="1731">DATE(2012,12,31)-252</f>
        <v>41022</v>
      </c>
      <c r="D4152" s="4" t="s">
        <v>30</v>
      </c>
      <c r="E4152" s="4">
        <v>40.0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19.99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ht="12.75" customHeight="1">
      <c r="A4153" s="4">
        <v>6428.0</v>
      </c>
      <c r="B4153" s="4">
        <v>45698.0</v>
      </c>
      <c r="C4153" s="5">
        <f t="shared" si="1731"/>
        <v>41022</v>
      </c>
      <c r="D4153" s="4" t="s">
        <v>30</v>
      </c>
      <c r="E4153" s="4">
        <v>36.0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ht="12.75" customHeight="1">
      <c r="A4154" s="4">
        <v>6458.0</v>
      </c>
      <c r="B4154" s="4">
        <v>45987.0</v>
      </c>
      <c r="C4154" s="5">
        <f>DATE(2012,12,31)-1390</f>
        <v>39884</v>
      </c>
      <c r="D4154" s="4" t="s">
        <v>45</v>
      </c>
      <c r="E4154" s="4">
        <v>31.0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4.0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2">C4154+2</f>
        <v>39886</v>
      </c>
    </row>
    <row r="4155" ht="12.75" customHeight="1">
      <c r="A4155" s="4">
        <v>6471.0</v>
      </c>
      <c r="B4155" s="4">
        <v>46052.0</v>
      </c>
      <c r="C4155" s="5">
        <f t="shared" ref="C4155:C4156" si="1733">DATE(2012,12,31)-1134</f>
        <v>40140</v>
      </c>
      <c r="D4155" s="4" t="s">
        <v>63</v>
      </c>
      <c r="E4155" s="4">
        <v>37.0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2"/>
        <v>40142</v>
      </c>
    </row>
    <row r="4156" ht="12.75" customHeight="1">
      <c r="A4156" s="4">
        <v>6472.0</v>
      </c>
      <c r="B4156" s="4">
        <v>46052.0</v>
      </c>
      <c r="C4156" s="5">
        <f t="shared" si="1733"/>
        <v>40140</v>
      </c>
      <c r="D4156" s="4" t="s">
        <v>63</v>
      </c>
      <c r="E4156" s="4">
        <v>39.0</v>
      </c>
      <c r="F4156" s="4">
        <v>729.21</v>
      </c>
      <c r="G4156" s="4">
        <v>0.0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2"/>
        <v>40142</v>
      </c>
    </row>
    <row r="4157" ht="12.75" customHeight="1">
      <c r="A4157" s="4">
        <v>6516.0</v>
      </c>
      <c r="B4157" s="4">
        <v>46374.0</v>
      </c>
      <c r="C4157" s="5">
        <f>DATE(2012,12,31)-908</f>
        <v>40366</v>
      </c>
      <c r="D4157" s="4" t="s">
        <v>30</v>
      </c>
      <c r="E4157" s="4">
        <v>7.0</v>
      </c>
      <c r="F4157" s="4">
        <v>1822.83</v>
      </c>
      <c r="G4157" s="4">
        <v>0.08</v>
      </c>
      <c r="H4157" s="4" t="s">
        <v>31</v>
      </c>
      <c r="I4157" s="6">
        <v>-627.641157</v>
      </c>
      <c r="J4157" s="4">
        <v>259.71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2"/>
        <v>40368</v>
      </c>
    </row>
    <row r="4158" ht="12.75" customHeight="1">
      <c r="A4158" s="4">
        <v>6519.0</v>
      </c>
      <c r="B4158" s="4">
        <v>46402.0</v>
      </c>
      <c r="C4158" s="5">
        <f t="shared" ref="C4158:C4160" si="1734">DATE(2012,12,31)-723</f>
        <v>40551</v>
      </c>
      <c r="D4158" s="4" t="s">
        <v>63</v>
      </c>
      <c r="E4158" s="4">
        <v>27.0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2"/>
        <v>40553</v>
      </c>
    </row>
    <row r="4159" ht="12.75" customHeight="1">
      <c r="A4159" s="4">
        <v>6520.0</v>
      </c>
      <c r="B4159" s="4">
        <v>46402.0</v>
      </c>
      <c r="C4159" s="5">
        <f t="shared" si="1734"/>
        <v>40551</v>
      </c>
      <c r="D4159" s="4" t="s">
        <v>63</v>
      </c>
      <c r="E4159" s="4">
        <v>29.0</v>
      </c>
      <c r="F4159" s="4">
        <v>1777.4689999999998</v>
      </c>
      <c r="G4159" s="4">
        <v>0.01</v>
      </c>
      <c r="H4159" s="4" t="s">
        <v>22</v>
      </c>
      <c r="I4159" s="6">
        <v>166.365</v>
      </c>
      <c r="J4159" s="4">
        <v>66.99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5">C4159+1</f>
        <v>40552</v>
      </c>
    </row>
    <row r="4160" ht="12.75" customHeight="1">
      <c r="A4160" s="4">
        <v>6521.0</v>
      </c>
      <c r="B4160" s="4">
        <v>46402.0</v>
      </c>
      <c r="C4160" s="5">
        <f t="shared" si="1734"/>
        <v>40551</v>
      </c>
      <c r="D4160" s="4" t="s">
        <v>63</v>
      </c>
      <c r="E4160" s="4">
        <v>12.0</v>
      </c>
      <c r="F4160" s="4">
        <v>1219.1464999999998</v>
      </c>
      <c r="G4160" s="4">
        <v>0.01</v>
      </c>
      <c r="H4160" s="4" t="s">
        <v>56</v>
      </c>
      <c r="I4160" s="6">
        <v>52.929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</v>
      </c>
      <c r="U4160" s="5">
        <f t="shared" si="1735"/>
        <v>40552</v>
      </c>
    </row>
    <row r="4161" ht="12.75" customHeight="1">
      <c r="A4161" s="4">
        <v>6522.0</v>
      </c>
      <c r="B4161" s="4">
        <v>46404.0</v>
      </c>
      <c r="C4161" s="5">
        <f>DATE(2012,12,31)-302</f>
        <v>40972</v>
      </c>
      <c r="D4161" s="4" t="s">
        <v>78</v>
      </c>
      <c r="E4161" s="4">
        <v>50.0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</v>
      </c>
      <c r="U4161" s="5">
        <f t="shared" si="1735"/>
        <v>40973</v>
      </c>
    </row>
    <row r="4162" ht="12.75" customHeight="1">
      <c r="A4162" s="4">
        <v>6528.0</v>
      </c>
      <c r="B4162" s="4">
        <v>46468.0</v>
      </c>
      <c r="C4162" s="5">
        <f t="shared" ref="C4162:C4164" si="1736">DATE(2012,12,31)-720</f>
        <v>40554</v>
      </c>
      <c r="D4162" s="4" t="s">
        <v>78</v>
      </c>
      <c r="E4162" s="4">
        <v>46.0</v>
      </c>
      <c r="F4162" s="4">
        <v>7535.96</v>
      </c>
      <c r="G4162" s="4">
        <v>0.08</v>
      </c>
      <c r="H4162" s="4" t="s">
        <v>22</v>
      </c>
      <c r="I4162" s="6">
        <v>2745.8655</v>
      </c>
      <c r="J4162" s="4">
        <v>165.98</v>
      </c>
      <c r="K4162" s="4">
        <v>19.99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5"/>
        <v>40555</v>
      </c>
    </row>
    <row r="4163" ht="12.75" customHeight="1">
      <c r="A4163" s="4">
        <v>6529.0</v>
      </c>
      <c r="B4163" s="4">
        <v>46468.0</v>
      </c>
      <c r="C4163" s="5">
        <f t="shared" si="1736"/>
        <v>40554</v>
      </c>
      <c r="D4163" s="4" t="s">
        <v>78</v>
      </c>
      <c r="E4163" s="4">
        <v>41.0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39.48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7">C4163+2</f>
        <v>40556</v>
      </c>
    </row>
    <row r="4164" ht="12.75" customHeight="1">
      <c r="A4164" s="4">
        <v>6530.0</v>
      </c>
      <c r="B4164" s="4">
        <v>46468.0</v>
      </c>
      <c r="C4164" s="5">
        <f t="shared" si="1736"/>
        <v>40554</v>
      </c>
      <c r="D4164" s="4" t="s">
        <v>78</v>
      </c>
      <c r="E4164" s="4">
        <v>1.0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7"/>
        <v>40556</v>
      </c>
    </row>
    <row r="4165" ht="12.75" customHeight="1">
      <c r="A4165" s="4">
        <v>6533.0</v>
      </c>
      <c r="B4165" s="4">
        <v>46497.0</v>
      </c>
      <c r="C4165" s="5">
        <f>DATE(2012,12,31)-195</f>
        <v>41079</v>
      </c>
      <c r="D4165" s="4" t="s">
        <v>30</v>
      </c>
      <c r="E4165" s="4">
        <v>30.0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20.15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0.58</v>
      </c>
      <c r="U4165" s="5">
        <f t="shared" ref="U4165:U4167" si="1738">C4165+1</f>
        <v>41080</v>
      </c>
    </row>
    <row r="4166" ht="12.75" customHeight="1">
      <c r="A4166" s="4">
        <v>6651.0</v>
      </c>
      <c r="B4166" s="4">
        <v>47303.0</v>
      </c>
      <c r="C4166" s="5">
        <f t="shared" ref="C4166:C4168" si="1739">DATE(2012,12,31)-392</f>
        <v>40882</v>
      </c>
      <c r="D4166" s="4" t="s">
        <v>63</v>
      </c>
      <c r="E4166" s="4">
        <v>47.0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8"/>
        <v>40883</v>
      </c>
    </row>
    <row r="4167" ht="12.75" customHeight="1">
      <c r="A4167" s="4">
        <v>6652.0</v>
      </c>
      <c r="B4167" s="4">
        <v>47303.0</v>
      </c>
      <c r="C4167" s="5">
        <f t="shared" si="1739"/>
        <v>40882</v>
      </c>
      <c r="D4167" s="4" t="s">
        <v>63</v>
      </c>
      <c r="E4167" s="4">
        <v>7.0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8"/>
        <v>40883</v>
      </c>
    </row>
    <row r="4168" ht="12.75" customHeight="1">
      <c r="A4168" s="4">
        <v>6653.0</v>
      </c>
      <c r="B4168" s="4">
        <v>47303.0</v>
      </c>
      <c r="C4168" s="5">
        <f t="shared" si="1739"/>
        <v>40882</v>
      </c>
      <c r="D4168" s="4" t="s">
        <v>63</v>
      </c>
      <c r="E4168" s="4">
        <v>45.0</v>
      </c>
      <c r="F4168" s="4">
        <v>308.92</v>
      </c>
      <c r="G4168" s="4">
        <v>0.04</v>
      </c>
      <c r="H4168" s="4" t="s">
        <v>56</v>
      </c>
      <c r="I4168" s="6">
        <v>-143.58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40">C4168+2</f>
        <v>40884</v>
      </c>
    </row>
    <row r="4169" ht="12.75" customHeight="1">
      <c r="A4169" s="4">
        <v>6672.0</v>
      </c>
      <c r="B4169" s="4">
        <v>47492.0</v>
      </c>
      <c r="C4169" s="5">
        <f>DATE(2012,12,31)-527</f>
        <v>40747</v>
      </c>
      <c r="D4169" s="4" t="s">
        <v>30</v>
      </c>
      <c r="E4169" s="4">
        <v>22.0</v>
      </c>
      <c r="F4169" s="4">
        <v>649.71</v>
      </c>
      <c r="G4169" s="4">
        <v>0.07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40"/>
        <v>40749</v>
      </c>
    </row>
    <row r="4170" ht="12.75" customHeight="1">
      <c r="A4170" s="4">
        <v>6695.0</v>
      </c>
      <c r="B4170" s="4">
        <v>47682.0</v>
      </c>
      <c r="C4170" s="5">
        <f>DATE(2012,12,31)-45</f>
        <v>41229</v>
      </c>
      <c r="D4170" s="4" t="s">
        <v>45</v>
      </c>
      <c r="E4170" s="4">
        <v>38.0</v>
      </c>
      <c r="F4170" s="4">
        <v>3191.24</v>
      </c>
      <c r="G4170" s="4">
        <v>0.0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1">C4170+1</f>
        <v>41230</v>
      </c>
    </row>
    <row r="4171" ht="12.75" customHeight="1">
      <c r="A4171" s="4">
        <v>6807.0</v>
      </c>
      <c r="B4171" s="4">
        <v>48483.0</v>
      </c>
      <c r="C4171" s="5">
        <f>DATE(2012,12,31)-1117</f>
        <v>40157</v>
      </c>
      <c r="D4171" s="4" t="s">
        <v>78</v>
      </c>
      <c r="E4171" s="4">
        <v>18.0</v>
      </c>
      <c r="F4171" s="4">
        <v>47.55</v>
      </c>
      <c r="G4171" s="4">
        <v>0.0</v>
      </c>
      <c r="H4171" s="4" t="s">
        <v>56</v>
      </c>
      <c r="I4171" s="6">
        <v>10.01</v>
      </c>
      <c r="J4171" s="4">
        <v>2.21</v>
      </c>
      <c r="K4171" s="4">
        <v>1.0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1"/>
        <v>40158</v>
      </c>
    </row>
    <row r="4172" ht="12.75" customHeight="1">
      <c r="A4172" s="4">
        <v>6871.0</v>
      </c>
      <c r="B4172" s="4">
        <v>48961.0</v>
      </c>
      <c r="C4172" s="5">
        <f t="shared" ref="C4172:C4173" si="1742">DATE(2012,12,31)-1259</f>
        <v>40015</v>
      </c>
      <c r="D4172" s="4" t="s">
        <v>45</v>
      </c>
      <c r="E4172" s="4">
        <v>24.0</v>
      </c>
      <c r="F4172" s="4">
        <v>520.68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3">C4172+2</f>
        <v>40017</v>
      </c>
    </row>
    <row r="4173" ht="12.75" customHeight="1">
      <c r="A4173" s="4">
        <v>6872.0</v>
      </c>
      <c r="B4173" s="4">
        <v>48961.0</v>
      </c>
      <c r="C4173" s="5">
        <f t="shared" si="1742"/>
        <v>40015</v>
      </c>
      <c r="D4173" s="4" t="s">
        <v>45</v>
      </c>
      <c r="E4173" s="4">
        <v>25.0</v>
      </c>
      <c r="F4173" s="4">
        <v>358.78</v>
      </c>
      <c r="G4173" s="4">
        <v>0.1</v>
      </c>
      <c r="H4173" s="4" t="s">
        <v>56</v>
      </c>
      <c r="I4173" s="6">
        <v>-76.9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0.57</v>
      </c>
      <c r="U4173" s="5">
        <f t="shared" si="1743"/>
        <v>40017</v>
      </c>
    </row>
    <row r="4174" ht="12.75" customHeight="1">
      <c r="A4174" s="4">
        <v>6921.0</v>
      </c>
      <c r="B4174" s="4">
        <v>49350.0</v>
      </c>
      <c r="C4174" s="5">
        <f>DATE(2012,12,31)-131</f>
        <v>41143</v>
      </c>
      <c r="D4174" s="4" t="s">
        <v>30</v>
      </c>
      <c r="E4174" s="4">
        <v>50.0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3"/>
        <v>41145</v>
      </c>
    </row>
    <row r="4175" ht="12.75" customHeight="1">
      <c r="A4175" s="4">
        <v>6936.0</v>
      </c>
      <c r="B4175" s="4">
        <v>49505.0</v>
      </c>
      <c r="C4175" s="5">
        <f t="shared" ref="C4175:C4176" si="1744">DATE(2012,12,31)-1440</f>
        <v>39834</v>
      </c>
      <c r="D4175" s="4" t="s">
        <v>78</v>
      </c>
      <c r="E4175" s="4">
        <v>12.0</v>
      </c>
      <c r="F4175" s="4">
        <v>97.74</v>
      </c>
      <c r="G4175" s="4">
        <v>0.04</v>
      </c>
      <c r="H4175" s="4" t="s">
        <v>22</v>
      </c>
      <c r="I4175" s="6">
        <v>-8.4985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3"/>
        <v>39836</v>
      </c>
    </row>
    <row r="4176" ht="12.75" customHeight="1">
      <c r="A4176" s="4">
        <v>6937.0</v>
      </c>
      <c r="B4176" s="4">
        <v>49505.0</v>
      </c>
      <c r="C4176" s="5">
        <f t="shared" si="1744"/>
        <v>39834</v>
      </c>
      <c r="D4176" s="4" t="s">
        <v>78</v>
      </c>
      <c r="E4176" s="4">
        <v>34.0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9.78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5">C4176+1</f>
        <v>39835</v>
      </c>
    </row>
    <row r="4177" ht="12.75" customHeight="1">
      <c r="A4177" s="4">
        <v>6966.0</v>
      </c>
      <c r="B4177" s="4">
        <v>49797.0</v>
      </c>
      <c r="C4177" s="5">
        <f t="shared" ref="C4177:C4178" si="1746">DATE(2012,12,31)-664</f>
        <v>40610</v>
      </c>
      <c r="D4177" s="4" t="s">
        <v>45</v>
      </c>
      <c r="E4177" s="4">
        <v>27.0</v>
      </c>
      <c r="F4177" s="4">
        <v>341.1</v>
      </c>
      <c r="G4177" s="4">
        <v>0.0</v>
      </c>
      <c r="H4177" s="4" t="s">
        <v>22</v>
      </c>
      <c r="I4177" s="6">
        <v>-4.75</v>
      </c>
      <c r="J4177" s="4">
        <v>11.97</v>
      </c>
      <c r="K4177" s="4">
        <v>4.98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0.58</v>
      </c>
      <c r="U4177" s="5">
        <f t="shared" si="1745"/>
        <v>40611</v>
      </c>
    </row>
    <row r="4178" ht="12.75" customHeight="1">
      <c r="A4178" s="4">
        <v>6967.0</v>
      </c>
      <c r="B4178" s="4">
        <v>49797.0</v>
      </c>
      <c r="C4178" s="5">
        <f t="shared" si="1746"/>
        <v>40610</v>
      </c>
      <c r="D4178" s="4" t="s">
        <v>45</v>
      </c>
      <c r="E4178" s="4">
        <v>26.0</v>
      </c>
      <c r="F4178" s="4">
        <v>171.68</v>
      </c>
      <c r="G4178" s="4">
        <v>0.07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5"/>
        <v>40611</v>
      </c>
    </row>
    <row r="4179" ht="12.75" customHeight="1">
      <c r="A4179" s="4">
        <v>7007.0</v>
      </c>
      <c r="B4179" s="4">
        <v>50017.0</v>
      </c>
      <c r="C4179" s="5">
        <f t="shared" ref="C4179:C4180" si="1747">DATE(2012,12,31)-41</f>
        <v>41233</v>
      </c>
      <c r="D4179" s="4" t="s">
        <v>21</v>
      </c>
      <c r="E4179" s="4">
        <v>43.0</v>
      </c>
      <c r="F4179" s="4">
        <v>1502.47</v>
      </c>
      <c r="G4179" s="4">
        <v>0.07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</v>
      </c>
      <c r="U4179" s="5">
        <f>C4179+2</f>
        <v>41235</v>
      </c>
    </row>
    <row r="4180" ht="12.75" customHeight="1">
      <c r="A4180" s="4">
        <v>7008.0</v>
      </c>
      <c r="B4180" s="4">
        <v>50017.0</v>
      </c>
      <c r="C4180" s="5">
        <f t="shared" si="1747"/>
        <v>41233</v>
      </c>
      <c r="D4180" s="4" t="s">
        <v>21</v>
      </c>
      <c r="E4180" s="4">
        <v>24.0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35.0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8">C4180+0</f>
        <v>41233</v>
      </c>
    </row>
    <row r="4181" ht="12.75" customHeight="1">
      <c r="A4181" s="4">
        <v>7013.0</v>
      </c>
      <c r="B4181" s="4">
        <v>50051.0</v>
      </c>
      <c r="C4181" s="5">
        <f>DATE(2012,12,31)-1184</f>
        <v>40090</v>
      </c>
      <c r="D4181" s="4" t="s">
        <v>63</v>
      </c>
      <c r="E4181" s="4">
        <v>15.0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</v>
      </c>
      <c r="U4181" s="5">
        <f t="shared" si="1748"/>
        <v>40090</v>
      </c>
    </row>
    <row r="4182" ht="12.75" customHeight="1">
      <c r="A4182" s="4">
        <v>7019.0</v>
      </c>
      <c r="B4182" s="4">
        <v>50083.0</v>
      </c>
      <c r="C4182" s="5">
        <f>DATE(2012,12,31)-633</f>
        <v>40641</v>
      </c>
      <c r="D4182" s="4" t="s">
        <v>45</v>
      </c>
      <c r="E4182" s="4">
        <v>33.0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ht="12.75" customHeight="1">
      <c r="A4183" s="4">
        <v>7047.0</v>
      </c>
      <c r="B4183" s="4">
        <v>50307.0</v>
      </c>
      <c r="C4183" s="5">
        <f t="shared" ref="C4183:C4184" si="1749">DATE(2012,12,31)-808</f>
        <v>40466</v>
      </c>
      <c r="D4183" s="4" t="s">
        <v>21</v>
      </c>
      <c r="E4183" s="4">
        <v>31.0</v>
      </c>
      <c r="F4183" s="4">
        <v>536.83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ht="12.75" customHeight="1">
      <c r="A4184" s="4">
        <v>7048.0</v>
      </c>
      <c r="B4184" s="4">
        <v>50307.0</v>
      </c>
      <c r="C4184" s="5">
        <f t="shared" si="1749"/>
        <v>40466</v>
      </c>
      <c r="D4184" s="4" t="s">
        <v>21</v>
      </c>
      <c r="E4184" s="4">
        <v>32.0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ht="12.75" customHeight="1">
      <c r="A4185" s="4">
        <v>7102.0</v>
      </c>
      <c r="B4185" s="4">
        <v>50663.0</v>
      </c>
      <c r="C4185" s="5">
        <f>DATE(2012,12,31)-783</f>
        <v>40491</v>
      </c>
      <c r="D4185" s="4" t="s">
        <v>78</v>
      </c>
      <c r="E4185" s="4">
        <v>26.0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49.0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ht="12.75" customHeight="1">
      <c r="A4186" s="4">
        <v>7137.0</v>
      </c>
      <c r="B4186" s="4">
        <v>50917.0</v>
      </c>
      <c r="C4186" s="5">
        <f>DATE(2012,12,31)-1259</f>
        <v>40015</v>
      </c>
      <c r="D4186" s="4" t="s">
        <v>21</v>
      </c>
      <c r="E4186" s="4">
        <v>33.0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ht="12.75" customHeight="1">
      <c r="A4187" s="4">
        <v>7145.0</v>
      </c>
      <c r="B4187" s="4">
        <v>50981.0</v>
      </c>
      <c r="C4187" s="5">
        <f>DATE(2012,12,31)-1245</f>
        <v>40029</v>
      </c>
      <c r="D4187" s="4" t="s">
        <v>78</v>
      </c>
      <c r="E4187" s="4">
        <v>42.0</v>
      </c>
      <c r="F4187" s="4">
        <v>5678.5525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0.58</v>
      </c>
      <c r="U4187" s="5">
        <f t="shared" ref="U4187:U4188" si="1750">C4187+0</f>
        <v>40029</v>
      </c>
    </row>
    <row r="4188" ht="12.75" customHeight="1">
      <c r="A4188" s="4">
        <v>7165.0</v>
      </c>
      <c r="B4188" s="4">
        <v>51140.0</v>
      </c>
      <c r="C4188" s="5">
        <f t="shared" ref="C4188:C4190" si="1751">DATE(2012,12,31)-108</f>
        <v>41166</v>
      </c>
      <c r="D4188" s="4" t="s">
        <v>21</v>
      </c>
      <c r="E4188" s="4">
        <v>28.0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50"/>
        <v>41166</v>
      </c>
    </row>
    <row r="4189" ht="12.75" customHeight="1">
      <c r="A4189" s="4">
        <v>7166.0</v>
      </c>
      <c r="B4189" s="4">
        <v>51140.0</v>
      </c>
      <c r="C4189" s="5">
        <f t="shared" si="1751"/>
        <v>41166</v>
      </c>
      <c r="D4189" s="4" t="s">
        <v>21</v>
      </c>
      <c r="E4189" s="4">
        <v>14.0</v>
      </c>
      <c r="F4189" s="4">
        <v>626.33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</v>
      </c>
      <c r="U4189" s="5">
        <f>C4189+4</f>
        <v>41170</v>
      </c>
    </row>
    <row r="4190" ht="12.75" customHeight="1">
      <c r="A4190" s="4">
        <v>7167.0</v>
      </c>
      <c r="B4190" s="4">
        <v>51140.0</v>
      </c>
      <c r="C4190" s="5">
        <f t="shared" si="1751"/>
        <v>41166</v>
      </c>
      <c r="D4190" s="4" t="s">
        <v>21</v>
      </c>
      <c r="E4190" s="4">
        <v>3.0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136.98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ht="12.75" customHeight="1">
      <c r="A4191" s="4">
        <v>7177.0</v>
      </c>
      <c r="B4191" s="4">
        <v>51205.0</v>
      </c>
      <c r="C4191" s="5">
        <f t="shared" ref="C4191:C4192" si="1752">DATE(2012,12,31)-21</f>
        <v>41253</v>
      </c>
      <c r="D4191" s="4" t="s">
        <v>30</v>
      </c>
      <c r="E4191" s="4">
        <v>17.0</v>
      </c>
      <c r="F4191" s="4">
        <v>233.01</v>
      </c>
      <c r="G4191" s="4">
        <v>0.04</v>
      </c>
      <c r="H4191" s="4" t="s">
        <v>56</v>
      </c>
      <c r="I4191" s="6">
        <v>88.8845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3">C4191+1</f>
        <v>41254</v>
      </c>
    </row>
    <row r="4192" ht="12.75" customHeight="1">
      <c r="A4192" s="4">
        <v>7178.0</v>
      </c>
      <c r="B4192" s="4">
        <v>51205.0</v>
      </c>
      <c r="C4192" s="5">
        <f t="shared" si="1752"/>
        <v>41253</v>
      </c>
      <c r="D4192" s="4" t="s">
        <v>30</v>
      </c>
      <c r="E4192" s="4">
        <v>5.0</v>
      </c>
      <c r="F4192" s="4">
        <v>225.72</v>
      </c>
      <c r="G4192" s="4">
        <v>0.0</v>
      </c>
      <c r="H4192" s="4" t="s">
        <v>22</v>
      </c>
      <c r="I4192" s="6">
        <v>16.65</v>
      </c>
      <c r="J4192" s="4">
        <v>39.98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3"/>
        <v>41254</v>
      </c>
    </row>
    <row r="4193" ht="12.75" customHeight="1">
      <c r="A4193" s="4">
        <v>7180.0</v>
      </c>
      <c r="B4193" s="4">
        <v>51237.0</v>
      </c>
      <c r="C4193" s="5">
        <f>DATE(2012,12,31)-296</f>
        <v>40978</v>
      </c>
      <c r="D4193" s="4" t="s">
        <v>63</v>
      </c>
      <c r="E4193" s="4">
        <v>26.0</v>
      </c>
      <c r="F4193" s="4">
        <v>4769.0695</v>
      </c>
      <c r="G4193" s="4">
        <v>0.03</v>
      </c>
      <c r="H4193" s="4" t="s">
        <v>22</v>
      </c>
      <c r="I4193" s="6">
        <v>1138.581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ht="12.75" customHeight="1">
      <c r="A4194" s="4">
        <v>7236.0</v>
      </c>
      <c r="B4194" s="4">
        <v>51619.0</v>
      </c>
      <c r="C4194" s="5">
        <f t="shared" ref="C4194:C4197" si="1754">DATE(2012,12,31)-1216</f>
        <v>40058</v>
      </c>
      <c r="D4194" s="4" t="s">
        <v>45</v>
      </c>
      <c r="E4194" s="4">
        <v>46.0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1.0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5">C4194+1</f>
        <v>40059</v>
      </c>
    </row>
    <row r="4195" ht="12.75" customHeight="1">
      <c r="A4195" s="4">
        <v>7237.0</v>
      </c>
      <c r="B4195" s="4">
        <v>51619.0</v>
      </c>
      <c r="C4195" s="5">
        <f t="shared" si="1754"/>
        <v>40058</v>
      </c>
      <c r="D4195" s="4" t="s">
        <v>45</v>
      </c>
      <c r="E4195" s="4">
        <v>6.0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19.99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5"/>
        <v>40059</v>
      </c>
    </row>
    <row r="4196" ht="12.75" customHeight="1">
      <c r="A4196" s="4">
        <v>7238.0</v>
      </c>
      <c r="B4196" s="4">
        <v>51619.0</v>
      </c>
      <c r="C4196" s="5">
        <f t="shared" si="1754"/>
        <v>40058</v>
      </c>
      <c r="D4196" s="4" t="s">
        <v>45</v>
      </c>
      <c r="E4196" s="4">
        <v>2.0</v>
      </c>
      <c r="F4196" s="4">
        <v>14.75</v>
      </c>
      <c r="G4196" s="4">
        <v>0.07</v>
      </c>
      <c r="H4196" s="4" t="s">
        <v>22</v>
      </c>
      <c r="I4196" s="6">
        <v>-11.4195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ht="12.75" customHeight="1">
      <c r="A4197" s="4">
        <v>7239.0</v>
      </c>
      <c r="B4197" s="4">
        <v>51619.0</v>
      </c>
      <c r="C4197" s="5">
        <f t="shared" si="1754"/>
        <v>40058</v>
      </c>
      <c r="D4197" s="4" t="s">
        <v>45</v>
      </c>
      <c r="E4197" s="4">
        <v>31.0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6">C4197+1</f>
        <v>40059</v>
      </c>
    </row>
    <row r="4198" ht="12.75" customHeight="1">
      <c r="A4198" s="4">
        <v>7250.0</v>
      </c>
      <c r="B4198" s="4">
        <v>51713.0</v>
      </c>
      <c r="C4198" s="5">
        <f>DATE(2012,12,31)-653</f>
        <v>40621</v>
      </c>
      <c r="D4198" s="4" t="s">
        <v>45</v>
      </c>
      <c r="E4198" s="4">
        <v>35.0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6"/>
        <v>40622</v>
      </c>
    </row>
    <row r="4199" ht="12.75" customHeight="1">
      <c r="A4199" s="4">
        <v>7296.0</v>
      </c>
      <c r="B4199" s="4">
        <v>52007.0</v>
      </c>
      <c r="C4199" s="5">
        <f t="shared" ref="C4199:C4200" si="1757">DATE(2012,12,31)-261</f>
        <v>41013</v>
      </c>
      <c r="D4199" s="4" t="s">
        <v>63</v>
      </c>
      <c r="E4199" s="4">
        <v>25.0</v>
      </c>
      <c r="F4199" s="4">
        <v>68.54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ht="12.75" customHeight="1">
      <c r="A4200" s="4">
        <v>7297.0</v>
      </c>
      <c r="B4200" s="4">
        <v>52007.0</v>
      </c>
      <c r="C4200" s="5">
        <f t="shared" si="1757"/>
        <v>41013</v>
      </c>
      <c r="D4200" s="4" t="s">
        <v>63</v>
      </c>
      <c r="E4200" s="4">
        <v>19.0</v>
      </c>
      <c r="F4200" s="4">
        <v>10351.01</v>
      </c>
      <c r="G4200" s="4">
        <v>0.08</v>
      </c>
      <c r="H4200" s="4" t="s">
        <v>31</v>
      </c>
      <c r="I4200" s="6">
        <v>-1331.553366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ht="12.75" customHeight="1">
      <c r="A4201" s="4">
        <v>7317.0</v>
      </c>
      <c r="B4201" s="4">
        <v>52164.0</v>
      </c>
      <c r="C4201" s="5">
        <f>DATE(2012,12,31)-262</f>
        <v>41012</v>
      </c>
      <c r="D4201" s="4" t="s">
        <v>45</v>
      </c>
      <c r="E4201" s="4">
        <v>30.0</v>
      </c>
      <c r="F4201" s="4">
        <v>1824.848</v>
      </c>
      <c r="G4201" s="4">
        <v>0.0</v>
      </c>
      <c r="H4201" s="4" t="s">
        <v>22</v>
      </c>
      <c r="I4201" s="6">
        <v>364.23</v>
      </c>
      <c r="J4201" s="4">
        <v>65.99</v>
      </c>
      <c r="K4201" s="4">
        <v>8.8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0.58</v>
      </c>
      <c r="U4201" s="5">
        <f t="shared" ref="U4201:U4203" si="1758">C4201+2</f>
        <v>41014</v>
      </c>
    </row>
    <row r="4202" ht="12.75" customHeight="1">
      <c r="A4202" s="4">
        <v>7367.0</v>
      </c>
      <c r="B4202" s="4">
        <v>52512.0</v>
      </c>
      <c r="C4202" s="5">
        <f t="shared" ref="C4202:C4203" si="1759">DATE(2012,12,31)-543</f>
        <v>40731</v>
      </c>
      <c r="D4202" s="4" t="s">
        <v>30</v>
      </c>
      <c r="E4202" s="4">
        <v>4.0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0.58</v>
      </c>
      <c r="U4202" s="5">
        <f t="shared" si="1758"/>
        <v>40733</v>
      </c>
    </row>
    <row r="4203" ht="12.75" customHeight="1">
      <c r="A4203" s="4">
        <v>7368.0</v>
      </c>
      <c r="B4203" s="4">
        <v>52512.0</v>
      </c>
      <c r="C4203" s="5">
        <f t="shared" si="1759"/>
        <v>40731</v>
      </c>
      <c r="D4203" s="4" t="s">
        <v>30</v>
      </c>
      <c r="E4203" s="4">
        <v>32.0</v>
      </c>
      <c r="F4203" s="4">
        <v>197.49</v>
      </c>
      <c r="G4203" s="4">
        <v>0.08</v>
      </c>
      <c r="H4203" s="4" t="s">
        <v>56</v>
      </c>
      <c r="I4203" s="6">
        <v>-52.8425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8"/>
        <v>40733</v>
      </c>
    </row>
    <row r="4204" ht="12.75" customHeight="1">
      <c r="A4204" s="4">
        <v>7379.0</v>
      </c>
      <c r="B4204" s="4">
        <v>52611.0</v>
      </c>
      <c r="C4204" s="5">
        <f>DATE(2012,12,31)-616</f>
        <v>40658</v>
      </c>
      <c r="D4204" s="4" t="s">
        <v>63</v>
      </c>
      <c r="E4204" s="4">
        <v>11.0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60">C4204+0</f>
        <v>40658</v>
      </c>
    </row>
    <row r="4205" ht="12.75" customHeight="1">
      <c r="A4205" s="4">
        <v>7403.0</v>
      </c>
      <c r="B4205" s="4">
        <v>52805.0</v>
      </c>
      <c r="C4205" s="5">
        <f>DATE(2012,12,31)-460</f>
        <v>40814</v>
      </c>
      <c r="D4205" s="4" t="s">
        <v>30</v>
      </c>
      <c r="E4205" s="4">
        <v>20.0</v>
      </c>
      <c r="F4205" s="4">
        <v>596.56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60"/>
        <v>40814</v>
      </c>
    </row>
    <row r="4206" ht="12.75" customHeight="1">
      <c r="A4206" s="4">
        <v>7405.0</v>
      </c>
      <c r="B4206" s="4">
        <v>52833.0</v>
      </c>
      <c r="C4206" s="5">
        <f>DATE(2012,12,31)-373</f>
        <v>40901</v>
      </c>
      <c r="D4206" s="4" t="s">
        <v>63</v>
      </c>
      <c r="E4206" s="4">
        <v>8.0</v>
      </c>
      <c r="F4206" s="4">
        <v>317.82</v>
      </c>
      <c r="G4206" s="4">
        <v>0.02</v>
      </c>
      <c r="H4206" s="4" t="s">
        <v>22</v>
      </c>
      <c r="I4206" s="6">
        <v>-33.09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0.57</v>
      </c>
      <c r="U4206" s="5">
        <f>C4206+1</f>
        <v>40902</v>
      </c>
    </row>
    <row r="4207" ht="12.75" customHeight="1">
      <c r="A4207" s="4">
        <v>7423.0</v>
      </c>
      <c r="B4207" s="4">
        <v>52930.0</v>
      </c>
      <c r="C4207" s="5">
        <f t="shared" ref="C4207:C4210" si="1761">DATE(2012,12,31)-419</f>
        <v>40855</v>
      </c>
      <c r="D4207" s="4" t="s">
        <v>21</v>
      </c>
      <c r="E4207" s="4">
        <v>16.0</v>
      </c>
      <c r="F4207" s="4">
        <v>136.98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ht="12.75" customHeight="1">
      <c r="A4208" s="4">
        <v>7424.0</v>
      </c>
      <c r="B4208" s="4">
        <v>52930.0</v>
      </c>
      <c r="C4208" s="5">
        <f t="shared" si="1761"/>
        <v>40855</v>
      </c>
      <c r="D4208" s="4" t="s">
        <v>21</v>
      </c>
      <c r="E4208" s="4">
        <v>39.0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ht="12.75" customHeight="1">
      <c r="A4209" s="4">
        <v>7425.0</v>
      </c>
      <c r="B4209" s="4">
        <v>52930.0</v>
      </c>
      <c r="C4209" s="5">
        <f t="shared" si="1761"/>
        <v>40855</v>
      </c>
      <c r="D4209" s="4" t="s">
        <v>21</v>
      </c>
      <c r="E4209" s="4">
        <v>24.0</v>
      </c>
      <c r="F4209" s="4">
        <v>1112.157</v>
      </c>
      <c r="G4209" s="4">
        <v>0.09</v>
      </c>
      <c r="H4209" s="4" t="s">
        <v>22</v>
      </c>
      <c r="I4209" s="6">
        <v>140.805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2">C4209+0</f>
        <v>40855</v>
      </c>
    </row>
    <row r="4210" ht="12.75" customHeight="1">
      <c r="A4210" s="4">
        <v>7426.0</v>
      </c>
      <c r="B4210" s="4">
        <v>52930.0</v>
      </c>
      <c r="C4210" s="5">
        <f t="shared" si="1761"/>
        <v>40855</v>
      </c>
      <c r="D4210" s="4" t="s">
        <v>21</v>
      </c>
      <c r="E4210" s="4">
        <v>40.0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2"/>
        <v>40855</v>
      </c>
    </row>
    <row r="4211" ht="12.75" customHeight="1">
      <c r="A4211" s="4">
        <v>7446.0</v>
      </c>
      <c r="B4211" s="4">
        <v>53127.0</v>
      </c>
      <c r="C4211" s="5">
        <f t="shared" ref="C4211:C4212" si="1763">DATE(2012,12,31)-600</f>
        <v>40674</v>
      </c>
      <c r="D4211" s="4" t="s">
        <v>30</v>
      </c>
      <c r="E4211" s="4">
        <v>50.0</v>
      </c>
      <c r="F4211" s="4">
        <v>1893.29</v>
      </c>
      <c r="G4211" s="4">
        <v>0.07</v>
      </c>
      <c r="H4211" s="4" t="s">
        <v>22</v>
      </c>
      <c r="I4211" s="6">
        <v>857.344</v>
      </c>
      <c r="J4211" s="4">
        <v>37.7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ht="12.75" customHeight="1">
      <c r="A4212" s="4">
        <v>7447.0</v>
      </c>
      <c r="B4212" s="4">
        <v>53127.0</v>
      </c>
      <c r="C4212" s="5">
        <f t="shared" si="1763"/>
        <v>40674</v>
      </c>
      <c r="D4212" s="4" t="s">
        <v>30</v>
      </c>
      <c r="E4212" s="4">
        <v>49.0</v>
      </c>
      <c r="F4212" s="4">
        <v>2628.047</v>
      </c>
      <c r="G4212" s="4">
        <v>0.05</v>
      </c>
      <c r="H4212" s="4" t="s">
        <v>22</v>
      </c>
      <c r="I4212" s="6">
        <v>-137.951</v>
      </c>
      <c r="J4212" s="4">
        <v>65.99</v>
      </c>
      <c r="K4212" s="4">
        <v>19.99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ht="12.75" customHeight="1">
      <c r="A4213" s="4">
        <v>7472.0</v>
      </c>
      <c r="B4213" s="4">
        <v>53349.0</v>
      </c>
      <c r="C4213" s="5">
        <f>DATE(2012,12,31)-996</f>
        <v>40278</v>
      </c>
      <c r="D4213" s="4" t="s">
        <v>21</v>
      </c>
      <c r="E4213" s="4">
        <v>46.0</v>
      </c>
      <c r="F4213" s="4">
        <v>11002.66</v>
      </c>
      <c r="G4213" s="4">
        <v>0.07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</v>
      </c>
      <c r="U4213" s="5">
        <f>C4213+9</f>
        <v>40287</v>
      </c>
    </row>
    <row r="4214" ht="12.75" customHeight="1">
      <c r="A4214" s="4">
        <v>7489.0</v>
      </c>
      <c r="B4214" s="4">
        <v>53476.0</v>
      </c>
      <c r="C4214" s="5">
        <f t="shared" ref="C4214:C4217" si="1764">DATE(2012,12,31)-1299</f>
        <v>39975</v>
      </c>
      <c r="D4214" s="4" t="s">
        <v>45</v>
      </c>
      <c r="E4214" s="4">
        <v>14.0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ht="12.75" customHeight="1">
      <c r="A4215" s="4">
        <v>7490.0</v>
      </c>
      <c r="B4215" s="4">
        <v>53476.0</v>
      </c>
      <c r="C4215" s="5">
        <f t="shared" si="1764"/>
        <v>39975</v>
      </c>
      <c r="D4215" s="4" t="s">
        <v>45</v>
      </c>
      <c r="E4215" s="4">
        <v>24.0</v>
      </c>
      <c r="F4215" s="4">
        <v>93.85</v>
      </c>
      <c r="G4215" s="4">
        <v>0.08</v>
      </c>
      <c r="H4215" s="4" t="s">
        <v>22</v>
      </c>
      <c r="I4215" s="6">
        <v>19.42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ht="12.75" customHeight="1">
      <c r="A4216" s="4">
        <v>7491.0</v>
      </c>
      <c r="B4216" s="4">
        <v>53476.0</v>
      </c>
      <c r="C4216" s="5">
        <f t="shared" si="1764"/>
        <v>39975</v>
      </c>
      <c r="D4216" s="4" t="s">
        <v>45</v>
      </c>
      <c r="E4216" s="4">
        <v>47.0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</v>
      </c>
      <c r="U4216" s="5">
        <f>C4216+1</f>
        <v>39976</v>
      </c>
    </row>
    <row r="4217" ht="12.75" customHeight="1">
      <c r="A4217" s="4">
        <v>7492.0</v>
      </c>
      <c r="B4217" s="4">
        <v>53476.0</v>
      </c>
      <c r="C4217" s="5">
        <f t="shared" si="1764"/>
        <v>39975</v>
      </c>
      <c r="D4217" s="4" t="s">
        <v>45</v>
      </c>
      <c r="E4217" s="4">
        <v>42.0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19.99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ht="12.75" customHeight="1">
      <c r="A4218" s="4">
        <v>7518.0</v>
      </c>
      <c r="B4218" s="4">
        <v>53671.0</v>
      </c>
      <c r="C4218" s="5">
        <f t="shared" ref="C4218:C4220" si="1765">DATE(2012,12,31)-570</f>
        <v>40704</v>
      </c>
      <c r="D4218" s="4" t="s">
        <v>63</v>
      </c>
      <c r="E4218" s="4">
        <v>41.0</v>
      </c>
      <c r="F4218" s="4">
        <v>236.68</v>
      </c>
      <c r="G4218" s="4">
        <v>0.08</v>
      </c>
      <c r="H4218" s="4" t="s">
        <v>22</v>
      </c>
      <c r="I4218" s="6">
        <v>-82.7885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6">C4218+1</f>
        <v>40705</v>
      </c>
    </row>
    <row r="4219" ht="12.75" customHeight="1">
      <c r="A4219" s="4">
        <v>7519.0</v>
      </c>
      <c r="B4219" s="4">
        <v>53671.0</v>
      </c>
      <c r="C4219" s="5">
        <f t="shared" si="1765"/>
        <v>40704</v>
      </c>
      <c r="D4219" s="4" t="s">
        <v>63</v>
      </c>
      <c r="E4219" s="4">
        <v>43.0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19.99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6"/>
        <v>40705</v>
      </c>
    </row>
    <row r="4220" ht="12.75" customHeight="1">
      <c r="A4220" s="4">
        <v>7520.0</v>
      </c>
      <c r="B4220" s="4">
        <v>53671.0</v>
      </c>
      <c r="C4220" s="5">
        <f t="shared" si="1765"/>
        <v>40704</v>
      </c>
      <c r="D4220" s="4" t="s">
        <v>63</v>
      </c>
      <c r="E4220" s="4">
        <v>39.0</v>
      </c>
      <c r="F4220" s="4">
        <v>616.5</v>
      </c>
      <c r="G4220" s="4">
        <v>0.02</v>
      </c>
      <c r="H4220" s="4" t="s">
        <v>22</v>
      </c>
      <c r="I4220" s="6">
        <v>25.993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6"/>
        <v>40705</v>
      </c>
    </row>
    <row r="4221" ht="12.75" customHeight="1">
      <c r="A4221" s="4">
        <v>7526.0</v>
      </c>
      <c r="B4221" s="4">
        <v>53766.0</v>
      </c>
      <c r="C4221" s="5">
        <f>DATE(2012,12,31)-1175</f>
        <v>40099</v>
      </c>
      <c r="D4221" s="4" t="s">
        <v>45</v>
      </c>
      <c r="E4221" s="4">
        <v>22.0</v>
      </c>
      <c r="F4221" s="4">
        <v>3122.55</v>
      </c>
      <c r="G4221" s="4">
        <v>0.07</v>
      </c>
      <c r="H4221" s="4" t="s">
        <v>31</v>
      </c>
      <c r="I4221" s="6">
        <v>-574.5597</v>
      </c>
      <c r="J4221" s="4">
        <v>145.98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6"/>
        <v>40100</v>
      </c>
    </row>
    <row r="4222" ht="12.75" customHeight="1">
      <c r="A4222" s="4">
        <v>7528.0</v>
      </c>
      <c r="B4222" s="4">
        <v>53795.0</v>
      </c>
      <c r="C4222" s="5">
        <f t="shared" ref="C4222:C4223" si="1767">DATE(2012,12,31)-336</f>
        <v>40938</v>
      </c>
      <c r="D4222" s="4" t="s">
        <v>30</v>
      </c>
      <c r="E4222" s="4">
        <v>40.0</v>
      </c>
      <c r="F4222" s="4">
        <v>264.6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6"/>
        <v>40939</v>
      </c>
    </row>
    <row r="4223" ht="12.75" customHeight="1">
      <c r="A4223" s="4">
        <v>7529.0</v>
      </c>
      <c r="B4223" s="4">
        <v>53795.0</v>
      </c>
      <c r="C4223" s="5">
        <f t="shared" si="1767"/>
        <v>40938</v>
      </c>
      <c r="D4223" s="4" t="s">
        <v>30</v>
      </c>
      <c r="E4223" s="4">
        <v>21.0</v>
      </c>
      <c r="F4223" s="4">
        <v>3356.7349999999997</v>
      </c>
      <c r="G4223" s="4">
        <v>0.05</v>
      </c>
      <c r="H4223" s="4" t="s">
        <v>22</v>
      </c>
      <c r="I4223" s="6">
        <v>370.332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8">C4223+2</f>
        <v>40940</v>
      </c>
    </row>
    <row r="4224" ht="12.75" customHeight="1">
      <c r="A4224" s="4">
        <v>7579.0</v>
      </c>
      <c r="B4224" s="4">
        <v>54209.0</v>
      </c>
      <c r="C4224" s="5">
        <f>DATE(2012,12,31)-138</f>
        <v>41136</v>
      </c>
      <c r="D4224" s="4" t="s">
        <v>63</v>
      </c>
      <c r="E4224" s="4">
        <v>21.0</v>
      </c>
      <c r="F4224" s="4">
        <v>664.989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8"/>
        <v>41138</v>
      </c>
    </row>
    <row r="4225" ht="12.75" customHeight="1">
      <c r="A4225" s="4">
        <v>7599.0</v>
      </c>
      <c r="B4225" s="4">
        <v>54369.0</v>
      </c>
      <c r="C4225" s="5">
        <f>DATE(2012,12,31)-1400</f>
        <v>39874</v>
      </c>
      <c r="D4225" s="4" t="s">
        <v>45</v>
      </c>
      <c r="E4225" s="4">
        <v>47.0</v>
      </c>
      <c r="F4225" s="4">
        <v>421.08</v>
      </c>
      <c r="G4225" s="4">
        <v>0.0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8"/>
        <v>39876</v>
      </c>
    </row>
    <row r="4226" ht="12.75" customHeight="1">
      <c r="A4226" s="4">
        <v>7652.0</v>
      </c>
      <c r="B4226" s="4">
        <v>54850.0</v>
      </c>
      <c r="C4226" s="5">
        <f t="shared" ref="C4226:C4227" si="1769">DATE(2012,12,31)-738</f>
        <v>40536</v>
      </c>
      <c r="D4226" s="4" t="s">
        <v>45</v>
      </c>
      <c r="E4226" s="4">
        <v>16.0</v>
      </c>
      <c r="F4226" s="4">
        <v>2834.96</v>
      </c>
      <c r="G4226" s="4">
        <v>0.07</v>
      </c>
      <c r="H4226" s="4" t="s">
        <v>22</v>
      </c>
      <c r="I4226" s="6">
        <v>587.64</v>
      </c>
      <c r="J4226" s="4">
        <v>178.47</v>
      </c>
      <c r="K4226" s="4">
        <v>19.99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</v>
      </c>
      <c r="U4226" s="5">
        <f>C4226+0</f>
        <v>40536</v>
      </c>
    </row>
    <row r="4227" ht="12.75" customHeight="1">
      <c r="A4227" s="4">
        <v>7653.0</v>
      </c>
      <c r="B4227" s="4">
        <v>54850.0</v>
      </c>
      <c r="C4227" s="5">
        <f t="shared" si="1769"/>
        <v>40536</v>
      </c>
      <c r="D4227" s="4" t="s">
        <v>45</v>
      </c>
      <c r="E4227" s="4">
        <v>9.0</v>
      </c>
      <c r="F4227" s="4">
        <v>953.9889999999999</v>
      </c>
      <c r="G4227" s="4">
        <v>0.02</v>
      </c>
      <c r="H4227" s="4" t="s">
        <v>22</v>
      </c>
      <c r="I4227" s="6">
        <v>-249.326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0.57</v>
      </c>
      <c r="U4227" s="5">
        <f t="shared" ref="U4227:U4230" si="1770">C4227+1</f>
        <v>40537</v>
      </c>
    </row>
    <row r="4228" ht="12.75" customHeight="1">
      <c r="A4228" s="4">
        <v>7666.0</v>
      </c>
      <c r="B4228" s="4">
        <v>54950.0</v>
      </c>
      <c r="C4228" s="5">
        <f t="shared" ref="C4228:C4229" si="1771">DATE(2012,12,31)-757</f>
        <v>40517</v>
      </c>
      <c r="D4228" s="4" t="s">
        <v>30</v>
      </c>
      <c r="E4228" s="4">
        <v>26.0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0.58</v>
      </c>
      <c r="U4228" s="5">
        <f t="shared" si="1770"/>
        <v>40518</v>
      </c>
    </row>
    <row r="4229" ht="12.75" customHeight="1">
      <c r="A4229" s="4">
        <v>7667.0</v>
      </c>
      <c r="B4229" s="4">
        <v>54950.0</v>
      </c>
      <c r="C4229" s="5">
        <f t="shared" si="1771"/>
        <v>40517</v>
      </c>
      <c r="D4229" s="4" t="s">
        <v>30</v>
      </c>
      <c r="E4229" s="4">
        <v>22.0</v>
      </c>
      <c r="F4229" s="4">
        <v>8789.54</v>
      </c>
      <c r="G4229" s="4">
        <v>0.07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70"/>
        <v>40518</v>
      </c>
    </row>
    <row r="4230" ht="12.75" customHeight="1">
      <c r="A4230" s="4">
        <v>7697.0</v>
      </c>
      <c r="B4230" s="4">
        <v>55172.0</v>
      </c>
      <c r="C4230" s="5">
        <f>DATE(2012,12,31)-759</f>
        <v>40515</v>
      </c>
      <c r="D4230" s="4" t="s">
        <v>45</v>
      </c>
      <c r="E4230" s="4">
        <v>1.0</v>
      </c>
      <c r="F4230" s="4">
        <v>37.89</v>
      </c>
      <c r="G4230" s="4">
        <v>0.0</v>
      </c>
      <c r="H4230" s="4" t="s">
        <v>22</v>
      </c>
      <c r="I4230" s="6">
        <v>-120.97</v>
      </c>
      <c r="J4230" s="4">
        <v>35.41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70"/>
        <v>40516</v>
      </c>
    </row>
    <row r="4231" ht="12.75" customHeight="1">
      <c r="A4231" s="4">
        <v>7706.0</v>
      </c>
      <c r="B4231" s="4">
        <v>55235.0</v>
      </c>
      <c r="C4231" s="5">
        <f>DATE(2012,12,31)-817</f>
        <v>40457</v>
      </c>
      <c r="D4231" s="4" t="s">
        <v>21</v>
      </c>
      <c r="E4231" s="4">
        <v>33.0</v>
      </c>
      <c r="F4231" s="4">
        <v>2532.6175000000003</v>
      </c>
      <c r="G4231" s="4">
        <v>0.0</v>
      </c>
      <c r="H4231" s="4" t="s">
        <v>22</v>
      </c>
      <c r="I4231" s="6">
        <v>730.512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0.58</v>
      </c>
      <c r="U4231" s="5">
        <f t="shared" ref="U4231:U4232" si="1772">C4231+2</f>
        <v>40459</v>
      </c>
    </row>
    <row r="4232" ht="12.75" customHeight="1">
      <c r="A4232" s="4">
        <v>7718.0</v>
      </c>
      <c r="B4232" s="4">
        <v>55300.0</v>
      </c>
      <c r="C4232" s="5">
        <f t="shared" ref="C4232:C4234" si="1773">DATE(2012,12,31)-1410</f>
        <v>39864</v>
      </c>
      <c r="D4232" s="4" t="s">
        <v>30</v>
      </c>
      <c r="E4232" s="4">
        <v>37.0</v>
      </c>
      <c r="F4232" s="4">
        <v>159.89</v>
      </c>
      <c r="G4232" s="4">
        <v>0.03</v>
      </c>
      <c r="H4232" s="4" t="s">
        <v>22</v>
      </c>
      <c r="I4232" s="6">
        <v>-185.17</v>
      </c>
      <c r="J4232" s="4">
        <v>4.06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2"/>
        <v>39866</v>
      </c>
    </row>
    <row r="4233" ht="12.75" customHeight="1">
      <c r="A4233" s="4">
        <v>7719.0</v>
      </c>
      <c r="B4233" s="4">
        <v>55300.0</v>
      </c>
      <c r="C4233" s="5">
        <f t="shared" si="1773"/>
        <v>39864</v>
      </c>
      <c r="D4233" s="4" t="s">
        <v>30</v>
      </c>
      <c r="E4233" s="4">
        <v>48.0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ht="12.75" customHeight="1">
      <c r="A4234" s="4">
        <v>7720.0</v>
      </c>
      <c r="B4234" s="4">
        <v>55300.0</v>
      </c>
      <c r="C4234" s="5">
        <f t="shared" si="1773"/>
        <v>39864</v>
      </c>
      <c r="D4234" s="4" t="s">
        <v>30</v>
      </c>
      <c r="E4234" s="4">
        <v>31.0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ht="12.75" customHeight="1">
      <c r="A4235" s="4">
        <v>7736.0</v>
      </c>
      <c r="B4235" s="4">
        <v>55398.0</v>
      </c>
      <c r="C4235" s="5">
        <f>DATE(2012,12,31)-1076</f>
        <v>40198</v>
      </c>
      <c r="D4235" s="4" t="s">
        <v>63</v>
      </c>
      <c r="E4235" s="4">
        <v>21.0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0.57</v>
      </c>
      <c r="U4235" s="5">
        <f t="shared" ref="U4235:U4237" si="1774">C4235+1</f>
        <v>40199</v>
      </c>
    </row>
    <row r="4236" ht="12.75" customHeight="1">
      <c r="A4236" s="4">
        <v>7761.0</v>
      </c>
      <c r="B4236" s="4">
        <v>55553.0</v>
      </c>
      <c r="C4236" s="5">
        <f>DATE(2012,12,31)-1263</f>
        <v>40011</v>
      </c>
      <c r="D4236" s="4" t="s">
        <v>63</v>
      </c>
      <c r="E4236" s="4">
        <v>32.0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4"/>
        <v>40012</v>
      </c>
    </row>
    <row r="4237" ht="12.75" customHeight="1">
      <c r="A4237" s="4">
        <v>7791.0</v>
      </c>
      <c r="B4237" s="4">
        <v>55747.0</v>
      </c>
      <c r="C4237" s="5">
        <f t="shared" ref="C4237:C4238" si="1775">DATE(2012,12,31)-29</f>
        <v>41245</v>
      </c>
      <c r="D4237" s="4" t="s">
        <v>30</v>
      </c>
      <c r="E4237" s="4">
        <v>36.0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26.0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4"/>
        <v>41246</v>
      </c>
    </row>
    <row r="4238" ht="12.75" customHeight="1">
      <c r="A4238" s="4">
        <v>7792.0</v>
      </c>
      <c r="B4238" s="4">
        <v>55747.0</v>
      </c>
      <c r="C4238" s="5">
        <f t="shared" si="1775"/>
        <v>41245</v>
      </c>
      <c r="D4238" s="4" t="s">
        <v>30</v>
      </c>
      <c r="E4238" s="4">
        <v>42.0</v>
      </c>
      <c r="F4238" s="4">
        <v>19845.696</v>
      </c>
      <c r="G4238" s="4">
        <v>0.01</v>
      </c>
      <c r="H4238" s="4" t="s">
        <v>31</v>
      </c>
      <c r="I4238" s="6">
        <v>-1331.553366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ht="12.75" customHeight="1">
      <c r="A4239" s="4">
        <v>7798.0</v>
      </c>
      <c r="B4239" s="4">
        <v>55779.0</v>
      </c>
      <c r="C4239" s="5">
        <f>DATE(2012,12,31)-296</f>
        <v>40978</v>
      </c>
      <c r="D4239" s="4" t="s">
        <v>78</v>
      </c>
      <c r="E4239" s="4">
        <v>26.0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160.98</v>
      </c>
      <c r="K4239" s="4">
        <v>30.0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6">C4239+1</f>
        <v>40979</v>
      </c>
    </row>
    <row r="4240" ht="12.75" customHeight="1">
      <c r="A4240" s="4">
        <v>7886.0</v>
      </c>
      <c r="B4240" s="4">
        <v>56418.0</v>
      </c>
      <c r="C4240" s="5">
        <f>DATE(2012,12,31)-263</f>
        <v>41011</v>
      </c>
      <c r="D4240" s="4" t="s">
        <v>78</v>
      </c>
      <c r="E4240" s="4">
        <v>47.0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0.57</v>
      </c>
      <c r="U4240" s="5">
        <f t="shared" si="1776"/>
        <v>41012</v>
      </c>
    </row>
    <row r="4241" ht="12.75" customHeight="1">
      <c r="A4241" s="4">
        <v>7911.0</v>
      </c>
      <c r="B4241" s="4">
        <v>56580.0</v>
      </c>
      <c r="C4241" s="5">
        <f t="shared" ref="C4241:C4243" si="1777">DATE(2012,12,31)-505</f>
        <v>40769</v>
      </c>
      <c r="D4241" s="4" t="s">
        <v>45</v>
      </c>
      <c r="E4241" s="4">
        <v>9.0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ht="12.75" customHeight="1">
      <c r="A4242" s="4">
        <v>7912.0</v>
      </c>
      <c r="B4242" s="4">
        <v>56580.0</v>
      </c>
      <c r="C4242" s="5">
        <f t="shared" si="1777"/>
        <v>40769</v>
      </c>
      <c r="D4242" s="4" t="s">
        <v>45</v>
      </c>
      <c r="E4242" s="4">
        <v>44.0</v>
      </c>
      <c r="F4242" s="4">
        <v>950.3</v>
      </c>
      <c r="G4242" s="4">
        <v>0.1</v>
      </c>
      <c r="H4242" s="4" t="s">
        <v>31</v>
      </c>
      <c r="I4242" s="6">
        <v>-2103.05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8">C4242+2</f>
        <v>40771</v>
      </c>
    </row>
    <row r="4243" ht="12.75" customHeight="1">
      <c r="A4243" s="4">
        <v>7913.0</v>
      </c>
      <c r="B4243" s="4">
        <v>56580.0</v>
      </c>
      <c r="C4243" s="5">
        <f t="shared" si="1777"/>
        <v>40769</v>
      </c>
      <c r="D4243" s="4" t="s">
        <v>45</v>
      </c>
      <c r="E4243" s="4">
        <v>29.0</v>
      </c>
      <c r="F4243" s="4">
        <v>8122.53</v>
      </c>
      <c r="G4243" s="4">
        <v>0.05</v>
      </c>
      <c r="H4243" s="4" t="s">
        <v>31</v>
      </c>
      <c r="I4243" s="6">
        <v>-693.2303950000002</v>
      </c>
      <c r="J4243" s="4">
        <v>286.85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8"/>
        <v>40771</v>
      </c>
    </row>
    <row r="4244" ht="12.75" customHeight="1">
      <c r="A4244" s="4">
        <v>7953.0</v>
      </c>
      <c r="B4244" s="4">
        <v>56807.0</v>
      </c>
      <c r="C4244" s="5">
        <f>DATE(2012,12,31)-1350</f>
        <v>39924</v>
      </c>
      <c r="D4244" s="4" t="s">
        <v>30</v>
      </c>
      <c r="E4244" s="4">
        <v>1.0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</v>
      </c>
      <c r="U4244" s="5">
        <f t="shared" si="1778"/>
        <v>39926</v>
      </c>
    </row>
    <row r="4245" ht="12.75" customHeight="1">
      <c r="A4245" s="4">
        <v>7957.0</v>
      </c>
      <c r="B4245" s="4">
        <v>56837.0</v>
      </c>
      <c r="C4245" s="5">
        <f>DATE(2012,12,31)-748</f>
        <v>40526</v>
      </c>
      <c r="D4245" s="4" t="s">
        <v>21</v>
      </c>
      <c r="E4245" s="4">
        <v>10.0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30.0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ht="12.75" customHeight="1">
      <c r="A4246" s="4">
        <v>7970.0</v>
      </c>
      <c r="B4246" s="4">
        <v>56995.0</v>
      </c>
      <c r="C4246" s="5">
        <f>DATE(2012,12,31)-1173</f>
        <v>40101</v>
      </c>
      <c r="D4246" s="4" t="s">
        <v>63</v>
      </c>
      <c r="E4246" s="4">
        <v>27.0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ht="12.75" customHeight="1">
      <c r="A4247" s="4">
        <v>7984.0</v>
      </c>
      <c r="B4247" s="4">
        <v>57091.0</v>
      </c>
      <c r="C4247" s="5">
        <f>DATE(2012,12,31)-427</f>
        <v>40847</v>
      </c>
      <c r="D4247" s="4" t="s">
        <v>63</v>
      </c>
      <c r="E4247" s="4">
        <v>6.0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9">C4247+1</f>
        <v>40848</v>
      </c>
    </row>
    <row r="4248" ht="12.75" customHeight="1">
      <c r="A4248" s="4">
        <v>7998.0</v>
      </c>
      <c r="B4248" s="4">
        <v>57155.0</v>
      </c>
      <c r="C4248" s="5">
        <f t="shared" ref="C4248:C4249" si="1780">DATE(2012,12,31)-1293</f>
        <v>39981</v>
      </c>
      <c r="D4248" s="4" t="s">
        <v>78</v>
      </c>
      <c r="E4248" s="4">
        <v>23.0</v>
      </c>
      <c r="F4248" s="4">
        <v>155.52</v>
      </c>
      <c r="G4248" s="4">
        <v>0.05</v>
      </c>
      <c r="H4248" s="4" t="s">
        <v>22</v>
      </c>
      <c r="I4248" s="6">
        <v>-133.73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9"/>
        <v>39982</v>
      </c>
    </row>
    <row r="4249" ht="12.75" customHeight="1">
      <c r="A4249" s="4">
        <v>7999.0</v>
      </c>
      <c r="B4249" s="4">
        <v>57155.0</v>
      </c>
      <c r="C4249" s="5">
        <f t="shared" si="1780"/>
        <v>39981</v>
      </c>
      <c r="D4249" s="4" t="s">
        <v>78</v>
      </c>
      <c r="E4249" s="4">
        <v>16.0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5.1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9"/>
        <v>39982</v>
      </c>
    </row>
    <row r="4250" ht="12.75" customHeight="1">
      <c r="A4250" s="4">
        <v>8003.0</v>
      </c>
      <c r="B4250" s="4">
        <v>57185.0</v>
      </c>
      <c r="C4250" s="5">
        <f>DATE(2012,12,31)-588</f>
        <v>40686</v>
      </c>
      <c r="D4250" s="4" t="s">
        <v>63</v>
      </c>
      <c r="E4250" s="4">
        <v>28.0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0.57</v>
      </c>
      <c r="U4250" s="5">
        <f>C4250+2</f>
        <v>40688</v>
      </c>
    </row>
    <row r="4251" ht="12.75" customHeight="1">
      <c r="A4251" s="4">
        <v>8036.0</v>
      </c>
      <c r="B4251" s="4">
        <v>57409.0</v>
      </c>
      <c r="C4251" s="5">
        <f t="shared" ref="C4251:C4252" si="1781">DATE(2012,12,31)-1137</f>
        <v>40137</v>
      </c>
      <c r="D4251" s="4" t="s">
        <v>45</v>
      </c>
      <c r="E4251" s="4">
        <v>1.0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2">C4251+1</f>
        <v>40138</v>
      </c>
    </row>
    <row r="4252" ht="12.75" customHeight="1">
      <c r="A4252" s="4">
        <v>8037.0</v>
      </c>
      <c r="B4252" s="4">
        <v>57409.0</v>
      </c>
      <c r="C4252" s="5">
        <f t="shared" si="1781"/>
        <v>40137</v>
      </c>
      <c r="D4252" s="4" t="s">
        <v>45</v>
      </c>
      <c r="E4252" s="4">
        <v>34.0</v>
      </c>
      <c r="F4252" s="4">
        <v>6236.4755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3.0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0.58</v>
      </c>
      <c r="U4252" s="5">
        <f t="shared" si="1782"/>
        <v>40138</v>
      </c>
    </row>
    <row r="4253" ht="12.75" customHeight="1">
      <c r="A4253" s="4">
        <v>8066.0</v>
      </c>
      <c r="B4253" s="4">
        <v>57542.0</v>
      </c>
      <c r="C4253" s="5">
        <f>DATE(2012,12,31)-1227</f>
        <v>40047</v>
      </c>
      <c r="D4253" s="4" t="s">
        <v>30</v>
      </c>
      <c r="E4253" s="4">
        <v>23.0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ht="12.75" customHeight="1">
      <c r="A4254" s="4">
        <v>8082.0</v>
      </c>
      <c r="B4254" s="4">
        <v>57639.0</v>
      </c>
      <c r="C4254" s="5">
        <f>DATE(2012,12,31)-894</f>
        <v>40380</v>
      </c>
      <c r="D4254" s="4" t="s">
        <v>78</v>
      </c>
      <c r="E4254" s="4">
        <v>24.0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</v>
      </c>
      <c r="U4254" s="5">
        <f>C4254+0</f>
        <v>40380</v>
      </c>
    </row>
    <row r="4255" ht="12.75" customHeight="1">
      <c r="A4255" s="4">
        <v>8104.0</v>
      </c>
      <c r="B4255" s="4">
        <v>57856.0</v>
      </c>
      <c r="C4255" s="5">
        <f t="shared" ref="C4255:C4256" si="1783">DATE(2012,12,31)-1418</f>
        <v>39856</v>
      </c>
      <c r="D4255" s="4" t="s">
        <v>63</v>
      </c>
      <c r="E4255" s="4">
        <v>17.0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4">C4255+1</f>
        <v>39857</v>
      </c>
    </row>
    <row r="4256" ht="12.75" customHeight="1">
      <c r="A4256" s="4">
        <v>8105.0</v>
      </c>
      <c r="B4256" s="4">
        <v>57856.0</v>
      </c>
      <c r="C4256" s="5">
        <f t="shared" si="1783"/>
        <v>39856</v>
      </c>
      <c r="D4256" s="4" t="s">
        <v>63</v>
      </c>
      <c r="E4256" s="4">
        <v>31.0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4"/>
        <v>39857</v>
      </c>
    </row>
    <row r="4257" ht="12.75" customHeight="1">
      <c r="A4257" s="4">
        <v>8177.0</v>
      </c>
      <c r="B4257" s="4">
        <v>58435.0</v>
      </c>
      <c r="C4257" s="5">
        <f>DATE(2012,12,31)-238</f>
        <v>41036</v>
      </c>
      <c r="D4257" s="4" t="s">
        <v>21</v>
      </c>
      <c r="E4257" s="4">
        <v>11.0</v>
      </c>
      <c r="F4257" s="4">
        <v>273.44</v>
      </c>
      <c r="G4257" s="4">
        <v>0.01</v>
      </c>
      <c r="H4257" s="4" t="s">
        <v>22</v>
      </c>
      <c r="I4257" s="6">
        <v>-35.6155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5">C4257+2</f>
        <v>41038</v>
      </c>
    </row>
    <row r="4258" ht="12.75" customHeight="1">
      <c r="A4258" s="4">
        <v>8251.0</v>
      </c>
      <c r="B4258" s="4">
        <v>59009.0</v>
      </c>
      <c r="C4258" s="5">
        <f>DATE(2012,12,31)-409</f>
        <v>40865</v>
      </c>
      <c r="D4258" s="4" t="s">
        <v>78</v>
      </c>
      <c r="E4258" s="4">
        <v>19.0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5"/>
        <v>40867</v>
      </c>
    </row>
    <row r="4259" ht="12.75" customHeight="1">
      <c r="A4259" s="4">
        <v>8325.0</v>
      </c>
      <c r="B4259" s="4">
        <v>59491.0</v>
      </c>
      <c r="C4259" s="5">
        <f>DATE(2012,12,31)-282</f>
        <v>40992</v>
      </c>
      <c r="D4259" s="4" t="s">
        <v>30</v>
      </c>
      <c r="E4259" s="4">
        <v>31.0</v>
      </c>
      <c r="F4259" s="4">
        <v>12470.31</v>
      </c>
      <c r="G4259" s="4">
        <v>0.04</v>
      </c>
      <c r="H4259" s="4" t="s">
        <v>22</v>
      </c>
      <c r="I4259" s="6">
        <v>5528.502</v>
      </c>
      <c r="J4259" s="4">
        <v>387.99</v>
      </c>
      <c r="K4259" s="4">
        <v>19.99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ht="12.75" customHeight="1">
      <c r="A4260" s="4">
        <v>8330.0</v>
      </c>
      <c r="B4260" s="4">
        <v>59554.0</v>
      </c>
      <c r="C4260" s="5">
        <f>DATE(2012,12,31)-412</f>
        <v>40862</v>
      </c>
      <c r="D4260" s="4" t="s">
        <v>78</v>
      </c>
      <c r="E4260" s="4">
        <v>40.0</v>
      </c>
      <c r="F4260" s="4">
        <v>718.6</v>
      </c>
      <c r="G4260" s="4">
        <v>0.08</v>
      </c>
      <c r="H4260" s="4" t="s">
        <v>22</v>
      </c>
      <c r="I4260" s="6">
        <v>-81.49</v>
      </c>
      <c r="J4260" s="4">
        <v>17.98</v>
      </c>
      <c r="K4260" s="4">
        <v>4.0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ht="12.75" customHeight="1">
      <c r="A4261" s="4">
        <v>8334.0</v>
      </c>
      <c r="B4261" s="4">
        <v>59559.0</v>
      </c>
      <c r="C4261" s="5">
        <f>DATE(2012,12,31)-836</f>
        <v>40438</v>
      </c>
      <c r="D4261" s="4" t="s">
        <v>78</v>
      </c>
      <c r="E4261" s="4">
        <v>30.0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5.0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ht="12.75" customHeight="1">
      <c r="A4262" s="4">
        <v>8359.0</v>
      </c>
      <c r="B4262" s="4">
        <v>59745.0</v>
      </c>
      <c r="C4262" s="5">
        <f>DATE(2012,12,31)-1352</f>
        <v>39922</v>
      </c>
      <c r="D4262" s="4" t="s">
        <v>45</v>
      </c>
      <c r="E4262" s="4">
        <v>36.0</v>
      </c>
      <c r="F4262" s="4">
        <v>18092.66</v>
      </c>
      <c r="G4262" s="4">
        <v>0.09</v>
      </c>
      <c r="H4262" s="4" t="s">
        <v>22</v>
      </c>
      <c r="I4262" s="6">
        <v>7917.7585</v>
      </c>
      <c r="J4262" s="4">
        <v>525.98</v>
      </c>
      <c r="K4262" s="4">
        <v>19.99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6">C4262+2</f>
        <v>39924</v>
      </c>
    </row>
    <row r="4263" ht="12.75" customHeight="1">
      <c r="A4263" s="4">
        <v>8385.0</v>
      </c>
      <c r="B4263" s="4">
        <v>59906.0</v>
      </c>
      <c r="C4263" s="5">
        <f>DATE(2012,12,31)-956</f>
        <v>40318</v>
      </c>
      <c r="D4263" s="4" t="s">
        <v>30</v>
      </c>
      <c r="E4263" s="4">
        <v>32.0</v>
      </c>
      <c r="F4263" s="4">
        <v>284.92</v>
      </c>
      <c r="G4263" s="4">
        <v>0.03</v>
      </c>
      <c r="H4263" s="4" t="s">
        <v>22</v>
      </c>
      <c r="I4263" s="6">
        <v>81.29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6"/>
        <v>40320</v>
      </c>
    </row>
    <row r="4264" ht="12.75" customHeight="1">
      <c r="A4264" s="4">
        <v>78.0</v>
      </c>
      <c r="B4264" s="4">
        <v>454.0</v>
      </c>
      <c r="C4264" s="5">
        <f>DATE(2012,12,31)-371</f>
        <v>40903</v>
      </c>
      <c r="D4264" s="4" t="s">
        <v>21</v>
      </c>
      <c r="E4264" s="4">
        <v>42.0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6"/>
        <v>40905</v>
      </c>
    </row>
    <row r="4265" ht="12.75" customHeight="1">
      <c r="A4265" s="4">
        <v>90.0</v>
      </c>
      <c r="B4265" s="4">
        <v>549.0</v>
      </c>
      <c r="C4265" s="5">
        <f t="shared" ref="C4265:C4267" si="1787">DATE(2012,12,31)-172</f>
        <v>41102</v>
      </c>
      <c r="D4265" s="4" t="s">
        <v>78</v>
      </c>
      <c r="E4265" s="4">
        <v>13.0</v>
      </c>
      <c r="F4265" s="4">
        <v>70.24</v>
      </c>
      <c r="G4265" s="4">
        <v>0.03</v>
      </c>
      <c r="H4265" s="4" t="s">
        <v>22</v>
      </c>
      <c r="I4265" s="6">
        <v>-59.75</v>
      </c>
      <c r="J4265" s="4">
        <v>4.98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8">C4265+1</f>
        <v>41103</v>
      </c>
    </row>
    <row r="4266" ht="12.75" customHeight="1">
      <c r="A4266" s="4">
        <v>91.0</v>
      </c>
      <c r="B4266" s="4">
        <v>549.0</v>
      </c>
      <c r="C4266" s="5">
        <f t="shared" si="1787"/>
        <v>41102</v>
      </c>
      <c r="D4266" s="4" t="s">
        <v>78</v>
      </c>
      <c r="E4266" s="4">
        <v>5.0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8"/>
        <v>41103</v>
      </c>
    </row>
    <row r="4267" ht="12.75" customHeight="1">
      <c r="A4267" s="4">
        <v>92.0</v>
      </c>
      <c r="B4267" s="4">
        <v>549.0</v>
      </c>
      <c r="C4267" s="5">
        <f t="shared" si="1787"/>
        <v>41102</v>
      </c>
      <c r="D4267" s="4" t="s">
        <v>78</v>
      </c>
      <c r="E4267" s="4">
        <v>30.0</v>
      </c>
      <c r="F4267" s="4">
        <v>1150.88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35.0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ht="12.75" customHeight="1">
      <c r="A4268" s="4">
        <v>162.0</v>
      </c>
      <c r="B4268" s="4">
        <v>999.0</v>
      </c>
      <c r="C4268" s="5">
        <f>DATE(2012,12,31)-849</f>
        <v>40425</v>
      </c>
      <c r="D4268" s="4" t="s">
        <v>21</v>
      </c>
      <c r="E4268" s="4">
        <v>6.0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19.99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ht="12.75" customHeight="1">
      <c r="A4269" s="4">
        <v>195.0</v>
      </c>
      <c r="B4269" s="4">
        <v>1286.0</v>
      </c>
      <c r="C4269" s="5">
        <f t="shared" ref="C4269:C4270" si="1789">DATE(2012,12,31)-963</f>
        <v>40311</v>
      </c>
      <c r="D4269" s="4" t="s">
        <v>45</v>
      </c>
      <c r="E4269" s="4">
        <v>46.0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ht="12.75" customHeight="1">
      <c r="A4270" s="4">
        <v>196.0</v>
      </c>
      <c r="B4270" s="4">
        <v>1286.0</v>
      </c>
      <c r="C4270" s="5">
        <f t="shared" si="1789"/>
        <v>40311</v>
      </c>
      <c r="D4270" s="4" t="s">
        <v>45</v>
      </c>
      <c r="E4270" s="4">
        <v>14.0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ht="12.75" customHeight="1">
      <c r="A4271" s="4">
        <v>266.0</v>
      </c>
      <c r="B4271" s="4">
        <v>1831.0</v>
      </c>
      <c r="C4271" s="5">
        <f>DATE(2012,12,31)-761</f>
        <v>40513</v>
      </c>
      <c r="D4271" s="4" t="s">
        <v>78</v>
      </c>
      <c r="E4271" s="4">
        <v>33.0</v>
      </c>
      <c r="F4271" s="4">
        <v>12586.19</v>
      </c>
      <c r="G4271" s="4">
        <v>0.0</v>
      </c>
      <c r="H4271" s="4" t="s">
        <v>31</v>
      </c>
      <c r="I4271" s="6">
        <v>619.71</v>
      </c>
      <c r="J4271" s="4">
        <v>370.98</v>
      </c>
      <c r="K4271" s="4">
        <v>99.0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ht="12.75" customHeight="1">
      <c r="A4272" s="4">
        <v>275.0</v>
      </c>
      <c r="B4272" s="4">
        <v>1892.0</v>
      </c>
      <c r="C4272" s="5">
        <f t="shared" ref="C4272:C4273" si="1790">DATE(2012,12,31)-1377</f>
        <v>39897</v>
      </c>
      <c r="D4272" s="4" t="s">
        <v>21</v>
      </c>
      <c r="E4272" s="4">
        <v>47.0</v>
      </c>
      <c r="F4272" s="4">
        <v>193.63</v>
      </c>
      <c r="G4272" s="4">
        <v>0.05</v>
      </c>
      <c r="H4272" s="4" t="s">
        <v>22</v>
      </c>
      <c r="I4272" s="6">
        <v>-152.5245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ht="12.75" customHeight="1">
      <c r="A4273" s="4">
        <v>276.0</v>
      </c>
      <c r="B4273" s="4">
        <v>1892.0</v>
      </c>
      <c r="C4273" s="5">
        <f t="shared" si="1790"/>
        <v>39897</v>
      </c>
      <c r="D4273" s="4" t="s">
        <v>21</v>
      </c>
      <c r="E4273" s="4">
        <v>9.0</v>
      </c>
      <c r="F4273" s="4">
        <v>64.29</v>
      </c>
      <c r="G4273" s="4">
        <v>0.01</v>
      </c>
      <c r="H4273" s="4" t="s">
        <v>22</v>
      </c>
      <c r="I4273" s="6">
        <v>-18.85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1">C4273+0</f>
        <v>39897</v>
      </c>
    </row>
    <row r="4274" ht="12.75" customHeight="1">
      <c r="A4274" s="4">
        <v>286.0</v>
      </c>
      <c r="B4274" s="4">
        <v>1991.0</v>
      </c>
      <c r="C4274" s="5">
        <f t="shared" ref="C4274:C4275" si="1792">DATE(2012,12,31)-116</f>
        <v>41158</v>
      </c>
      <c r="D4274" s="4" t="s">
        <v>45</v>
      </c>
      <c r="E4274" s="4">
        <v>27.0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136.98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1"/>
        <v>41158</v>
      </c>
    </row>
    <row r="4275" ht="12.75" customHeight="1">
      <c r="A4275" s="4">
        <v>287.0</v>
      </c>
      <c r="B4275" s="4">
        <v>1991.0</v>
      </c>
      <c r="C4275" s="5">
        <f t="shared" si="1792"/>
        <v>41158</v>
      </c>
      <c r="D4275" s="4" t="s">
        <v>45</v>
      </c>
      <c r="E4275" s="4">
        <v>37.0</v>
      </c>
      <c r="F4275" s="4">
        <v>14383.83</v>
      </c>
      <c r="G4275" s="4">
        <v>0.01</v>
      </c>
      <c r="H4275" s="4" t="s">
        <v>31</v>
      </c>
      <c r="I4275" s="6">
        <v>5050.1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</v>
      </c>
      <c r="U4275" s="5">
        <f>C4275+1</f>
        <v>41159</v>
      </c>
    </row>
    <row r="4276" ht="12.75" customHeight="1">
      <c r="A4276" s="4">
        <v>653.0</v>
      </c>
      <c r="B4276" s="4">
        <v>4610.0</v>
      </c>
      <c r="C4276" s="5">
        <f t="shared" ref="C4276:C4277" si="1793">DATE(2012,12,31)-928</f>
        <v>40346</v>
      </c>
      <c r="D4276" s="4" t="s">
        <v>21</v>
      </c>
      <c r="E4276" s="4">
        <v>8.0</v>
      </c>
      <c r="F4276" s="4">
        <v>66.88</v>
      </c>
      <c r="G4276" s="4">
        <v>0.09</v>
      </c>
      <c r="H4276" s="4" t="s">
        <v>22</v>
      </c>
      <c r="I4276" s="6">
        <v>-17.01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ht="12.75" customHeight="1">
      <c r="A4277" s="4">
        <v>654.0</v>
      </c>
      <c r="B4277" s="4">
        <v>4610.0</v>
      </c>
      <c r="C4277" s="5">
        <f t="shared" si="1793"/>
        <v>40346</v>
      </c>
      <c r="D4277" s="4" t="s">
        <v>21</v>
      </c>
      <c r="E4277" s="4">
        <v>29.0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ht="12.75" customHeight="1">
      <c r="A4278" s="4">
        <v>794.0</v>
      </c>
      <c r="B4278" s="4">
        <v>5697.0</v>
      </c>
      <c r="C4278" s="5">
        <f>DATE(2012,12,31)-88</f>
        <v>41186</v>
      </c>
      <c r="D4278" s="4" t="s">
        <v>78</v>
      </c>
      <c r="E4278" s="4">
        <v>31.0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ht="12.75" customHeight="1">
      <c r="A4279" s="4">
        <v>832.0</v>
      </c>
      <c r="B4279" s="4">
        <v>5986.0</v>
      </c>
      <c r="C4279" s="5">
        <f t="shared" ref="C4279:C4281" si="1794">DATE(2012,12,31)-254</f>
        <v>41020</v>
      </c>
      <c r="D4279" s="4" t="s">
        <v>30</v>
      </c>
      <c r="E4279" s="4">
        <v>48.0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ht="12.75" customHeight="1">
      <c r="A4280" s="4">
        <v>833.0</v>
      </c>
      <c r="B4280" s="4">
        <v>5986.0</v>
      </c>
      <c r="C4280" s="5">
        <f t="shared" si="1794"/>
        <v>41020</v>
      </c>
      <c r="D4280" s="4" t="s">
        <v>30</v>
      </c>
      <c r="E4280" s="4">
        <v>20.0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</v>
      </c>
      <c r="U4280" s="5">
        <f t="shared" ref="U4280:U4281" si="1795">C4280+1</f>
        <v>41021</v>
      </c>
    </row>
    <row r="4281" ht="12.75" customHeight="1">
      <c r="A4281" s="4">
        <v>834.0</v>
      </c>
      <c r="B4281" s="4">
        <v>5986.0</v>
      </c>
      <c r="C4281" s="5">
        <f t="shared" si="1794"/>
        <v>41020</v>
      </c>
      <c r="D4281" s="4" t="s">
        <v>30</v>
      </c>
      <c r="E4281" s="4">
        <v>41.0</v>
      </c>
      <c r="F4281" s="4">
        <v>205.24</v>
      </c>
      <c r="G4281" s="4">
        <v>0.03</v>
      </c>
      <c r="H4281" s="4" t="s">
        <v>22</v>
      </c>
      <c r="I4281" s="6">
        <v>-148.77</v>
      </c>
      <c r="J4281" s="4">
        <v>4.89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5"/>
        <v>41021</v>
      </c>
    </row>
    <row r="4282" ht="12.75" customHeight="1">
      <c r="A4282" s="4">
        <v>845.0</v>
      </c>
      <c r="B4282" s="4">
        <v>6053.0</v>
      </c>
      <c r="C4282" s="5">
        <f>DATE(2012,12,31)-751</f>
        <v>40523</v>
      </c>
      <c r="D4282" s="4" t="s">
        <v>63</v>
      </c>
      <c r="E4282" s="4">
        <v>4.0</v>
      </c>
      <c r="F4282" s="4">
        <v>16.08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6">C4282+2</f>
        <v>40525</v>
      </c>
    </row>
    <row r="4283" ht="12.75" customHeight="1">
      <c r="A4283" s="4">
        <v>893.0</v>
      </c>
      <c r="B4283" s="4">
        <v>6432.0</v>
      </c>
      <c r="C4283" s="5">
        <f>DATE(2012,12,31)-417</f>
        <v>40857</v>
      </c>
      <c r="D4283" s="4" t="s">
        <v>78</v>
      </c>
      <c r="E4283" s="4">
        <v>30.0</v>
      </c>
      <c r="F4283" s="4">
        <v>311.08</v>
      </c>
      <c r="G4283" s="4">
        <v>0.08</v>
      </c>
      <c r="H4283" s="4" t="s">
        <v>22</v>
      </c>
      <c r="I4283" s="6">
        <v>-38.45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6"/>
        <v>40859</v>
      </c>
    </row>
    <row r="4284" ht="12.75" customHeight="1">
      <c r="A4284" s="4">
        <v>906.0</v>
      </c>
      <c r="B4284" s="4">
        <v>6502.0</v>
      </c>
      <c r="C4284" s="5">
        <f t="shared" ref="C4284:C4285" si="1797">DATE(2012,12,31)-499</f>
        <v>40775</v>
      </c>
      <c r="D4284" s="4" t="s">
        <v>63</v>
      </c>
      <c r="E4284" s="4">
        <v>16.0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ht="12.75" customHeight="1">
      <c r="A4285" s="4">
        <v>907.0</v>
      </c>
      <c r="B4285" s="4">
        <v>6502.0</v>
      </c>
      <c r="C4285" s="5">
        <f t="shared" si="1797"/>
        <v>40775</v>
      </c>
      <c r="D4285" s="4" t="s">
        <v>63</v>
      </c>
      <c r="E4285" s="4">
        <v>30.0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ht="12.75" customHeight="1">
      <c r="A4286" s="4">
        <v>921.0</v>
      </c>
      <c r="B4286" s="4">
        <v>6656.0</v>
      </c>
      <c r="C4286" s="5">
        <f t="shared" ref="C4286:C4287" si="1798">DATE(2012,12,31)-1326</f>
        <v>39948</v>
      </c>
      <c r="D4286" s="4" t="s">
        <v>78</v>
      </c>
      <c r="E4286" s="4">
        <v>45.0</v>
      </c>
      <c r="F4286" s="4">
        <v>1802.0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ht="12.75" customHeight="1">
      <c r="A4287" s="4">
        <v>922.0</v>
      </c>
      <c r="B4287" s="4">
        <v>6656.0</v>
      </c>
      <c r="C4287" s="5">
        <f t="shared" si="1798"/>
        <v>39948</v>
      </c>
      <c r="D4287" s="4" t="s">
        <v>78</v>
      </c>
      <c r="E4287" s="4">
        <v>50.0</v>
      </c>
      <c r="F4287" s="4">
        <v>1832.22</v>
      </c>
      <c r="G4287" s="4">
        <v>0.1</v>
      </c>
      <c r="H4287" s="4" t="s">
        <v>22</v>
      </c>
      <c r="I4287" s="6">
        <v>805.4345000000001</v>
      </c>
      <c r="J4287" s="4">
        <v>37.7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ht="12.75" customHeight="1">
      <c r="A4288" s="4">
        <v>971.0</v>
      </c>
      <c r="B4288" s="4">
        <v>7072.0</v>
      </c>
      <c r="C4288" s="5">
        <f>DATE(2012,12,31)-331</f>
        <v>40943</v>
      </c>
      <c r="D4288" s="4" t="s">
        <v>78</v>
      </c>
      <c r="E4288" s="4">
        <v>29.0</v>
      </c>
      <c r="F4288" s="4">
        <v>258.61</v>
      </c>
      <c r="G4288" s="4">
        <v>0.07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ht="12.75" customHeight="1">
      <c r="A4289" s="4">
        <v>1015.0</v>
      </c>
      <c r="B4289" s="4">
        <v>7429.0</v>
      </c>
      <c r="C4289" s="5">
        <f t="shared" ref="C4289:C4290" si="1799">DATE(2012,12,31)-950</f>
        <v>40324</v>
      </c>
      <c r="D4289" s="4" t="s">
        <v>45</v>
      </c>
      <c r="E4289" s="4">
        <v>33.0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40.48</v>
      </c>
      <c r="K4289" s="4">
        <v>19.99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800">C4289+1</f>
        <v>40325</v>
      </c>
    </row>
    <row r="4290" ht="12.75" customHeight="1">
      <c r="A4290" s="4">
        <v>1016.0</v>
      </c>
      <c r="B4290" s="4">
        <v>7429.0</v>
      </c>
      <c r="C4290" s="5">
        <f t="shared" si="1799"/>
        <v>40324</v>
      </c>
      <c r="D4290" s="4" t="s">
        <v>45</v>
      </c>
      <c r="E4290" s="4">
        <v>6.0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800"/>
        <v>40325</v>
      </c>
    </row>
    <row r="4291" ht="12.75" customHeight="1">
      <c r="A4291" s="4">
        <v>1075.0</v>
      </c>
      <c r="B4291" s="4">
        <v>7910.0</v>
      </c>
      <c r="C4291" s="5">
        <f t="shared" ref="C4291:C4292" si="1801">DATE(2012,12,31)-986</f>
        <v>40288</v>
      </c>
      <c r="D4291" s="4" t="s">
        <v>78</v>
      </c>
      <c r="E4291" s="4">
        <v>41.0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ht="12.75" customHeight="1">
      <c r="A4292" s="4">
        <v>1076.0</v>
      </c>
      <c r="B4292" s="4">
        <v>7910.0</v>
      </c>
      <c r="C4292" s="5">
        <f t="shared" si="1801"/>
        <v>40288</v>
      </c>
      <c r="D4292" s="4" t="s">
        <v>78</v>
      </c>
      <c r="E4292" s="4">
        <v>22.0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ht="12.75" customHeight="1">
      <c r="A4293" s="4">
        <v>1096.0</v>
      </c>
      <c r="B4293" s="4">
        <v>8035.0</v>
      </c>
      <c r="C4293" s="5">
        <f>DATE(2012,12,31)-305</f>
        <v>40969</v>
      </c>
      <c r="D4293" s="4" t="s">
        <v>63</v>
      </c>
      <c r="E4293" s="4">
        <v>7.0</v>
      </c>
      <c r="F4293" s="4">
        <v>104.38</v>
      </c>
      <c r="G4293" s="4">
        <v>0.07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ht="12.75" customHeight="1">
      <c r="A4294" s="4">
        <v>1220.0</v>
      </c>
      <c r="B4294" s="4">
        <v>8961.0</v>
      </c>
      <c r="C4294" s="5">
        <f>DATE(2012,12,31)-552</f>
        <v>40722</v>
      </c>
      <c r="D4294" s="4" t="s">
        <v>21</v>
      </c>
      <c r="E4294" s="4">
        <v>15.0</v>
      </c>
      <c r="F4294" s="4">
        <v>627.69</v>
      </c>
      <c r="G4294" s="4">
        <v>0.0</v>
      </c>
      <c r="H4294" s="4" t="s">
        <v>22</v>
      </c>
      <c r="I4294" s="6">
        <v>-12.02</v>
      </c>
      <c r="J4294" s="4">
        <v>39.98</v>
      </c>
      <c r="K4294" s="4">
        <v>4.0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ht="12.75" customHeight="1">
      <c r="A4295" s="4">
        <v>1311.0</v>
      </c>
      <c r="B4295" s="4">
        <v>9606.0</v>
      </c>
      <c r="C4295" s="5">
        <f t="shared" ref="C4295:C4296" si="1802">DATE(2012,12,31)-1253</f>
        <v>40021</v>
      </c>
      <c r="D4295" s="4" t="s">
        <v>45</v>
      </c>
      <c r="E4295" s="4">
        <v>39.0</v>
      </c>
      <c r="F4295" s="4">
        <v>493.26</v>
      </c>
      <c r="G4295" s="4">
        <v>0.02</v>
      </c>
      <c r="H4295" s="4" t="s">
        <v>22</v>
      </c>
      <c r="I4295" s="6">
        <v>263.4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ht="12.75" customHeight="1">
      <c r="A4296" s="4">
        <v>1312.0</v>
      </c>
      <c r="B4296" s="4">
        <v>9606.0</v>
      </c>
      <c r="C4296" s="5">
        <f t="shared" si="1802"/>
        <v>40021</v>
      </c>
      <c r="D4296" s="4" t="s">
        <v>45</v>
      </c>
      <c r="E4296" s="4">
        <v>37.0</v>
      </c>
      <c r="F4296" s="4">
        <v>192.15</v>
      </c>
      <c r="G4296" s="4">
        <v>0.07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3">C4296+2</f>
        <v>40023</v>
      </c>
    </row>
    <row r="4297" ht="12.75" customHeight="1">
      <c r="A4297" s="4">
        <v>1348.0</v>
      </c>
      <c r="B4297" s="4">
        <v>9857.0</v>
      </c>
      <c r="C4297" s="5">
        <f t="shared" ref="C4297:C4299" si="1804">DATE(2012,12,31)-965</f>
        <v>40309</v>
      </c>
      <c r="D4297" s="4" t="s">
        <v>30</v>
      </c>
      <c r="E4297" s="4">
        <v>16.0</v>
      </c>
      <c r="F4297" s="4">
        <v>2366.18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19.99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3"/>
        <v>40311</v>
      </c>
    </row>
    <row r="4298" ht="12.75" customHeight="1">
      <c r="A4298" s="4">
        <v>1349.0</v>
      </c>
      <c r="B4298" s="4">
        <v>9857.0</v>
      </c>
      <c r="C4298" s="5">
        <f t="shared" si="1804"/>
        <v>40309</v>
      </c>
      <c r="D4298" s="4" t="s">
        <v>30</v>
      </c>
      <c r="E4298" s="4">
        <v>49.0</v>
      </c>
      <c r="F4298" s="4">
        <v>675.71</v>
      </c>
      <c r="G4298" s="4">
        <v>0.06</v>
      </c>
      <c r="H4298" s="4" t="s">
        <v>22</v>
      </c>
      <c r="I4298" s="6">
        <v>-17.49</v>
      </c>
      <c r="J4298" s="4">
        <v>13.79</v>
      </c>
      <c r="K4298" s="4">
        <v>8.78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ht="12.75" customHeight="1">
      <c r="A4299" s="4">
        <v>1350.0</v>
      </c>
      <c r="B4299" s="4">
        <v>9857.0</v>
      </c>
      <c r="C4299" s="5">
        <f t="shared" si="1804"/>
        <v>40309</v>
      </c>
      <c r="D4299" s="4" t="s">
        <v>30</v>
      </c>
      <c r="E4299" s="4">
        <v>16.0</v>
      </c>
      <c r="F4299" s="4">
        <v>292.978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ht="12.75" customHeight="1">
      <c r="A4300" s="4">
        <v>1502.0</v>
      </c>
      <c r="B4300" s="4">
        <v>10851.0</v>
      </c>
      <c r="C4300" s="5">
        <f>DATE(2012,12,31)-1365</f>
        <v>39909</v>
      </c>
      <c r="D4300" s="4" t="s">
        <v>30</v>
      </c>
      <c r="E4300" s="4">
        <v>14.0</v>
      </c>
      <c r="F4300" s="4">
        <v>570.5285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0.57</v>
      </c>
      <c r="U4300" s="5">
        <f>C4300+1</f>
        <v>39910</v>
      </c>
    </row>
    <row r="4301" ht="12.75" customHeight="1">
      <c r="A4301" s="4">
        <v>1554.0</v>
      </c>
      <c r="B4301" s="4">
        <v>11233.0</v>
      </c>
      <c r="C4301" s="5">
        <f>DATE(2012,12,31)-489</f>
        <v>40785</v>
      </c>
      <c r="D4301" s="4" t="s">
        <v>45</v>
      </c>
      <c r="E4301" s="4">
        <v>25.0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5">C4301+2</f>
        <v>40787</v>
      </c>
    </row>
    <row r="4302" ht="12.75" customHeight="1">
      <c r="A4302" s="4">
        <v>1593.0</v>
      </c>
      <c r="B4302" s="4">
        <v>11493.0</v>
      </c>
      <c r="C4302" s="5">
        <f>DATE(2012,12,31)-438</f>
        <v>40836</v>
      </c>
      <c r="D4302" s="4" t="s">
        <v>78</v>
      </c>
      <c r="E4302" s="4">
        <v>16.0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5"/>
        <v>40838</v>
      </c>
    </row>
    <row r="4303" ht="12.75" customHeight="1">
      <c r="A4303" s="4">
        <v>1614.0</v>
      </c>
      <c r="B4303" s="4">
        <v>11684.0</v>
      </c>
      <c r="C4303" s="5">
        <f>DATE(2012,12,31)-157</f>
        <v>41117</v>
      </c>
      <c r="D4303" s="4" t="s">
        <v>30</v>
      </c>
      <c r="E4303" s="4">
        <v>8.0</v>
      </c>
      <c r="F4303" s="4">
        <v>1173.5</v>
      </c>
      <c r="G4303" s="4">
        <v>0.0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0.57</v>
      </c>
      <c r="U4303" s="5">
        <f t="shared" si="1805"/>
        <v>41119</v>
      </c>
    </row>
    <row r="4304" ht="12.75" customHeight="1">
      <c r="A4304" s="4">
        <v>1664.0</v>
      </c>
      <c r="B4304" s="4">
        <v>11975.0</v>
      </c>
      <c r="C4304" s="5">
        <f>DATE(2012,12,31)-628</f>
        <v>40646</v>
      </c>
      <c r="D4304" s="4" t="s">
        <v>78</v>
      </c>
      <c r="E4304" s="4">
        <v>43.0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5"/>
        <v>40648</v>
      </c>
    </row>
    <row r="4305" ht="12.75" customHeight="1">
      <c r="A4305" s="4">
        <v>1878.0</v>
      </c>
      <c r="B4305" s="4">
        <v>13537.0</v>
      </c>
      <c r="C4305" s="5">
        <f>DATE(2012,12,31)-946</f>
        <v>40328</v>
      </c>
      <c r="D4305" s="4" t="s">
        <v>21</v>
      </c>
      <c r="E4305" s="4">
        <v>41.0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5"/>
        <v>40330</v>
      </c>
    </row>
    <row r="4306" ht="12.75" customHeight="1">
      <c r="A4306" s="4">
        <v>1912.0</v>
      </c>
      <c r="B4306" s="4">
        <v>13670.0</v>
      </c>
      <c r="C4306" s="5">
        <f>DATE(2012,12,31)-222</f>
        <v>41052</v>
      </c>
      <c r="D4306" s="4" t="s">
        <v>78</v>
      </c>
      <c r="E4306" s="4">
        <v>27.0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ht="12.75" customHeight="1">
      <c r="A4307" s="4">
        <v>1922.0</v>
      </c>
      <c r="B4307" s="4">
        <v>13764.0</v>
      </c>
      <c r="C4307" s="5">
        <f>DATE(2012,12,31)-537</f>
        <v>40737</v>
      </c>
      <c r="D4307" s="4" t="s">
        <v>63</v>
      </c>
      <c r="E4307" s="4">
        <v>31.0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</v>
      </c>
      <c r="U4307" s="5">
        <f>C4307+1</f>
        <v>40738</v>
      </c>
    </row>
    <row r="4308" ht="12.75" customHeight="1">
      <c r="A4308" s="4">
        <v>1948.0</v>
      </c>
      <c r="B4308" s="4">
        <v>13953.0</v>
      </c>
      <c r="C4308" s="5">
        <f>DATE(2012,12,31)-580</f>
        <v>40694</v>
      </c>
      <c r="D4308" s="4" t="s">
        <v>78</v>
      </c>
      <c r="E4308" s="4">
        <v>32.0</v>
      </c>
      <c r="F4308" s="4">
        <v>381.24</v>
      </c>
      <c r="G4308" s="4">
        <v>0.04</v>
      </c>
      <c r="H4308" s="4" t="s">
        <v>22</v>
      </c>
      <c r="I4308" s="6">
        <v>67.6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ht="12.75" customHeight="1">
      <c r="A4309" s="4">
        <v>1981.0</v>
      </c>
      <c r="B4309" s="4">
        <v>14119.0</v>
      </c>
      <c r="C4309" s="5">
        <f t="shared" ref="C4309:C4311" si="1806">DATE(2012,12,31)-945</f>
        <v>40329</v>
      </c>
      <c r="D4309" s="4" t="s">
        <v>21</v>
      </c>
      <c r="E4309" s="4">
        <v>24.0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ht="12.75" customHeight="1">
      <c r="A4310" s="4">
        <v>1982.0</v>
      </c>
      <c r="B4310" s="4">
        <v>14119.0</v>
      </c>
      <c r="C4310" s="5">
        <f t="shared" si="1806"/>
        <v>40329</v>
      </c>
      <c r="D4310" s="4" t="s">
        <v>21</v>
      </c>
      <c r="E4310" s="4">
        <v>35.0</v>
      </c>
      <c r="F4310" s="4">
        <v>1599.071</v>
      </c>
      <c r="G4310" s="4">
        <v>0.04</v>
      </c>
      <c r="H4310" s="4" t="s">
        <v>22</v>
      </c>
      <c r="I4310" s="6">
        <v>296.658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ht="12.75" customHeight="1">
      <c r="A4311" s="4">
        <v>1983.0</v>
      </c>
      <c r="B4311" s="4">
        <v>14119.0</v>
      </c>
      <c r="C4311" s="5">
        <f t="shared" si="1806"/>
        <v>40329</v>
      </c>
      <c r="D4311" s="4" t="s">
        <v>21</v>
      </c>
      <c r="E4311" s="4">
        <v>31.0</v>
      </c>
      <c r="F4311" s="4">
        <v>968.235</v>
      </c>
      <c r="G4311" s="4">
        <v>0.05</v>
      </c>
      <c r="H4311" s="4" t="s">
        <v>22</v>
      </c>
      <c r="I4311" s="6">
        <v>-158.609</v>
      </c>
      <c r="J4311" s="4">
        <v>35.99</v>
      </c>
      <c r="K4311" s="4">
        <v>5.0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7">C4311+2</f>
        <v>40331</v>
      </c>
    </row>
    <row r="4312" ht="12.75" customHeight="1">
      <c r="A4312" s="4">
        <v>2020.0</v>
      </c>
      <c r="B4312" s="4">
        <v>14402.0</v>
      </c>
      <c r="C4312" s="5">
        <f>DATE(2012,12,31)-809</f>
        <v>40465</v>
      </c>
      <c r="D4312" s="4" t="s">
        <v>63</v>
      </c>
      <c r="E4312" s="4">
        <v>1.0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160.98</v>
      </c>
      <c r="K4312" s="4">
        <v>30.0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7"/>
        <v>40467</v>
      </c>
    </row>
    <row r="4313" ht="12.75" customHeight="1">
      <c r="A4313" s="4">
        <v>2032.0</v>
      </c>
      <c r="B4313" s="4">
        <v>14499.0</v>
      </c>
      <c r="C4313" s="5">
        <f>DATE(2012,12,31)-778</f>
        <v>40496</v>
      </c>
      <c r="D4313" s="4" t="s">
        <v>21</v>
      </c>
      <c r="E4313" s="4">
        <v>28.0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ht="12.75" customHeight="1">
      <c r="A4314" s="4">
        <v>2110.0</v>
      </c>
      <c r="B4314" s="4">
        <v>15079.0</v>
      </c>
      <c r="C4314" s="5">
        <f t="shared" ref="C4314:C4315" si="1808">DATE(2012,12,31)-1081</f>
        <v>40193</v>
      </c>
      <c r="D4314" s="4" t="s">
        <v>63</v>
      </c>
      <c r="E4314" s="4">
        <v>45.0</v>
      </c>
      <c r="F4314" s="4">
        <v>3753.42</v>
      </c>
      <c r="G4314" s="4">
        <v>0.0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ht="12.75" customHeight="1">
      <c r="A4315" s="4">
        <v>2111.0</v>
      </c>
      <c r="B4315" s="4">
        <v>15079.0</v>
      </c>
      <c r="C4315" s="5">
        <f t="shared" si="1808"/>
        <v>40193</v>
      </c>
      <c r="D4315" s="4" t="s">
        <v>63</v>
      </c>
      <c r="E4315" s="4">
        <v>23.0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9">C4315+1</f>
        <v>40194</v>
      </c>
    </row>
    <row r="4316" ht="12.75" customHeight="1">
      <c r="A4316" s="4">
        <v>2134.0</v>
      </c>
      <c r="B4316" s="4">
        <v>15236.0</v>
      </c>
      <c r="C4316" s="5">
        <f t="shared" ref="C4316:C4317" si="1810">DATE(2012,12,31)-266</f>
        <v>41008</v>
      </c>
      <c r="D4316" s="4" t="s">
        <v>45</v>
      </c>
      <c r="E4316" s="4">
        <v>33.0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9"/>
        <v>41009</v>
      </c>
    </row>
    <row r="4317" ht="12.75" customHeight="1">
      <c r="A4317" s="4">
        <v>2135.0</v>
      </c>
      <c r="B4317" s="4">
        <v>15236.0</v>
      </c>
      <c r="C4317" s="5">
        <f t="shared" si="1810"/>
        <v>41008</v>
      </c>
      <c r="D4317" s="4" t="s">
        <v>45</v>
      </c>
      <c r="E4317" s="4">
        <v>30.0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1">C4317+2</f>
        <v>41010</v>
      </c>
    </row>
    <row r="4318" ht="12.75" customHeight="1">
      <c r="A4318" s="4">
        <v>2148.0</v>
      </c>
      <c r="B4318" s="4">
        <v>15397.0</v>
      </c>
      <c r="C4318" s="5">
        <f t="shared" ref="C4318:C4320" si="1812">DATE(2012,12,31)-1059</f>
        <v>40215</v>
      </c>
      <c r="D4318" s="4" t="s">
        <v>78</v>
      </c>
      <c r="E4318" s="4">
        <v>42.0</v>
      </c>
      <c r="F4318" s="4">
        <v>223.33</v>
      </c>
      <c r="G4318" s="4">
        <v>0.0</v>
      </c>
      <c r="H4318" s="4" t="s">
        <v>56</v>
      </c>
      <c r="I4318" s="6">
        <v>-111.89</v>
      </c>
      <c r="J4318" s="4">
        <v>4.98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1"/>
        <v>40217</v>
      </c>
    </row>
    <row r="4319" ht="12.75" customHeight="1">
      <c r="A4319" s="4">
        <v>2149.0</v>
      </c>
      <c r="B4319" s="4">
        <v>15397.0</v>
      </c>
      <c r="C4319" s="5">
        <f t="shared" si="1812"/>
        <v>40215</v>
      </c>
      <c r="D4319" s="4" t="s">
        <v>78</v>
      </c>
      <c r="E4319" s="4">
        <v>29.0</v>
      </c>
      <c r="F4319" s="4">
        <v>1178.04</v>
      </c>
      <c r="G4319" s="4">
        <v>0.07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ht="12.75" customHeight="1">
      <c r="A4320" s="4">
        <v>2150.0</v>
      </c>
      <c r="B4320" s="4">
        <v>15397.0</v>
      </c>
      <c r="C4320" s="5">
        <f t="shared" si="1812"/>
        <v>40215</v>
      </c>
      <c r="D4320" s="4" t="s">
        <v>78</v>
      </c>
      <c r="E4320" s="4">
        <v>43.0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0.58</v>
      </c>
      <c r="U4320" s="5">
        <f t="shared" ref="U4320:U4321" si="1813">C4320+1</f>
        <v>40216</v>
      </c>
    </row>
    <row r="4321" ht="12.75" customHeight="1">
      <c r="A4321" s="4">
        <v>2185.0</v>
      </c>
      <c r="B4321" s="4">
        <v>15719.0</v>
      </c>
      <c r="C4321" s="5">
        <f>DATE(2012,12,31)-713</f>
        <v>40561</v>
      </c>
      <c r="D4321" s="4" t="s">
        <v>78</v>
      </c>
      <c r="E4321" s="4">
        <v>18.0</v>
      </c>
      <c r="F4321" s="4">
        <v>5405.44</v>
      </c>
      <c r="G4321" s="4">
        <v>0.07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</v>
      </c>
      <c r="U4321" s="5">
        <f t="shared" si="1813"/>
        <v>40562</v>
      </c>
    </row>
    <row r="4322" ht="12.75" customHeight="1">
      <c r="A4322" s="4">
        <v>2226.0</v>
      </c>
      <c r="B4322" s="4">
        <v>16098.0</v>
      </c>
      <c r="C4322" s="5">
        <f>DATE(2012,12,31)-163</f>
        <v>41111</v>
      </c>
      <c r="D4322" s="4" t="s">
        <v>21</v>
      </c>
      <c r="E4322" s="4">
        <v>44.0</v>
      </c>
      <c r="F4322" s="4">
        <v>1001.99</v>
      </c>
      <c r="G4322" s="4">
        <v>0.09</v>
      </c>
      <c r="H4322" s="4" t="s">
        <v>22</v>
      </c>
      <c r="I4322" s="6">
        <v>333.5315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ht="12.75" customHeight="1">
      <c r="A4323" s="4">
        <v>2282.0</v>
      </c>
      <c r="B4323" s="4">
        <v>16450.0</v>
      </c>
      <c r="C4323" s="5">
        <f>DATE(2012,12,31)-596</f>
        <v>40678</v>
      </c>
      <c r="D4323" s="4" t="s">
        <v>63</v>
      </c>
      <c r="E4323" s="4">
        <v>12.0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ht="12.75" customHeight="1">
      <c r="A4324" s="4">
        <v>2371.0</v>
      </c>
      <c r="B4324" s="4">
        <v>17186.0</v>
      </c>
      <c r="C4324" s="5">
        <f t="shared" ref="C4324:C4325" si="1814">DATE(2012,12,31)-1435</f>
        <v>39839</v>
      </c>
      <c r="D4324" s="4" t="s">
        <v>63</v>
      </c>
      <c r="E4324" s="4">
        <v>49.0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5">C4324+2</f>
        <v>39841</v>
      </c>
    </row>
    <row r="4325" ht="12.75" customHeight="1">
      <c r="A4325" s="4">
        <v>2372.0</v>
      </c>
      <c r="B4325" s="4">
        <v>17186.0</v>
      </c>
      <c r="C4325" s="5">
        <f t="shared" si="1814"/>
        <v>39839</v>
      </c>
      <c r="D4325" s="4" t="s">
        <v>63</v>
      </c>
      <c r="E4325" s="4">
        <v>11.0</v>
      </c>
      <c r="F4325" s="4">
        <v>67.14</v>
      </c>
      <c r="G4325" s="4">
        <v>0.07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5"/>
        <v>39841</v>
      </c>
    </row>
    <row r="4326" ht="12.75" customHeight="1">
      <c r="A4326" s="4">
        <v>2397.0</v>
      </c>
      <c r="B4326" s="4">
        <v>17379.0</v>
      </c>
      <c r="C4326" s="5">
        <f>DATE(2012,12,31)-505</f>
        <v>40769</v>
      </c>
      <c r="D4326" s="4" t="s">
        <v>78</v>
      </c>
      <c r="E4326" s="4">
        <v>29.0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5"/>
        <v>40771</v>
      </c>
    </row>
    <row r="4327" ht="12.75" customHeight="1">
      <c r="A4327" s="4">
        <v>2424.0</v>
      </c>
      <c r="B4327" s="4">
        <v>17573.0</v>
      </c>
      <c r="C4327" s="5">
        <f>DATE(2012,12,31)-484</f>
        <v>40790</v>
      </c>
      <c r="D4327" s="4" t="s">
        <v>21</v>
      </c>
      <c r="E4327" s="4">
        <v>23.0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ht="12.75" customHeight="1">
      <c r="A4328" s="4">
        <v>2441.0</v>
      </c>
      <c r="B4328" s="4">
        <v>17702.0</v>
      </c>
      <c r="C4328" s="5">
        <f>DATE(2012,12,31)-262</f>
        <v>41012</v>
      </c>
      <c r="D4328" s="4" t="s">
        <v>30</v>
      </c>
      <c r="E4328" s="4">
        <v>48.0</v>
      </c>
      <c r="F4328" s="4">
        <v>368.99</v>
      </c>
      <c r="G4328" s="4">
        <v>0.09</v>
      </c>
      <c r="H4328" s="4" t="s">
        <v>22</v>
      </c>
      <c r="I4328" s="6">
        <v>-305.91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0.58</v>
      </c>
      <c r="U4328" s="5">
        <f>C4328+1</f>
        <v>41013</v>
      </c>
    </row>
    <row r="4329" ht="12.75" customHeight="1">
      <c r="A4329" s="4">
        <v>2576.0</v>
      </c>
      <c r="B4329" s="4">
        <v>18595.0</v>
      </c>
      <c r="C4329" s="5">
        <f t="shared" ref="C4329:C4330" si="1816">DATE(2012,12,31)-1430</f>
        <v>39844</v>
      </c>
      <c r="D4329" s="4" t="s">
        <v>78</v>
      </c>
      <c r="E4329" s="4">
        <v>6.0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7">C4329+2</f>
        <v>39846</v>
      </c>
    </row>
    <row r="4330" ht="12.75" customHeight="1">
      <c r="A4330" s="4">
        <v>2577.0</v>
      </c>
      <c r="B4330" s="4">
        <v>18595.0</v>
      </c>
      <c r="C4330" s="5">
        <f t="shared" si="1816"/>
        <v>39844</v>
      </c>
      <c r="D4330" s="4" t="s">
        <v>78</v>
      </c>
      <c r="E4330" s="4">
        <v>16.0</v>
      </c>
      <c r="F4330" s="4">
        <v>138.55</v>
      </c>
      <c r="G4330" s="4">
        <v>0.03</v>
      </c>
      <c r="H4330" s="4" t="s">
        <v>22</v>
      </c>
      <c r="I4330" s="6">
        <v>0.8999999999999986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7"/>
        <v>39846</v>
      </c>
    </row>
    <row r="4331" ht="12.75" customHeight="1">
      <c r="A4331" s="4">
        <v>2655.0</v>
      </c>
      <c r="B4331" s="4">
        <v>19205.0</v>
      </c>
      <c r="C4331" s="5">
        <f t="shared" ref="C4331:C4332" si="1818">DATE(2012,12,31)-889</f>
        <v>40385</v>
      </c>
      <c r="D4331" s="4" t="s">
        <v>63</v>
      </c>
      <c r="E4331" s="4">
        <v>47.0</v>
      </c>
      <c r="F4331" s="4">
        <v>1291.35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ht="12.75" customHeight="1">
      <c r="A4332" s="4">
        <v>2656.0</v>
      </c>
      <c r="B4332" s="4">
        <v>19205.0</v>
      </c>
      <c r="C4332" s="5">
        <f t="shared" si="1818"/>
        <v>40385</v>
      </c>
      <c r="D4332" s="4" t="s">
        <v>63</v>
      </c>
      <c r="E4332" s="4">
        <v>31.0</v>
      </c>
      <c r="F4332" s="4">
        <v>107.97</v>
      </c>
      <c r="G4332" s="4">
        <v>0.0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9">C4332+2</f>
        <v>40387</v>
      </c>
    </row>
    <row r="4333" ht="12.75" customHeight="1">
      <c r="A4333" s="4">
        <v>2694.0</v>
      </c>
      <c r="B4333" s="4">
        <v>19494.0</v>
      </c>
      <c r="C4333" s="5">
        <f t="shared" ref="C4333:C4334" si="1820">DATE(2012,12,31)-1084</f>
        <v>40190</v>
      </c>
      <c r="D4333" s="4" t="s">
        <v>30</v>
      </c>
      <c r="E4333" s="4">
        <v>39.0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9"/>
        <v>40192</v>
      </c>
    </row>
    <row r="4334" ht="12.75" customHeight="1">
      <c r="A4334" s="4">
        <v>2695.0</v>
      </c>
      <c r="B4334" s="4">
        <v>19494.0</v>
      </c>
      <c r="C4334" s="5">
        <f t="shared" si="1820"/>
        <v>40190</v>
      </c>
      <c r="D4334" s="4" t="s">
        <v>30</v>
      </c>
      <c r="E4334" s="4">
        <v>2.0</v>
      </c>
      <c r="F4334" s="4">
        <v>8.87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0.58</v>
      </c>
      <c r="U4334" s="5">
        <f>C4334+3</f>
        <v>40193</v>
      </c>
    </row>
    <row r="4335" ht="12.75" customHeight="1">
      <c r="A4335" s="4">
        <v>2699.0</v>
      </c>
      <c r="B4335" s="4">
        <v>19523.0</v>
      </c>
      <c r="C4335" s="5">
        <f>DATE(2012,12,31)-397</f>
        <v>40877</v>
      </c>
      <c r="D4335" s="4" t="s">
        <v>30</v>
      </c>
      <c r="E4335" s="4">
        <v>44.0</v>
      </c>
      <c r="F4335" s="4">
        <v>155.78</v>
      </c>
      <c r="G4335" s="4">
        <v>0.04</v>
      </c>
      <c r="H4335" s="4" t="s">
        <v>22</v>
      </c>
      <c r="I4335" s="6">
        <v>-10.0</v>
      </c>
      <c r="J4335" s="4">
        <v>3.6</v>
      </c>
      <c r="K4335" s="4">
        <v>2.2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ht="12.75" customHeight="1">
      <c r="A4336" s="4">
        <v>2842.0</v>
      </c>
      <c r="B4336" s="4">
        <v>20482.0</v>
      </c>
      <c r="C4336" s="5">
        <f t="shared" ref="C4336:C4337" si="1821">DATE(2012,12,31)-532</f>
        <v>40742</v>
      </c>
      <c r="D4336" s="4" t="s">
        <v>63</v>
      </c>
      <c r="E4336" s="4">
        <v>38.0</v>
      </c>
      <c r="F4336" s="4">
        <v>4650.07</v>
      </c>
      <c r="G4336" s="4">
        <v>0.04</v>
      </c>
      <c r="H4336" s="4" t="s">
        <v>31</v>
      </c>
      <c r="I4336" s="6">
        <v>-1143.15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ht="12.75" customHeight="1">
      <c r="A4337" s="4">
        <v>2843.0</v>
      </c>
      <c r="B4337" s="4">
        <v>20482.0</v>
      </c>
      <c r="C4337" s="5">
        <f t="shared" si="1821"/>
        <v>40742</v>
      </c>
      <c r="D4337" s="4" t="s">
        <v>63</v>
      </c>
      <c r="E4337" s="4">
        <v>39.0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ht="12.75" customHeight="1">
      <c r="A4338" s="4">
        <v>2963.0</v>
      </c>
      <c r="B4338" s="4">
        <v>21414.0</v>
      </c>
      <c r="C4338" s="5">
        <f>DATE(2012,12,31)-607</f>
        <v>40667</v>
      </c>
      <c r="D4338" s="4" t="s">
        <v>78</v>
      </c>
      <c r="E4338" s="4">
        <v>43.0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ht="12.75" customHeight="1">
      <c r="A4339" s="4">
        <v>2967.0</v>
      </c>
      <c r="B4339" s="4">
        <v>21445.0</v>
      </c>
      <c r="C4339" s="5">
        <f t="shared" ref="C4339:C4340" si="1822">DATE(2012,12,31)-1140</f>
        <v>40134</v>
      </c>
      <c r="D4339" s="4" t="s">
        <v>21</v>
      </c>
      <c r="E4339" s="4">
        <v>14.0</v>
      </c>
      <c r="F4339" s="4">
        <v>75.15</v>
      </c>
      <c r="G4339" s="4">
        <v>0.02</v>
      </c>
      <c r="H4339" s="4" t="s">
        <v>56</v>
      </c>
      <c r="I4339" s="6">
        <v>-63.53</v>
      </c>
      <c r="J4339" s="4">
        <v>4.06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3">C4339+4</f>
        <v>40138</v>
      </c>
    </row>
    <row r="4340" ht="12.75" customHeight="1">
      <c r="A4340" s="4">
        <v>2968.0</v>
      </c>
      <c r="B4340" s="4">
        <v>21445.0</v>
      </c>
      <c r="C4340" s="5">
        <f t="shared" si="1822"/>
        <v>40134</v>
      </c>
      <c r="D4340" s="4" t="s">
        <v>21</v>
      </c>
      <c r="E4340" s="4">
        <v>43.0</v>
      </c>
      <c r="F4340" s="4">
        <v>400.45</v>
      </c>
      <c r="G4340" s="4">
        <v>0.07</v>
      </c>
      <c r="H4340" s="4" t="s">
        <v>22</v>
      </c>
      <c r="I4340" s="6">
        <v>-38.5758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3"/>
        <v>40138</v>
      </c>
    </row>
    <row r="4341" ht="12.75" customHeight="1">
      <c r="A4341" s="4">
        <v>2987.0</v>
      </c>
      <c r="B4341" s="4">
        <v>21573.0</v>
      </c>
      <c r="C4341" s="5">
        <f t="shared" ref="C4341:C4343" si="1824">DATE(2012,12,31)-250</f>
        <v>41024</v>
      </c>
      <c r="D4341" s="4" t="s">
        <v>78</v>
      </c>
      <c r="E4341" s="4">
        <v>31.0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5">C4341+2</f>
        <v>41026</v>
      </c>
    </row>
    <row r="4342" ht="12.75" customHeight="1">
      <c r="A4342" s="4">
        <v>2988.0</v>
      </c>
      <c r="B4342" s="4">
        <v>21573.0</v>
      </c>
      <c r="C4342" s="5">
        <f t="shared" si="1824"/>
        <v>41024</v>
      </c>
      <c r="D4342" s="4" t="s">
        <v>78</v>
      </c>
      <c r="E4342" s="4">
        <v>7.0</v>
      </c>
      <c r="F4342" s="4">
        <v>70.08</v>
      </c>
      <c r="G4342" s="4">
        <v>0.0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5"/>
        <v>41026</v>
      </c>
    </row>
    <row r="4343" ht="12.75" customHeight="1">
      <c r="A4343" s="4">
        <v>2989.0</v>
      </c>
      <c r="B4343" s="4">
        <v>21573.0</v>
      </c>
      <c r="C4343" s="5">
        <f t="shared" si="1824"/>
        <v>41024</v>
      </c>
      <c r="D4343" s="4" t="s">
        <v>78</v>
      </c>
      <c r="E4343" s="4">
        <v>3.0</v>
      </c>
      <c r="F4343" s="4">
        <v>234.768</v>
      </c>
      <c r="G4343" s="4">
        <v>0.04</v>
      </c>
      <c r="H4343" s="4" t="s">
        <v>31</v>
      </c>
      <c r="I4343" s="6">
        <v>54.23085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5"/>
        <v>41026</v>
      </c>
    </row>
    <row r="4344" ht="12.75" customHeight="1">
      <c r="A4344" s="4">
        <v>3004.0</v>
      </c>
      <c r="B4344" s="4">
        <v>21636.0</v>
      </c>
      <c r="C4344" s="5">
        <f t="shared" ref="C4344:C4345" si="1826">DATE(2012,12,31)-1239</f>
        <v>40035</v>
      </c>
      <c r="D4344" s="4" t="s">
        <v>21</v>
      </c>
      <c r="E4344" s="4">
        <v>16.0</v>
      </c>
      <c r="F4344" s="4">
        <v>376.65</v>
      </c>
      <c r="G4344" s="4">
        <v>0.0</v>
      </c>
      <c r="H4344" s="4" t="s">
        <v>56</v>
      </c>
      <c r="I4344" s="6">
        <v>-52.647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ht="12.75" customHeight="1">
      <c r="A4345" s="4">
        <v>3005.0</v>
      </c>
      <c r="B4345" s="4">
        <v>21636.0</v>
      </c>
      <c r="C4345" s="5">
        <f t="shared" si="1826"/>
        <v>40035</v>
      </c>
      <c r="D4345" s="4" t="s">
        <v>21</v>
      </c>
      <c r="E4345" s="4">
        <v>6.0</v>
      </c>
      <c r="F4345" s="4">
        <v>40.06</v>
      </c>
      <c r="G4345" s="4">
        <v>0.07</v>
      </c>
      <c r="H4345" s="4" t="s">
        <v>22</v>
      </c>
      <c r="I4345" s="6">
        <v>-24.44</v>
      </c>
      <c r="J4345" s="4">
        <v>5.98</v>
      </c>
      <c r="K4345" s="4">
        <v>4.69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ht="12.75" customHeight="1">
      <c r="A4346" s="4">
        <v>3030.0</v>
      </c>
      <c r="B4346" s="4">
        <v>21795.0</v>
      </c>
      <c r="C4346" s="5">
        <f t="shared" ref="C4346:C4347" si="1827">DATE(2012,12,31)-932</f>
        <v>40342</v>
      </c>
      <c r="D4346" s="4" t="s">
        <v>45</v>
      </c>
      <c r="E4346" s="4">
        <v>10.0</v>
      </c>
      <c r="F4346" s="4">
        <v>278.66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4.0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ht="12.75" customHeight="1">
      <c r="A4347" s="4">
        <v>3031.0</v>
      </c>
      <c r="B4347" s="4">
        <v>21795.0</v>
      </c>
      <c r="C4347" s="5">
        <f t="shared" si="1827"/>
        <v>40342</v>
      </c>
      <c r="D4347" s="4" t="s">
        <v>45</v>
      </c>
      <c r="E4347" s="4">
        <v>28.0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9.03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ht="12.75" customHeight="1">
      <c r="A4348" s="4">
        <v>3044.0</v>
      </c>
      <c r="B4348" s="4">
        <v>21859.0</v>
      </c>
      <c r="C4348" s="5">
        <f>DATE(2012,12,31)-409</f>
        <v>40865</v>
      </c>
      <c r="D4348" s="4" t="s">
        <v>30</v>
      </c>
      <c r="E4348" s="4">
        <v>42.0</v>
      </c>
      <c r="F4348" s="4">
        <v>401.37</v>
      </c>
      <c r="G4348" s="4">
        <v>0.07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ht="12.75" customHeight="1">
      <c r="A4349" s="4">
        <v>3069.0</v>
      </c>
      <c r="B4349" s="4">
        <v>21989.0</v>
      </c>
      <c r="C4349" s="5">
        <f t="shared" ref="C4349:C4350" si="1828">DATE(2012,12,31)-690</f>
        <v>40584</v>
      </c>
      <c r="D4349" s="4" t="s">
        <v>21</v>
      </c>
      <c r="E4349" s="4">
        <v>9.0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9">C4349+0</f>
        <v>40584</v>
      </c>
    </row>
    <row r="4350" ht="12.75" customHeight="1">
      <c r="A4350" s="4">
        <v>3070.0</v>
      </c>
      <c r="B4350" s="4">
        <v>21989.0</v>
      </c>
      <c r="C4350" s="5">
        <f t="shared" si="1828"/>
        <v>40584</v>
      </c>
      <c r="D4350" s="4" t="s">
        <v>21</v>
      </c>
      <c r="E4350" s="4">
        <v>35.0</v>
      </c>
      <c r="F4350" s="4">
        <v>3814.1710000000003</v>
      </c>
      <c r="G4350" s="4">
        <v>0.04</v>
      </c>
      <c r="H4350" s="4" t="s">
        <v>22</v>
      </c>
      <c r="I4350" s="6">
        <v>1077.129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0.57</v>
      </c>
      <c r="U4350" s="5">
        <f t="shared" si="1829"/>
        <v>40584</v>
      </c>
    </row>
    <row r="4351" ht="12.75" customHeight="1">
      <c r="A4351" s="4">
        <v>3090.0</v>
      </c>
      <c r="B4351" s="4">
        <v>22151.0</v>
      </c>
      <c r="C4351" s="5">
        <f>DATE(2012,12,31)-884</f>
        <v>40390</v>
      </c>
      <c r="D4351" s="4" t="s">
        <v>30</v>
      </c>
      <c r="E4351" s="4">
        <v>20.0</v>
      </c>
      <c r="F4351" s="4">
        <v>515.37</v>
      </c>
      <c r="G4351" s="4">
        <v>0.04</v>
      </c>
      <c r="H4351" s="4" t="s">
        <v>22</v>
      </c>
      <c r="I4351" s="6">
        <v>9.8175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30">C4351+1</f>
        <v>40391</v>
      </c>
    </row>
    <row r="4352" ht="12.75" customHeight="1">
      <c r="A4352" s="4">
        <v>3161.0</v>
      </c>
      <c r="B4352" s="4">
        <v>22688.0</v>
      </c>
      <c r="C4352" s="5">
        <f>DATE(2012,12,31)-258</f>
        <v>41016</v>
      </c>
      <c r="D4352" s="4" t="s">
        <v>63</v>
      </c>
      <c r="E4352" s="4">
        <v>40.0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65.99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</v>
      </c>
      <c r="U4352" s="5">
        <f t="shared" si="1830"/>
        <v>41017</v>
      </c>
    </row>
    <row r="4353" ht="12.75" customHeight="1">
      <c r="A4353" s="4">
        <v>3197.0</v>
      </c>
      <c r="B4353" s="4">
        <v>22916.0</v>
      </c>
      <c r="C4353" s="5">
        <f>DATE(2012,12,31)-333</f>
        <v>40941</v>
      </c>
      <c r="D4353" s="4" t="s">
        <v>63</v>
      </c>
      <c r="E4353" s="4">
        <v>18.0</v>
      </c>
      <c r="F4353" s="4">
        <v>122.02</v>
      </c>
      <c r="G4353" s="4">
        <v>0.04</v>
      </c>
      <c r="H4353" s="4" t="s">
        <v>22</v>
      </c>
      <c r="I4353" s="6">
        <v>-115.0</v>
      </c>
      <c r="J4353" s="4">
        <v>6.48</v>
      </c>
      <c r="K4353" s="4">
        <v>10.05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30"/>
        <v>40942</v>
      </c>
    </row>
    <row r="4354" ht="12.75" customHeight="1">
      <c r="A4354" s="4">
        <v>3202.0</v>
      </c>
      <c r="B4354" s="4">
        <v>22951.0</v>
      </c>
      <c r="C4354" s="5">
        <f>DATE(2012,12,31)-242</f>
        <v>41032</v>
      </c>
      <c r="D4354" s="4" t="s">
        <v>63</v>
      </c>
      <c r="E4354" s="4">
        <v>24.0</v>
      </c>
      <c r="F4354" s="4">
        <v>1304.0275</v>
      </c>
      <c r="G4354" s="4">
        <v>0.1</v>
      </c>
      <c r="H4354" s="4" t="s">
        <v>22</v>
      </c>
      <c r="I4354" s="6">
        <v>34.362</v>
      </c>
      <c r="J4354" s="4">
        <v>65.99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ht="12.75" customHeight="1">
      <c r="A4355" s="4">
        <v>3205.0</v>
      </c>
      <c r="B4355" s="4">
        <v>22980.0</v>
      </c>
      <c r="C4355" s="5">
        <f>DATE(2012,12,31)-91</f>
        <v>41183</v>
      </c>
      <c r="D4355" s="4" t="s">
        <v>45</v>
      </c>
      <c r="E4355" s="4">
        <v>10.0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ht="12.75" customHeight="1">
      <c r="A4356" s="4">
        <v>3281.0</v>
      </c>
      <c r="B4356" s="4">
        <v>23429.0</v>
      </c>
      <c r="C4356" s="5">
        <f t="shared" ref="C4356:C4357" si="1831">DATE(2012,12,31)-1383</f>
        <v>39891</v>
      </c>
      <c r="D4356" s="4" t="s">
        <v>78</v>
      </c>
      <c r="E4356" s="4">
        <v>28.0</v>
      </c>
      <c r="F4356" s="4">
        <v>154.61</v>
      </c>
      <c r="G4356" s="4">
        <v>0.06</v>
      </c>
      <c r="H4356" s="4" t="s">
        <v>22</v>
      </c>
      <c r="I4356" s="6">
        <v>-82.823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ht="12.75" customHeight="1">
      <c r="A4357" s="4">
        <v>3282.0</v>
      </c>
      <c r="B4357" s="4">
        <v>23429.0</v>
      </c>
      <c r="C4357" s="5">
        <f t="shared" si="1831"/>
        <v>39891</v>
      </c>
      <c r="D4357" s="4" t="s">
        <v>78</v>
      </c>
      <c r="E4357" s="4">
        <v>19.0</v>
      </c>
      <c r="F4357" s="4">
        <v>1063.35</v>
      </c>
      <c r="G4357" s="4">
        <v>0.07</v>
      </c>
      <c r="H4357" s="4" t="s">
        <v>56</v>
      </c>
      <c r="I4357" s="6">
        <v>107.08200000000001</v>
      </c>
      <c r="J4357" s="4">
        <v>65.99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</v>
      </c>
      <c r="U4357" s="5">
        <f t="shared" ref="U4357:U4358" si="1832">C4357+2</f>
        <v>39893</v>
      </c>
    </row>
    <row r="4358" ht="12.75" customHeight="1">
      <c r="A4358" s="4">
        <v>3315.0</v>
      </c>
      <c r="B4358" s="4">
        <v>23681.0</v>
      </c>
      <c r="C4358" s="5">
        <f>DATE(2012,12,31)-226</f>
        <v>41048</v>
      </c>
      <c r="D4358" s="4" t="s">
        <v>30</v>
      </c>
      <c r="E4358" s="4">
        <v>42.0</v>
      </c>
      <c r="F4358" s="4">
        <v>4182.52</v>
      </c>
      <c r="G4358" s="4">
        <v>0.0</v>
      </c>
      <c r="H4358" s="4" t="s">
        <v>56</v>
      </c>
      <c r="I4358" s="6">
        <v>-785.36</v>
      </c>
      <c r="J4358" s="4">
        <v>95.99</v>
      </c>
      <c r="K4358" s="4">
        <v>35.0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2"/>
        <v>41050</v>
      </c>
    </row>
    <row r="4359" ht="12.75" customHeight="1">
      <c r="A4359" s="4">
        <v>3405.0</v>
      </c>
      <c r="B4359" s="4">
        <v>24263.0</v>
      </c>
      <c r="C4359" s="5">
        <f>DATE(2012,12,31)-107</f>
        <v>41167</v>
      </c>
      <c r="D4359" s="4" t="s">
        <v>21</v>
      </c>
      <c r="E4359" s="4">
        <v>16.0</v>
      </c>
      <c r="F4359" s="4">
        <v>512.81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0.58</v>
      </c>
      <c r="U4359" s="5">
        <f>C4359+7</f>
        <v>41174</v>
      </c>
    </row>
    <row r="4360" ht="12.75" customHeight="1">
      <c r="A4360" s="4">
        <v>3430.0</v>
      </c>
      <c r="B4360" s="4">
        <v>24455.0</v>
      </c>
      <c r="C4360" s="5">
        <f t="shared" ref="C4360:C4361" si="1833">DATE(2012,12,31)-1121</f>
        <v>40153</v>
      </c>
      <c r="D4360" s="4" t="s">
        <v>45</v>
      </c>
      <c r="E4360" s="4">
        <v>8.0</v>
      </c>
      <c r="F4360" s="4">
        <v>169.11</v>
      </c>
      <c r="G4360" s="4">
        <v>0.0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ht="12.75" customHeight="1">
      <c r="A4361" s="4">
        <v>3431.0</v>
      </c>
      <c r="B4361" s="4">
        <v>24455.0</v>
      </c>
      <c r="C4361" s="5">
        <f t="shared" si="1833"/>
        <v>40153</v>
      </c>
      <c r="D4361" s="4" t="s">
        <v>45</v>
      </c>
      <c r="E4361" s="4">
        <v>41.0</v>
      </c>
      <c r="F4361" s="4">
        <v>152.59</v>
      </c>
      <c r="G4361" s="4">
        <v>0.07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ht="12.75" customHeight="1">
      <c r="A4362" s="4">
        <v>3471.0</v>
      </c>
      <c r="B4362" s="4">
        <v>24707.0</v>
      </c>
      <c r="C4362" s="5">
        <f t="shared" ref="C4362:C4363" si="1834">DATE(2012,12,31)-296</f>
        <v>40978</v>
      </c>
      <c r="D4362" s="4" t="s">
        <v>63</v>
      </c>
      <c r="E4362" s="4">
        <v>14.0</v>
      </c>
      <c r="F4362" s="4">
        <v>1961.39</v>
      </c>
      <c r="G4362" s="4">
        <v>0.0</v>
      </c>
      <c r="H4362" s="4" t="s">
        <v>22</v>
      </c>
      <c r="I4362" s="6">
        <v>761.04</v>
      </c>
      <c r="J4362" s="4">
        <v>136.98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ht="12.75" customHeight="1">
      <c r="A4363" s="4">
        <v>3472.0</v>
      </c>
      <c r="B4363" s="4">
        <v>24707.0</v>
      </c>
      <c r="C4363" s="5">
        <f t="shared" si="1834"/>
        <v>40978</v>
      </c>
      <c r="D4363" s="4" t="s">
        <v>63</v>
      </c>
      <c r="E4363" s="4">
        <v>3.0</v>
      </c>
      <c r="F4363" s="4">
        <v>4.94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ht="12.75" customHeight="1">
      <c r="A4364" s="4">
        <v>3523.0</v>
      </c>
      <c r="B4364" s="4">
        <v>25091.0</v>
      </c>
      <c r="C4364" s="5">
        <f>DATE(2012,12,31)-1046</f>
        <v>40228</v>
      </c>
      <c r="D4364" s="4" t="s">
        <v>63</v>
      </c>
      <c r="E4364" s="4">
        <v>4.0</v>
      </c>
      <c r="F4364" s="4">
        <v>156.97</v>
      </c>
      <c r="G4364" s="4">
        <v>0.01</v>
      </c>
      <c r="H4364" s="4" t="s">
        <v>22</v>
      </c>
      <c r="I4364" s="6">
        <v>-25.4265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ht="12.75" customHeight="1">
      <c r="A4365" s="4">
        <v>3673.0</v>
      </c>
      <c r="B4365" s="4">
        <v>26305.0</v>
      </c>
      <c r="C4365" s="5">
        <f t="shared" ref="C4365:C4366" si="1835">DATE(2012,12,31)-760</f>
        <v>40514</v>
      </c>
      <c r="D4365" s="4" t="s">
        <v>63</v>
      </c>
      <c r="E4365" s="4">
        <v>50.0</v>
      </c>
      <c r="F4365" s="4">
        <v>1118.21</v>
      </c>
      <c r="G4365" s="4">
        <v>0.07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ht="12.75" customHeight="1">
      <c r="A4366" s="4">
        <v>3674.0</v>
      </c>
      <c r="B4366" s="4">
        <v>26305.0</v>
      </c>
      <c r="C4366" s="5">
        <f t="shared" si="1835"/>
        <v>40514</v>
      </c>
      <c r="D4366" s="4" t="s">
        <v>63</v>
      </c>
      <c r="E4366" s="4">
        <v>13.0</v>
      </c>
      <c r="F4366" s="4">
        <v>3503.56</v>
      </c>
      <c r="G4366" s="4">
        <v>0.01</v>
      </c>
      <c r="H4366" s="4" t="s">
        <v>31</v>
      </c>
      <c r="I4366" s="6">
        <v>-633.4412370000002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6">C4366+1</f>
        <v>40515</v>
      </c>
    </row>
    <row r="4367" ht="12.75" customHeight="1">
      <c r="A4367" s="4">
        <v>3789.0</v>
      </c>
      <c r="B4367" s="4">
        <v>26982.0</v>
      </c>
      <c r="C4367" s="5">
        <f>DATE(2012,12,31)-247</f>
        <v>41027</v>
      </c>
      <c r="D4367" s="4" t="s">
        <v>45</v>
      </c>
      <c r="E4367" s="4">
        <v>37.0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6"/>
        <v>41028</v>
      </c>
    </row>
    <row r="4368" ht="12.75" customHeight="1">
      <c r="A4368" s="4">
        <v>3800.0</v>
      </c>
      <c r="B4368" s="4">
        <v>27106.0</v>
      </c>
      <c r="C4368" s="5">
        <f t="shared" ref="C4368:C4372" si="1837">DATE(2012,12,31)-396</f>
        <v>40878</v>
      </c>
      <c r="D4368" s="4" t="s">
        <v>30</v>
      </c>
      <c r="E4368" s="4">
        <v>1.0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ht="12.75" customHeight="1">
      <c r="A4369" s="4">
        <v>3801.0</v>
      </c>
      <c r="B4369" s="4">
        <v>27106.0</v>
      </c>
      <c r="C4369" s="5">
        <f t="shared" si="1837"/>
        <v>40878</v>
      </c>
      <c r="D4369" s="4" t="s">
        <v>30</v>
      </c>
      <c r="E4369" s="4">
        <v>50.0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ht="12.75" customHeight="1">
      <c r="A4370" s="4">
        <v>3802.0</v>
      </c>
      <c r="B4370" s="4">
        <v>27106.0</v>
      </c>
      <c r="C4370" s="5">
        <f t="shared" si="1837"/>
        <v>40878</v>
      </c>
      <c r="D4370" s="4" t="s">
        <v>30</v>
      </c>
      <c r="E4370" s="4">
        <v>29.0</v>
      </c>
      <c r="F4370" s="4">
        <v>3524.55</v>
      </c>
      <c r="G4370" s="4">
        <v>0.08</v>
      </c>
      <c r="H4370" s="4" t="s">
        <v>31</v>
      </c>
      <c r="I4370" s="6">
        <v>-570.18</v>
      </c>
      <c r="J4370" s="4">
        <v>130.98</v>
      </c>
      <c r="K4370" s="4">
        <v>30.0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8">C4370+2</f>
        <v>40880</v>
      </c>
    </row>
    <row r="4371" ht="12.75" customHeight="1">
      <c r="A4371" s="4">
        <v>3803.0</v>
      </c>
      <c r="B4371" s="4">
        <v>27106.0</v>
      </c>
      <c r="C4371" s="5">
        <f t="shared" si="1837"/>
        <v>40878</v>
      </c>
      <c r="D4371" s="4" t="s">
        <v>30</v>
      </c>
      <c r="E4371" s="4">
        <v>42.0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8"/>
        <v>40880</v>
      </c>
    </row>
    <row r="4372" ht="12.75" customHeight="1">
      <c r="A4372" s="4">
        <v>3804.0</v>
      </c>
      <c r="B4372" s="4">
        <v>27106.0</v>
      </c>
      <c r="C4372" s="5">
        <f t="shared" si="1837"/>
        <v>40878</v>
      </c>
      <c r="D4372" s="4" t="s">
        <v>30</v>
      </c>
      <c r="E4372" s="4">
        <v>10.0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8"/>
        <v>40880</v>
      </c>
    </row>
    <row r="4373" ht="12.75" customHeight="1">
      <c r="A4373" s="4">
        <v>3859.0</v>
      </c>
      <c r="B4373" s="4">
        <v>27527.0</v>
      </c>
      <c r="C4373" s="5">
        <f>DATE(2012,12,31)-762</f>
        <v>40512</v>
      </c>
      <c r="D4373" s="4" t="s">
        <v>63</v>
      </c>
      <c r="E4373" s="4">
        <v>37.0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ht="12.75" customHeight="1">
      <c r="A4374" s="4">
        <v>3886.0</v>
      </c>
      <c r="B4374" s="4">
        <v>27746.0</v>
      </c>
      <c r="C4374" s="5">
        <f>DATE(2012,12,31)-758</f>
        <v>40516</v>
      </c>
      <c r="D4374" s="4" t="s">
        <v>78</v>
      </c>
      <c r="E4374" s="4">
        <v>3.0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ht="12.75" customHeight="1">
      <c r="A4375" s="4">
        <v>3900.0</v>
      </c>
      <c r="B4375" s="4">
        <v>27811.0</v>
      </c>
      <c r="C4375" s="5">
        <f>DATE(2012,12,31)-668</f>
        <v>40606</v>
      </c>
      <c r="D4375" s="4" t="s">
        <v>45</v>
      </c>
      <c r="E4375" s="4">
        <v>4.0</v>
      </c>
      <c r="F4375" s="4">
        <v>73.9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9">C4375+1</f>
        <v>40607</v>
      </c>
    </row>
    <row r="4376" ht="12.75" customHeight="1">
      <c r="A4376" s="4">
        <v>3923.0</v>
      </c>
      <c r="B4376" s="4">
        <v>27974.0</v>
      </c>
      <c r="C4376" s="5">
        <f t="shared" ref="C4376:C4377" si="1840">DATE(2012,12,31)-816</f>
        <v>40458</v>
      </c>
      <c r="D4376" s="4" t="s">
        <v>30</v>
      </c>
      <c r="E4376" s="4">
        <v>35.0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9"/>
        <v>40459</v>
      </c>
    </row>
    <row r="4377" ht="12.75" customHeight="1">
      <c r="A4377" s="4">
        <v>3924.0</v>
      </c>
      <c r="B4377" s="4">
        <v>27974.0</v>
      </c>
      <c r="C4377" s="5">
        <f t="shared" si="1840"/>
        <v>40458</v>
      </c>
      <c r="D4377" s="4" t="s">
        <v>30</v>
      </c>
      <c r="E4377" s="4">
        <v>27.0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9"/>
        <v>40459</v>
      </c>
    </row>
    <row r="4378" ht="12.75" customHeight="1">
      <c r="A4378" s="4">
        <v>4031.0</v>
      </c>
      <c r="B4378" s="4">
        <v>28774.0</v>
      </c>
      <c r="C4378" s="5">
        <f>DATE(2012,12,31)-1460</f>
        <v>39814</v>
      </c>
      <c r="D4378" s="4" t="s">
        <v>30</v>
      </c>
      <c r="E4378" s="4">
        <v>32.0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9"/>
        <v>39815</v>
      </c>
    </row>
    <row r="4379" ht="12.75" customHeight="1">
      <c r="A4379" s="4">
        <v>4174.0</v>
      </c>
      <c r="B4379" s="4">
        <v>29607.0</v>
      </c>
      <c r="C4379" s="5">
        <f>DATE(2012,12,31)-293</f>
        <v>40981</v>
      </c>
      <c r="D4379" s="4" t="s">
        <v>63</v>
      </c>
      <c r="E4379" s="4">
        <v>20.0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1">C4379+2</f>
        <v>40983</v>
      </c>
    </row>
    <row r="4380" ht="12.75" customHeight="1">
      <c r="A4380" s="4">
        <v>4183.0</v>
      </c>
      <c r="B4380" s="4">
        <v>29730.0</v>
      </c>
      <c r="C4380" s="5">
        <f>DATE(2012,12,31)-929</f>
        <v>40345</v>
      </c>
      <c r="D4380" s="4" t="s">
        <v>78</v>
      </c>
      <c r="E4380" s="4">
        <v>21.0</v>
      </c>
      <c r="F4380" s="4">
        <v>3072.86</v>
      </c>
      <c r="G4380" s="4">
        <v>0.08</v>
      </c>
      <c r="H4380" s="4" t="s">
        <v>31</v>
      </c>
      <c r="I4380" s="6">
        <v>-364.8733660000001</v>
      </c>
      <c r="J4380" s="4">
        <v>150.98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1"/>
        <v>40347</v>
      </c>
    </row>
    <row r="4381" ht="12.75" customHeight="1">
      <c r="A4381" s="4">
        <v>4236.0</v>
      </c>
      <c r="B4381" s="4">
        <v>30144.0</v>
      </c>
      <c r="C4381" s="5">
        <f>DATE(2012,12,31)-513</f>
        <v>40761</v>
      </c>
      <c r="D4381" s="4" t="s">
        <v>21</v>
      </c>
      <c r="E4381" s="4">
        <v>25.0</v>
      </c>
      <c r="F4381" s="4">
        <v>5503.39</v>
      </c>
      <c r="G4381" s="4">
        <v>0.08</v>
      </c>
      <c r="H4381" s="4" t="s">
        <v>31</v>
      </c>
      <c r="I4381" s="6">
        <v>-528.653125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ht="12.75" customHeight="1">
      <c r="A4382" s="4">
        <v>4389.0</v>
      </c>
      <c r="B4382" s="4">
        <v>31266.0</v>
      </c>
      <c r="C4382" s="5">
        <f>DATE(2012,12,31)-89</f>
        <v>41185</v>
      </c>
      <c r="D4382" s="4" t="s">
        <v>30</v>
      </c>
      <c r="E4382" s="4">
        <v>16.0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</v>
      </c>
      <c r="U4382" s="5">
        <f>C4382+1</f>
        <v>41186</v>
      </c>
    </row>
    <row r="4383" ht="12.75" customHeight="1">
      <c r="A4383" s="4">
        <v>4408.0</v>
      </c>
      <c r="B4383" s="4">
        <v>31456.0</v>
      </c>
      <c r="C4383" s="5">
        <f>DATE(2012,12,31)-46</f>
        <v>41228</v>
      </c>
      <c r="D4383" s="4" t="s">
        <v>30</v>
      </c>
      <c r="E4383" s="4">
        <v>10.0</v>
      </c>
      <c r="F4383" s="4">
        <v>225.09</v>
      </c>
      <c r="G4383" s="4">
        <v>0.02</v>
      </c>
      <c r="H4383" s="4" t="s">
        <v>22</v>
      </c>
      <c r="I4383" s="6">
        <v>64.14099999999999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2">C4383+2</f>
        <v>41230</v>
      </c>
    </row>
    <row r="4384" ht="12.75" customHeight="1">
      <c r="A4384" s="4">
        <v>4418.0</v>
      </c>
      <c r="B4384" s="4">
        <v>31522.0</v>
      </c>
      <c r="C4384" s="5">
        <f t="shared" ref="C4384:C4385" si="1843">DATE(2012,12,31)-951</f>
        <v>40323</v>
      </c>
      <c r="D4384" s="4" t="s">
        <v>63</v>
      </c>
      <c r="E4384" s="4">
        <v>14.0</v>
      </c>
      <c r="F4384" s="4">
        <v>302.4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2"/>
        <v>40325</v>
      </c>
    </row>
    <row r="4385" ht="12.75" customHeight="1">
      <c r="A4385" s="4">
        <v>4419.0</v>
      </c>
      <c r="B4385" s="4">
        <v>31522.0</v>
      </c>
      <c r="C4385" s="5">
        <f t="shared" si="1843"/>
        <v>40323</v>
      </c>
      <c r="D4385" s="4" t="s">
        <v>63</v>
      </c>
      <c r="E4385" s="4">
        <v>42.0</v>
      </c>
      <c r="F4385" s="4">
        <v>1083.37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2"/>
        <v>40325</v>
      </c>
    </row>
    <row r="4386" ht="12.75" customHeight="1">
      <c r="A4386" s="4">
        <v>4685.0</v>
      </c>
      <c r="B4386" s="4">
        <v>33319.0</v>
      </c>
      <c r="C4386" s="5">
        <f>DATE(2012,12,31)-1375</f>
        <v>39899</v>
      </c>
      <c r="D4386" s="4" t="s">
        <v>45</v>
      </c>
      <c r="E4386" s="4">
        <v>11.0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ht="12.75" customHeight="1">
      <c r="A4387" s="4">
        <v>4724.0</v>
      </c>
      <c r="B4387" s="4">
        <v>33635.0</v>
      </c>
      <c r="C4387" s="5">
        <f t="shared" ref="C4387:C4388" si="1844">DATE(2012,12,31)-1268</f>
        <v>40006</v>
      </c>
      <c r="D4387" s="4" t="s">
        <v>30</v>
      </c>
      <c r="E4387" s="4">
        <v>5.0</v>
      </c>
      <c r="F4387" s="4">
        <v>477.76</v>
      </c>
      <c r="G4387" s="4">
        <v>0.04</v>
      </c>
      <c r="H4387" s="4" t="s">
        <v>31</v>
      </c>
      <c r="I4387" s="6">
        <v>-173.0952</v>
      </c>
      <c r="J4387" s="4">
        <v>90.97</v>
      </c>
      <c r="K4387" s="4">
        <v>28.0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5">C4387+1</f>
        <v>40007</v>
      </c>
    </row>
    <row r="4388" ht="12.75" customHeight="1">
      <c r="A4388" s="4">
        <v>4725.0</v>
      </c>
      <c r="B4388" s="4">
        <v>33635.0</v>
      </c>
      <c r="C4388" s="5">
        <f t="shared" si="1844"/>
        <v>40006</v>
      </c>
      <c r="D4388" s="4" t="s">
        <v>30</v>
      </c>
      <c r="E4388" s="4">
        <v>4.0</v>
      </c>
      <c r="F4388" s="4">
        <v>112.18</v>
      </c>
      <c r="G4388" s="4">
        <v>0.07</v>
      </c>
      <c r="H4388" s="4" t="s">
        <v>22</v>
      </c>
      <c r="I4388" s="6">
        <v>-96.16</v>
      </c>
      <c r="J4388" s="4">
        <v>20.34</v>
      </c>
      <c r="K4388" s="4">
        <v>35.0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5"/>
        <v>40007</v>
      </c>
    </row>
    <row r="4389" ht="12.75" customHeight="1">
      <c r="A4389" s="4">
        <v>4787.0</v>
      </c>
      <c r="B4389" s="4">
        <v>33988.0</v>
      </c>
      <c r="C4389" s="5">
        <f>DATE(2012,12,31)-1451</f>
        <v>39823</v>
      </c>
      <c r="D4389" s="4" t="s">
        <v>63</v>
      </c>
      <c r="E4389" s="4">
        <v>30.0</v>
      </c>
      <c r="F4389" s="4">
        <v>164.78</v>
      </c>
      <c r="G4389" s="4">
        <v>0.0</v>
      </c>
      <c r="H4389" s="4" t="s">
        <v>22</v>
      </c>
      <c r="I4389" s="6">
        <v>-128.47</v>
      </c>
      <c r="J4389" s="4">
        <v>5.02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5"/>
        <v>39824</v>
      </c>
    </row>
    <row r="4390" ht="12.75" customHeight="1">
      <c r="A4390" s="4">
        <v>4798.0</v>
      </c>
      <c r="B4390" s="4">
        <v>34087.0</v>
      </c>
      <c r="C4390" s="5">
        <f>DATE(2012,12,31)-1256</f>
        <v>40018</v>
      </c>
      <c r="D4390" s="4" t="s">
        <v>21</v>
      </c>
      <c r="E4390" s="4">
        <v>31.0</v>
      </c>
      <c r="F4390" s="4">
        <v>3077.731</v>
      </c>
      <c r="G4390" s="4">
        <v>0.05</v>
      </c>
      <c r="H4390" s="4" t="s">
        <v>22</v>
      </c>
      <c r="I4390" s="6">
        <v>745.4789999999999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0.57</v>
      </c>
      <c r="U4390" s="5">
        <f>C4390+4</f>
        <v>40022</v>
      </c>
    </row>
    <row r="4391" ht="12.75" customHeight="1">
      <c r="A4391" s="4">
        <v>4875.0</v>
      </c>
      <c r="B4391" s="4">
        <v>34691.0</v>
      </c>
      <c r="C4391" s="5">
        <f t="shared" ref="C4391:C4393" si="1846">DATE(2012,12,31)-1447</f>
        <v>39827</v>
      </c>
      <c r="D4391" s="4" t="s">
        <v>78</v>
      </c>
      <c r="E4391" s="4">
        <v>27.0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0.58</v>
      </c>
      <c r="U4391" s="5">
        <f>C4391+2</f>
        <v>39829</v>
      </c>
    </row>
    <row r="4392" ht="12.75" customHeight="1">
      <c r="A4392" s="4">
        <v>4876.0</v>
      </c>
      <c r="B4392" s="4">
        <v>34691.0</v>
      </c>
      <c r="C4392" s="5">
        <f t="shared" si="1846"/>
        <v>39827</v>
      </c>
      <c r="D4392" s="4" t="s">
        <v>78</v>
      </c>
      <c r="E4392" s="4">
        <v>23.0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</v>
      </c>
      <c r="U4392" s="5">
        <f>C4392+0</f>
        <v>39827</v>
      </c>
    </row>
    <row r="4393" ht="12.75" customHeight="1">
      <c r="A4393" s="4">
        <v>4877.0</v>
      </c>
      <c r="B4393" s="4">
        <v>34691.0</v>
      </c>
      <c r="C4393" s="5">
        <f t="shared" si="1846"/>
        <v>39827</v>
      </c>
      <c r="D4393" s="4" t="s">
        <v>78</v>
      </c>
      <c r="E4393" s="4">
        <v>13.0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9.54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ht="12.75" customHeight="1">
      <c r="A4394" s="4">
        <v>4888.0</v>
      </c>
      <c r="B4394" s="4">
        <v>34785.0</v>
      </c>
      <c r="C4394" s="5">
        <f>DATE(2012,12,31)-1071</f>
        <v>40203</v>
      </c>
      <c r="D4394" s="4" t="s">
        <v>78</v>
      </c>
      <c r="E4394" s="4">
        <v>45.0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ht="12.75" customHeight="1">
      <c r="A4395" s="4">
        <v>4904.0</v>
      </c>
      <c r="B4395" s="4">
        <v>34883.0</v>
      </c>
      <c r="C4395" s="5">
        <f>DATE(2012,12,31)-1153</f>
        <v>40121</v>
      </c>
      <c r="D4395" s="4" t="s">
        <v>78</v>
      </c>
      <c r="E4395" s="4">
        <v>31.0</v>
      </c>
      <c r="F4395" s="4">
        <v>906.015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7">C4395+1</f>
        <v>40122</v>
      </c>
    </row>
    <row r="4396" ht="12.75" customHeight="1">
      <c r="A4396" s="4">
        <v>4930.0</v>
      </c>
      <c r="B4396" s="4">
        <v>35077.0</v>
      </c>
      <c r="C4396" s="5">
        <f>DATE(2012,12,31)-451</f>
        <v>40823</v>
      </c>
      <c r="D4396" s="4" t="s">
        <v>30</v>
      </c>
      <c r="E4396" s="4">
        <v>29.0</v>
      </c>
      <c r="F4396" s="4">
        <v>81.1</v>
      </c>
      <c r="G4396" s="4">
        <v>0.06</v>
      </c>
      <c r="H4396" s="4" t="s">
        <v>22</v>
      </c>
      <c r="I4396" s="6">
        <v>-2.07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0.58</v>
      </c>
      <c r="U4396" s="5">
        <f t="shared" si="1847"/>
        <v>40824</v>
      </c>
    </row>
    <row r="4397" ht="12.75" customHeight="1">
      <c r="A4397" s="4">
        <v>5072.0</v>
      </c>
      <c r="B4397" s="4">
        <v>36132.0</v>
      </c>
      <c r="C4397" s="5">
        <f>DATE(2012,12,31)-266</f>
        <v>41008</v>
      </c>
      <c r="D4397" s="4" t="s">
        <v>21</v>
      </c>
      <c r="E4397" s="4">
        <v>3.0</v>
      </c>
      <c r="F4397" s="4">
        <v>604.576</v>
      </c>
      <c r="G4397" s="4">
        <v>0.03</v>
      </c>
      <c r="H4397" s="4" t="s">
        <v>31</v>
      </c>
      <c r="I4397" s="6">
        <v>-572.6853990000002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ht="12.75" customHeight="1">
      <c r="A4398" s="4">
        <v>5073.0</v>
      </c>
      <c r="B4398" s="4">
        <v>36133.0</v>
      </c>
      <c r="C4398" s="5">
        <f>DATE(2012,12,31)-499</f>
        <v>40775</v>
      </c>
      <c r="D4398" s="4" t="s">
        <v>63</v>
      </c>
      <c r="E4398" s="4">
        <v>6.0</v>
      </c>
      <c r="F4398" s="4">
        <v>128.56</v>
      </c>
      <c r="G4398" s="4">
        <v>0.0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ht="12.75" customHeight="1">
      <c r="A4399" s="4">
        <v>5330.0</v>
      </c>
      <c r="B4399" s="4">
        <v>37891.0</v>
      </c>
      <c r="C4399" s="5">
        <f t="shared" ref="C4399:C4402" si="1848">DATE(2012,12,31)-438</f>
        <v>40836</v>
      </c>
      <c r="D4399" s="4" t="s">
        <v>30</v>
      </c>
      <c r="E4399" s="4">
        <v>24.0</v>
      </c>
      <c r="F4399" s="4">
        <v>163.36</v>
      </c>
      <c r="G4399" s="4">
        <v>0.04</v>
      </c>
      <c r="H4399" s="4" t="s">
        <v>22</v>
      </c>
      <c r="I4399" s="6">
        <v>-65.54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9">C4399+2</f>
        <v>40838</v>
      </c>
    </row>
    <row r="4400" ht="12.75" customHeight="1">
      <c r="A4400" s="4">
        <v>5331.0</v>
      </c>
      <c r="B4400" s="4">
        <v>37891.0</v>
      </c>
      <c r="C4400" s="5">
        <f t="shared" si="1848"/>
        <v>40836</v>
      </c>
      <c r="D4400" s="4" t="s">
        <v>30</v>
      </c>
      <c r="E4400" s="4">
        <v>21.0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9"/>
        <v>40838</v>
      </c>
    </row>
    <row r="4401" ht="12.75" customHeight="1">
      <c r="A4401" s="4">
        <v>5332.0</v>
      </c>
      <c r="B4401" s="4">
        <v>37891.0</v>
      </c>
      <c r="C4401" s="5">
        <f t="shared" si="1848"/>
        <v>40836</v>
      </c>
      <c r="D4401" s="4" t="s">
        <v>30</v>
      </c>
      <c r="E4401" s="4">
        <v>4.0</v>
      </c>
      <c r="F4401" s="4">
        <v>1135.64</v>
      </c>
      <c r="G4401" s="4">
        <v>0.02</v>
      </c>
      <c r="H4401" s="4" t="s">
        <v>31</v>
      </c>
      <c r="I4401" s="6">
        <v>-627.641157</v>
      </c>
      <c r="J4401" s="4">
        <v>259.71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ht="12.75" customHeight="1">
      <c r="A4402" s="4">
        <v>5333.0</v>
      </c>
      <c r="B4402" s="4">
        <v>37891.0</v>
      </c>
      <c r="C4402" s="5">
        <f t="shared" si="1848"/>
        <v>40836</v>
      </c>
      <c r="D4402" s="4" t="s">
        <v>30</v>
      </c>
      <c r="E4402" s="4">
        <v>33.0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0.57</v>
      </c>
      <c r="U4402" s="5">
        <f>C4402+2</f>
        <v>40838</v>
      </c>
    </row>
    <row r="4403" ht="12.75" customHeight="1">
      <c r="A4403" s="4">
        <v>5349.0</v>
      </c>
      <c r="B4403" s="4">
        <v>38021.0</v>
      </c>
      <c r="C4403" s="5">
        <f t="shared" ref="C4403:C4404" si="1850">DATE(2012,12,31)-1440</f>
        <v>39834</v>
      </c>
      <c r="D4403" s="4" t="s">
        <v>63</v>
      </c>
      <c r="E4403" s="4">
        <v>16.0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1">C4403+1</f>
        <v>39835</v>
      </c>
    </row>
    <row r="4404" ht="12.75" customHeight="1">
      <c r="A4404" s="4">
        <v>5350.0</v>
      </c>
      <c r="B4404" s="4">
        <v>38021.0</v>
      </c>
      <c r="C4404" s="5">
        <f t="shared" si="1850"/>
        <v>39834</v>
      </c>
      <c r="D4404" s="4" t="s">
        <v>63</v>
      </c>
      <c r="E4404" s="4">
        <v>36.0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1"/>
        <v>39835</v>
      </c>
    </row>
    <row r="4405" ht="12.75" customHeight="1">
      <c r="A4405" s="4">
        <v>5366.0</v>
      </c>
      <c r="B4405" s="4">
        <v>38146.0</v>
      </c>
      <c r="C4405" s="5">
        <f>DATE(2012,12,31)-390</f>
        <v>40884</v>
      </c>
      <c r="D4405" s="4" t="s">
        <v>21</v>
      </c>
      <c r="E4405" s="4">
        <v>41.0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0.57</v>
      </c>
      <c r="U4405" s="5">
        <f>C4405+0</f>
        <v>40884</v>
      </c>
    </row>
    <row r="4406" ht="12.75" customHeight="1">
      <c r="A4406" s="4">
        <v>5441.0</v>
      </c>
      <c r="B4406" s="4">
        <v>38656.0</v>
      </c>
      <c r="C4406" s="5">
        <f t="shared" ref="C4406:C4407" si="1852">DATE(2012,12,31)-143</f>
        <v>41131</v>
      </c>
      <c r="D4406" s="4" t="s">
        <v>21</v>
      </c>
      <c r="E4406" s="4">
        <v>41.0</v>
      </c>
      <c r="F4406" s="4">
        <v>162.51</v>
      </c>
      <c r="G4406" s="4">
        <v>0.09</v>
      </c>
      <c r="H4406" s="4" t="s">
        <v>22</v>
      </c>
      <c r="I4406" s="6">
        <v>-148.396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ht="12.75" customHeight="1">
      <c r="A4407" s="4">
        <v>5442.0</v>
      </c>
      <c r="B4407" s="4">
        <v>38656.0</v>
      </c>
      <c r="C4407" s="5">
        <f t="shared" si="1852"/>
        <v>41131</v>
      </c>
      <c r="D4407" s="4" t="s">
        <v>21</v>
      </c>
      <c r="E4407" s="4">
        <v>3.0</v>
      </c>
      <c r="F4407" s="4">
        <v>561.43</v>
      </c>
      <c r="G4407" s="4">
        <v>0.07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ht="12.75" customHeight="1">
      <c r="A4408" s="4">
        <v>5456.0</v>
      </c>
      <c r="B4408" s="4">
        <v>38756.0</v>
      </c>
      <c r="C4408" s="5">
        <f>DATE(2012,12,31)-1334</f>
        <v>39940</v>
      </c>
      <c r="D4408" s="4" t="s">
        <v>78</v>
      </c>
      <c r="E4408" s="4">
        <v>43.0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65.99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</v>
      </c>
      <c r="U4408" s="5">
        <f t="shared" ref="U4408:U4409" si="1853">C4408+2</f>
        <v>39942</v>
      </c>
    </row>
    <row r="4409" ht="12.75" customHeight="1">
      <c r="A4409" s="4">
        <v>5545.0</v>
      </c>
      <c r="B4409" s="4">
        <v>39268.0</v>
      </c>
      <c r="C4409" s="5">
        <f t="shared" ref="C4409:C4410" si="1854">DATE(2012,12,31)-619</f>
        <v>40655</v>
      </c>
      <c r="D4409" s="4" t="s">
        <v>45</v>
      </c>
      <c r="E4409" s="4">
        <v>44.0</v>
      </c>
      <c r="F4409" s="4">
        <v>324.2</v>
      </c>
      <c r="G4409" s="4">
        <v>0.02</v>
      </c>
      <c r="H4409" s="4" t="s">
        <v>56</v>
      </c>
      <c r="I4409" s="6">
        <v>-89.74600000000001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3"/>
        <v>40657</v>
      </c>
    </row>
    <row r="4410" ht="12.75" customHeight="1">
      <c r="A4410" s="4">
        <v>5546.0</v>
      </c>
      <c r="B4410" s="4">
        <v>39268.0</v>
      </c>
      <c r="C4410" s="5">
        <f t="shared" si="1854"/>
        <v>40655</v>
      </c>
      <c r="D4410" s="4" t="s">
        <v>45</v>
      </c>
      <c r="E4410" s="4">
        <v>45.0</v>
      </c>
      <c r="F4410" s="4">
        <v>156.95</v>
      </c>
      <c r="G4410" s="4">
        <v>0.1</v>
      </c>
      <c r="H4410" s="4" t="s">
        <v>22</v>
      </c>
      <c r="I4410" s="6">
        <v>-32.52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ht="12.75" customHeight="1">
      <c r="A4411" s="4">
        <v>5572.0</v>
      </c>
      <c r="B4411" s="4">
        <v>39488.0</v>
      </c>
      <c r="C4411" s="5">
        <f>DATE(2012,12,31)-1288</f>
        <v>39986</v>
      </c>
      <c r="D4411" s="4" t="s">
        <v>21</v>
      </c>
      <c r="E4411" s="4">
        <v>18.0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ht="12.75" customHeight="1">
      <c r="A4412" s="4">
        <v>5591.0</v>
      </c>
      <c r="B4412" s="4">
        <v>39650.0</v>
      </c>
      <c r="C4412" s="5">
        <f t="shared" ref="C4412:C4413" si="1855">DATE(2012,12,31)-885</f>
        <v>40389</v>
      </c>
      <c r="D4412" s="4" t="s">
        <v>45</v>
      </c>
      <c r="E4412" s="4">
        <v>10.0</v>
      </c>
      <c r="F4412" s="4">
        <v>1004.89</v>
      </c>
      <c r="G4412" s="4">
        <v>0.0</v>
      </c>
      <c r="H4412" s="4" t="s">
        <v>31</v>
      </c>
      <c r="I4412" s="6">
        <v>-189.02</v>
      </c>
      <c r="J4412" s="4">
        <v>89.99</v>
      </c>
      <c r="K4412" s="4">
        <v>42.0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ht="12.75" customHeight="1">
      <c r="A4413" s="4">
        <v>5592.0</v>
      </c>
      <c r="B4413" s="4">
        <v>39650.0</v>
      </c>
      <c r="C4413" s="5">
        <f t="shared" si="1855"/>
        <v>40389</v>
      </c>
      <c r="D4413" s="4" t="s">
        <v>45</v>
      </c>
      <c r="E4413" s="4">
        <v>47.0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6">C4413+1</f>
        <v>40390</v>
      </c>
    </row>
    <row r="4414" ht="12.75" customHeight="1">
      <c r="A4414" s="4">
        <v>5626.0</v>
      </c>
      <c r="B4414" s="4">
        <v>39844.0</v>
      </c>
      <c r="C4414" s="5">
        <f>DATE(2012,12,31)-1126</f>
        <v>40148</v>
      </c>
      <c r="D4414" s="4" t="s">
        <v>45</v>
      </c>
      <c r="E4414" s="4">
        <v>47.0</v>
      </c>
      <c r="F4414" s="4">
        <v>4387.24</v>
      </c>
      <c r="G4414" s="4">
        <v>0.09</v>
      </c>
      <c r="H4414" s="4" t="s">
        <v>22</v>
      </c>
      <c r="I4414" s="6">
        <v>-286.47</v>
      </c>
      <c r="J4414" s="4">
        <v>95.43</v>
      </c>
      <c r="K4414" s="4">
        <v>19.99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6"/>
        <v>40149</v>
      </c>
    </row>
    <row r="4415" ht="12.75" customHeight="1">
      <c r="A4415" s="4">
        <v>5740.0</v>
      </c>
      <c r="B4415" s="4">
        <v>40800.0</v>
      </c>
      <c r="C4415" s="5">
        <f>DATE(2012,12,31)-758</f>
        <v>40516</v>
      </c>
      <c r="D4415" s="4" t="s">
        <v>45</v>
      </c>
      <c r="E4415" s="4">
        <v>41.0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ht="12.75" customHeight="1">
      <c r="A4416" s="4">
        <v>5773.0</v>
      </c>
      <c r="B4416" s="4">
        <v>40965.0</v>
      </c>
      <c r="C4416" s="5">
        <f t="shared" ref="C4416:C4417" si="1857">DATE(2012,12,31)-1137</f>
        <v>40137</v>
      </c>
      <c r="D4416" s="4" t="s">
        <v>63</v>
      </c>
      <c r="E4416" s="4">
        <v>48.0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60.0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</v>
      </c>
      <c r="U4416" s="5">
        <f t="shared" ref="U4416:U4417" si="1858">C4416+2</f>
        <v>40139</v>
      </c>
    </row>
    <row r="4417" ht="12.75" customHeight="1">
      <c r="A4417" s="4">
        <v>5774.0</v>
      </c>
      <c r="B4417" s="4">
        <v>40965.0</v>
      </c>
      <c r="C4417" s="5">
        <f t="shared" si="1857"/>
        <v>40137</v>
      </c>
      <c r="D4417" s="4" t="s">
        <v>63</v>
      </c>
      <c r="E4417" s="4">
        <v>39.0</v>
      </c>
      <c r="F4417" s="4">
        <v>1836.1869999999997</v>
      </c>
      <c r="G4417" s="4">
        <v>0.06</v>
      </c>
      <c r="H4417" s="4" t="s">
        <v>22</v>
      </c>
      <c r="I4417" s="6">
        <v>-139.843</v>
      </c>
      <c r="J4417" s="4">
        <v>55.99</v>
      </c>
      <c r="K4417" s="4">
        <v>5.0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8"/>
        <v>40139</v>
      </c>
    </row>
    <row r="4418" ht="12.75" customHeight="1">
      <c r="A4418" s="4">
        <v>5822.0</v>
      </c>
      <c r="B4418" s="4">
        <v>41316.0</v>
      </c>
      <c r="C4418" s="5">
        <f t="shared" ref="C4418:C4419" si="1859">DATE(2012,12,31)-1259</f>
        <v>40015</v>
      </c>
      <c r="D4418" s="4" t="s">
        <v>45</v>
      </c>
      <c r="E4418" s="4">
        <v>8.0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ht="12.75" customHeight="1">
      <c r="A4419" s="4">
        <v>5823.0</v>
      </c>
      <c r="B4419" s="4">
        <v>41316.0</v>
      </c>
      <c r="C4419" s="5">
        <f t="shared" si="1859"/>
        <v>40015</v>
      </c>
      <c r="D4419" s="4" t="s">
        <v>45</v>
      </c>
      <c r="E4419" s="4">
        <v>4.0</v>
      </c>
      <c r="F4419" s="4">
        <v>700.366</v>
      </c>
      <c r="G4419" s="4">
        <v>0.0</v>
      </c>
      <c r="H4419" s="4" t="s">
        <v>22</v>
      </c>
      <c r="I4419" s="6">
        <v>-787.6990000000001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ht="12.75" customHeight="1">
      <c r="A4420" s="4">
        <v>5847.0</v>
      </c>
      <c r="B4420" s="4">
        <v>41476.0</v>
      </c>
      <c r="C4420" s="5">
        <f>DATE(2012,12,31)-945</f>
        <v>40329</v>
      </c>
      <c r="D4420" s="4" t="s">
        <v>30</v>
      </c>
      <c r="E4420" s="4">
        <v>48.0</v>
      </c>
      <c r="F4420" s="4">
        <v>92.25</v>
      </c>
      <c r="G4420" s="4">
        <v>0.07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ht="12.75" customHeight="1">
      <c r="A4421" s="4">
        <v>5905.0</v>
      </c>
      <c r="B4421" s="4">
        <v>41861.0</v>
      </c>
      <c r="C4421" s="5">
        <f>DATE(2012,12,31)-766</f>
        <v>40508</v>
      </c>
      <c r="D4421" s="4" t="s">
        <v>21</v>
      </c>
      <c r="E4421" s="4">
        <v>24.0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60">C4421+2</f>
        <v>40510</v>
      </c>
    </row>
    <row r="4422" ht="12.75" customHeight="1">
      <c r="A4422" s="4">
        <v>5956.0</v>
      </c>
      <c r="B4422" s="4">
        <v>42274.0</v>
      </c>
      <c r="C4422" s="5">
        <f t="shared" ref="C4422:C4423" si="1861">DATE(2012,12,31)-485</f>
        <v>40789</v>
      </c>
      <c r="D4422" s="4" t="s">
        <v>30</v>
      </c>
      <c r="E4422" s="4">
        <v>23.0</v>
      </c>
      <c r="F4422" s="4">
        <v>2296.76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19.99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60"/>
        <v>40791</v>
      </c>
    </row>
    <row r="4423" ht="12.75" customHeight="1">
      <c r="A4423" s="4">
        <v>5957.0</v>
      </c>
      <c r="B4423" s="4">
        <v>42274.0</v>
      </c>
      <c r="C4423" s="5">
        <f t="shared" si="1861"/>
        <v>40789</v>
      </c>
      <c r="D4423" s="4" t="s">
        <v>30</v>
      </c>
      <c r="E4423" s="4">
        <v>45.0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60"/>
        <v>40791</v>
      </c>
    </row>
    <row r="4424" ht="12.75" customHeight="1">
      <c r="A4424" s="4">
        <v>6048.0</v>
      </c>
      <c r="B4424" s="4">
        <v>42882.0</v>
      </c>
      <c r="C4424" s="5">
        <f>DATE(2012,12,31)-796</f>
        <v>40478</v>
      </c>
      <c r="D4424" s="4" t="s">
        <v>21</v>
      </c>
      <c r="E4424" s="4">
        <v>17.0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0.58</v>
      </c>
      <c r="U4424" s="5">
        <f t="shared" si="1860"/>
        <v>40480</v>
      </c>
    </row>
    <row r="4425" ht="12.75" customHeight="1">
      <c r="A4425" s="4">
        <v>6121.0</v>
      </c>
      <c r="B4425" s="4">
        <v>43360.0</v>
      </c>
      <c r="C4425" s="5">
        <f>DATE(2012,12,31)-1175</f>
        <v>40099</v>
      </c>
      <c r="D4425" s="4" t="s">
        <v>21</v>
      </c>
      <c r="E4425" s="4">
        <v>48.0</v>
      </c>
      <c r="F4425" s="4">
        <v>112.16</v>
      </c>
      <c r="G4425" s="4">
        <v>0.0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ht="12.75" customHeight="1">
      <c r="A4426" s="4">
        <v>6167.0</v>
      </c>
      <c r="B4426" s="4">
        <v>43713.0</v>
      </c>
      <c r="C4426" s="5">
        <f>DATE(2012,12,31)-115</f>
        <v>41159</v>
      </c>
      <c r="D4426" s="4" t="s">
        <v>63</v>
      </c>
      <c r="E4426" s="4">
        <v>12.0</v>
      </c>
      <c r="F4426" s="4">
        <v>34.41</v>
      </c>
      <c r="G4426" s="4">
        <v>0.05</v>
      </c>
      <c r="H4426" s="4" t="s">
        <v>22</v>
      </c>
      <c r="I4426" s="6">
        <v>-17.69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0.58</v>
      </c>
      <c r="U4426" s="5">
        <f t="shared" ref="U4426:U4427" si="1862">C4426+2</f>
        <v>41161</v>
      </c>
    </row>
    <row r="4427" ht="12.75" customHeight="1">
      <c r="A4427" s="4">
        <v>6262.0</v>
      </c>
      <c r="B4427" s="4">
        <v>44322.0</v>
      </c>
      <c r="C4427" s="5">
        <f>DATE(2012,12,31)-446</f>
        <v>40828</v>
      </c>
      <c r="D4427" s="4" t="s">
        <v>45</v>
      </c>
      <c r="E4427" s="4">
        <v>15.0</v>
      </c>
      <c r="F4427" s="4">
        <v>600.8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2"/>
        <v>40830</v>
      </c>
    </row>
    <row r="4428" ht="12.75" customHeight="1">
      <c r="A4428" s="4">
        <v>6297.0</v>
      </c>
      <c r="B4428" s="4">
        <v>44579.0</v>
      </c>
      <c r="C4428" s="5">
        <f>DATE(2012,12,31)-577</f>
        <v>40697</v>
      </c>
      <c r="D4428" s="4" t="s">
        <v>45</v>
      </c>
      <c r="E4428" s="4">
        <v>19.0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18.06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0.57</v>
      </c>
      <c r="U4428" s="5">
        <f t="shared" ref="U4428:U4429" si="1863">C4428+1</f>
        <v>40698</v>
      </c>
    </row>
    <row r="4429" ht="12.75" customHeight="1">
      <c r="A4429" s="4">
        <v>6320.0</v>
      </c>
      <c r="B4429" s="4">
        <v>44737.0</v>
      </c>
      <c r="C4429" s="5">
        <f t="shared" ref="C4429:C4430" si="1864">DATE(2012,12,31)-42</f>
        <v>41232</v>
      </c>
      <c r="D4429" s="4" t="s">
        <v>63</v>
      </c>
      <c r="E4429" s="4">
        <v>11.0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</v>
      </c>
      <c r="K4429" s="4">
        <v>35.0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3"/>
        <v>41233</v>
      </c>
    </row>
    <row r="4430" ht="12.75" customHeight="1">
      <c r="A4430" s="4">
        <v>6321.0</v>
      </c>
      <c r="B4430" s="4">
        <v>44737.0</v>
      </c>
      <c r="C4430" s="5">
        <f t="shared" si="1864"/>
        <v>41232</v>
      </c>
      <c r="D4430" s="4" t="s">
        <v>63</v>
      </c>
      <c r="E4430" s="4">
        <v>16.0</v>
      </c>
      <c r="F4430" s="4">
        <v>302.1325</v>
      </c>
      <c r="G4430" s="4">
        <v>0.02</v>
      </c>
      <c r="H4430" s="4" t="s">
        <v>22</v>
      </c>
      <c r="I4430" s="6">
        <v>38.907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0.57</v>
      </c>
      <c r="U4430" s="5">
        <f t="shared" ref="U4430:U4431" si="1865">C4430+2</f>
        <v>41234</v>
      </c>
    </row>
    <row r="4431" ht="12.75" customHeight="1">
      <c r="A4431" s="4">
        <v>6322.0</v>
      </c>
      <c r="B4431" s="4">
        <v>44738.0</v>
      </c>
      <c r="C4431" s="5">
        <f>DATE(2012,12,31)-757</f>
        <v>40517</v>
      </c>
      <c r="D4431" s="4" t="s">
        <v>45</v>
      </c>
      <c r="E4431" s="4">
        <v>34.0</v>
      </c>
      <c r="F4431" s="4">
        <v>75.57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0.57</v>
      </c>
      <c r="U4431" s="5">
        <f t="shared" si="1865"/>
        <v>40519</v>
      </c>
    </row>
    <row r="4432" ht="12.75" customHeight="1">
      <c r="A4432" s="4">
        <v>6323.0</v>
      </c>
      <c r="B4432" s="4">
        <v>44768.0</v>
      </c>
      <c r="C4432" s="5">
        <f>DATE(2012,12,31)-219</f>
        <v>41055</v>
      </c>
      <c r="D4432" s="4" t="s">
        <v>45</v>
      </c>
      <c r="E4432" s="4">
        <v>45.0</v>
      </c>
      <c r="F4432" s="4">
        <v>16699.56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ht="12.75" customHeight="1">
      <c r="A4433" s="4">
        <v>6332.0</v>
      </c>
      <c r="B4433" s="4">
        <v>44867.0</v>
      </c>
      <c r="C4433" s="5">
        <f>DATE(2012,12,31)-1254</f>
        <v>40020</v>
      </c>
      <c r="D4433" s="4" t="s">
        <v>30</v>
      </c>
      <c r="E4433" s="4">
        <v>40.0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26.0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ht="12.75" customHeight="1">
      <c r="A4434" s="4">
        <v>6352.0</v>
      </c>
      <c r="B4434" s="4">
        <v>45029.0</v>
      </c>
      <c r="C4434" s="5">
        <f>DATE(2012,12,31)-912</f>
        <v>40362</v>
      </c>
      <c r="D4434" s="4" t="s">
        <v>30</v>
      </c>
      <c r="E4434" s="4">
        <v>20.0</v>
      </c>
      <c r="F4434" s="4">
        <v>5304.42</v>
      </c>
      <c r="G4434" s="4">
        <v>0.01</v>
      </c>
      <c r="H4434" s="4" t="s">
        <v>31</v>
      </c>
      <c r="I4434" s="6">
        <v>-633.4412370000002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ht="12.75" customHeight="1">
      <c r="A4435" s="4">
        <v>6410.0</v>
      </c>
      <c r="B4435" s="4">
        <v>45543.0</v>
      </c>
      <c r="C4435" s="5">
        <f>DATE(2012,12,31)-698</f>
        <v>40576</v>
      </c>
      <c r="D4435" s="4" t="s">
        <v>21</v>
      </c>
      <c r="E4435" s="4">
        <v>16.0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ht="12.75" customHeight="1">
      <c r="A4436" s="4">
        <v>6422.0</v>
      </c>
      <c r="B4436" s="4">
        <v>45635.0</v>
      </c>
      <c r="C4436" s="5">
        <f>DATE(2012,12,31)-268</f>
        <v>41006</v>
      </c>
      <c r="D4436" s="4" t="s">
        <v>21</v>
      </c>
      <c r="E4436" s="4">
        <v>50.0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ht="12.75" customHeight="1">
      <c r="A4437" s="4">
        <v>6525.0</v>
      </c>
      <c r="B4437" s="4">
        <v>46436.0</v>
      </c>
      <c r="C4437" s="5">
        <f>DATE(2012,12,31)-1367</f>
        <v>39907</v>
      </c>
      <c r="D4437" s="4" t="s">
        <v>21</v>
      </c>
      <c r="E4437" s="4">
        <v>46.0</v>
      </c>
      <c r="F4437" s="4">
        <v>1477.572</v>
      </c>
      <c r="G4437" s="4">
        <v>0.0</v>
      </c>
      <c r="H4437" s="4" t="s">
        <v>22</v>
      </c>
      <c r="I4437" s="6">
        <v>840.0509999999999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ht="12.75" customHeight="1">
      <c r="A4438" s="4">
        <v>6577.0</v>
      </c>
      <c r="B4438" s="4">
        <v>46848.0</v>
      </c>
      <c r="C4438" s="5">
        <f>DATE(2012,12,31)-1147</f>
        <v>40127</v>
      </c>
      <c r="D4438" s="4" t="s">
        <v>63</v>
      </c>
      <c r="E4438" s="4">
        <v>39.0</v>
      </c>
      <c r="F4438" s="4">
        <v>3842.99</v>
      </c>
      <c r="G4438" s="4">
        <v>0.04</v>
      </c>
      <c r="H4438" s="4" t="s">
        <v>22</v>
      </c>
      <c r="I4438" s="6">
        <v>-67.68</v>
      </c>
      <c r="J4438" s="4">
        <v>95.43</v>
      </c>
      <c r="K4438" s="4">
        <v>19.99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6">C4438+2</f>
        <v>40129</v>
      </c>
    </row>
    <row r="4439" ht="12.75" customHeight="1">
      <c r="A4439" s="4">
        <v>6605.0</v>
      </c>
      <c r="B4439" s="4">
        <v>47009.0</v>
      </c>
      <c r="C4439" s="5">
        <f>DATE(2012,12,31)-1306</f>
        <v>39968</v>
      </c>
      <c r="D4439" s="4" t="s">
        <v>78</v>
      </c>
      <c r="E4439" s="4">
        <v>32.0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19.99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6"/>
        <v>39970</v>
      </c>
    </row>
    <row r="4440" ht="12.75" customHeight="1">
      <c r="A4440" s="4">
        <v>6627.0</v>
      </c>
      <c r="B4440" s="4">
        <v>47138.0</v>
      </c>
      <c r="C4440" s="5">
        <f>DATE(2012,12,31)-1452</f>
        <v>39822</v>
      </c>
      <c r="D4440" s="4" t="s">
        <v>21</v>
      </c>
      <c r="E4440" s="4">
        <v>1.0</v>
      </c>
      <c r="F4440" s="4">
        <v>107.95</v>
      </c>
      <c r="G4440" s="4">
        <v>0.04</v>
      </c>
      <c r="H4440" s="4" t="s">
        <v>22</v>
      </c>
      <c r="I4440" s="6">
        <v>-506.308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ht="12.75" customHeight="1">
      <c r="A4441" s="4">
        <v>6642.0</v>
      </c>
      <c r="B4441" s="4">
        <v>47236.0</v>
      </c>
      <c r="C4441" s="5">
        <f>DATE(2012,12,31)-456</f>
        <v>40818</v>
      </c>
      <c r="D4441" s="4" t="s">
        <v>30</v>
      </c>
      <c r="E4441" s="4">
        <v>1.0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7">C4441+2</f>
        <v>40820</v>
      </c>
    </row>
    <row r="4442" ht="12.75" customHeight="1">
      <c r="A4442" s="4">
        <v>6697.0</v>
      </c>
      <c r="B4442" s="4">
        <v>47686.0</v>
      </c>
      <c r="C4442" s="5">
        <f>DATE(2012,12,31)-81</f>
        <v>41193</v>
      </c>
      <c r="D4442" s="4" t="s">
        <v>45</v>
      </c>
      <c r="E4442" s="4">
        <v>48.0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</v>
      </c>
      <c r="U4442" s="5">
        <f t="shared" si="1867"/>
        <v>41195</v>
      </c>
    </row>
    <row r="4443" ht="12.75" customHeight="1">
      <c r="A4443" s="4">
        <v>6738.0</v>
      </c>
      <c r="B4443" s="4">
        <v>47971.0</v>
      </c>
      <c r="C4443" s="5">
        <f>DATE(2012,12,31)-63</f>
        <v>41211</v>
      </c>
      <c r="D4443" s="4" t="s">
        <v>30</v>
      </c>
      <c r="E4443" s="4">
        <v>24.0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8">C4443+1</f>
        <v>41212</v>
      </c>
    </row>
    <row r="4444" ht="12.75" customHeight="1">
      <c r="A4444" s="4">
        <v>6777.0</v>
      </c>
      <c r="B4444" s="4">
        <v>48261.0</v>
      </c>
      <c r="C4444" s="5">
        <f>DATE(2012,12,31)-654</f>
        <v>40620</v>
      </c>
      <c r="D4444" s="4" t="s">
        <v>63</v>
      </c>
      <c r="E4444" s="4">
        <v>15.0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130.98</v>
      </c>
      <c r="K4444" s="4">
        <v>30.0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8"/>
        <v>40621</v>
      </c>
    </row>
    <row r="4445" ht="12.75" customHeight="1">
      <c r="A4445" s="4">
        <v>6849.0</v>
      </c>
      <c r="B4445" s="4">
        <v>48773.0</v>
      </c>
      <c r="C4445" s="5">
        <f>DATE(2012,12,31)-1446</f>
        <v>39828</v>
      </c>
      <c r="D4445" s="4" t="s">
        <v>63</v>
      </c>
      <c r="E4445" s="4">
        <v>7.0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9">C4445+2</f>
        <v>39830</v>
      </c>
    </row>
    <row r="4446" ht="12.75" customHeight="1">
      <c r="A4446" s="4">
        <v>6864.0</v>
      </c>
      <c r="B4446" s="4">
        <v>48902.0</v>
      </c>
      <c r="C4446" s="5">
        <f>DATE(2012,12,31)-69</f>
        <v>41205</v>
      </c>
      <c r="D4446" s="4" t="s">
        <v>63</v>
      </c>
      <c r="E4446" s="4">
        <v>7.0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9"/>
        <v>41207</v>
      </c>
    </row>
    <row r="4447" ht="12.75" customHeight="1">
      <c r="A4447" s="4">
        <v>6904.0</v>
      </c>
      <c r="B4447" s="4">
        <v>49221.0</v>
      </c>
      <c r="C4447" s="5">
        <f t="shared" ref="C4447:C4448" si="1870">DATE(2012,12,31)-912</f>
        <v>40362</v>
      </c>
      <c r="D4447" s="4" t="s">
        <v>45</v>
      </c>
      <c r="E4447" s="4">
        <v>22.0</v>
      </c>
      <c r="F4447" s="4">
        <v>399.64</v>
      </c>
      <c r="G4447" s="4">
        <v>0.04</v>
      </c>
      <c r="H4447" s="4" t="s">
        <v>22</v>
      </c>
      <c r="I4447" s="6">
        <v>-15.4164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1">C4447+1</f>
        <v>40363</v>
      </c>
    </row>
    <row r="4448" ht="12.75" customHeight="1">
      <c r="A4448" s="4">
        <v>6905.0</v>
      </c>
      <c r="B4448" s="4">
        <v>49221.0</v>
      </c>
      <c r="C4448" s="5">
        <f t="shared" si="1870"/>
        <v>40362</v>
      </c>
      <c r="D4448" s="4" t="s">
        <v>45</v>
      </c>
      <c r="E4448" s="4">
        <v>41.0</v>
      </c>
      <c r="F4448" s="4">
        <v>277.35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1"/>
        <v>40363</v>
      </c>
    </row>
    <row r="4449" ht="12.75" customHeight="1">
      <c r="A4449" s="4">
        <v>6907.0</v>
      </c>
      <c r="B4449" s="4">
        <v>49255.0</v>
      </c>
      <c r="C4449" s="5">
        <f>DATE(2012,12,31)-192</f>
        <v>41082</v>
      </c>
      <c r="D4449" s="4" t="s">
        <v>30</v>
      </c>
      <c r="E4449" s="4">
        <v>20.0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1"/>
        <v>41083</v>
      </c>
    </row>
    <row r="4450" ht="12.75" customHeight="1">
      <c r="A4450" s="4">
        <v>6942.0</v>
      </c>
      <c r="B4450" s="4">
        <v>49575.0</v>
      </c>
      <c r="C4450" s="5">
        <f>DATE(2012,12,31)-746</f>
        <v>40528</v>
      </c>
      <c r="D4450" s="4" t="s">
        <v>30</v>
      </c>
      <c r="E4450" s="4">
        <v>12.0</v>
      </c>
      <c r="F4450" s="4">
        <v>507.44</v>
      </c>
      <c r="G4450" s="4">
        <v>0.05</v>
      </c>
      <c r="H4450" s="4" t="s">
        <v>22</v>
      </c>
      <c r="I4450" s="6">
        <v>170.901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1"/>
        <v>40529</v>
      </c>
    </row>
    <row r="4451" ht="12.75" customHeight="1">
      <c r="A4451" s="4">
        <v>7023.0</v>
      </c>
      <c r="B4451" s="4">
        <v>50144.0</v>
      </c>
      <c r="C4451" s="5">
        <f>DATE(2012,12,31)-207</f>
        <v>41067</v>
      </c>
      <c r="D4451" s="4" t="s">
        <v>78</v>
      </c>
      <c r="E4451" s="4">
        <v>36.0</v>
      </c>
      <c r="F4451" s="4">
        <v>4169.93</v>
      </c>
      <c r="G4451" s="4">
        <v>0.1</v>
      </c>
      <c r="H4451" s="4" t="s">
        <v>56</v>
      </c>
      <c r="I4451" s="6">
        <v>1765.535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ht="12.75" customHeight="1">
      <c r="A4452" s="4">
        <v>7030.0</v>
      </c>
      <c r="B4452" s="4">
        <v>50181.0</v>
      </c>
      <c r="C4452" s="5">
        <f>DATE(2012,12,31)-215</f>
        <v>41059</v>
      </c>
      <c r="D4452" s="4" t="s">
        <v>30</v>
      </c>
      <c r="E4452" s="4">
        <v>2.0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2">C4452+1</f>
        <v>41060</v>
      </c>
    </row>
    <row r="4453" ht="12.75" customHeight="1">
      <c r="A4453" s="4">
        <v>7346.0</v>
      </c>
      <c r="B4453" s="4">
        <v>52324.0</v>
      </c>
      <c r="C4453" s="5">
        <f>DATE(2012,12,31)-185</f>
        <v>41089</v>
      </c>
      <c r="D4453" s="4" t="s">
        <v>45</v>
      </c>
      <c r="E4453" s="4">
        <v>4.0</v>
      </c>
      <c r="F4453" s="4">
        <v>757.11</v>
      </c>
      <c r="G4453" s="4">
        <v>0.07</v>
      </c>
      <c r="H4453" s="4" t="s">
        <v>31</v>
      </c>
      <c r="I4453" s="6">
        <v>-224.35</v>
      </c>
      <c r="J4453" s="4">
        <v>180.98</v>
      </c>
      <c r="K4453" s="4">
        <v>30.0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2"/>
        <v>41090</v>
      </c>
    </row>
    <row r="4454" ht="12.75" customHeight="1">
      <c r="A4454" s="4">
        <v>7414.0</v>
      </c>
      <c r="B4454" s="4">
        <v>52896.0</v>
      </c>
      <c r="C4454" s="5">
        <f t="shared" ref="C4454:C4456" si="1873">DATE(2012,12,31)-801</f>
        <v>40473</v>
      </c>
      <c r="D4454" s="4" t="s">
        <v>30</v>
      </c>
      <c r="E4454" s="4">
        <v>24.0</v>
      </c>
      <c r="F4454" s="4">
        <v>8920.08</v>
      </c>
      <c r="G4454" s="4">
        <v>0.0</v>
      </c>
      <c r="H4454" s="4" t="s">
        <v>22</v>
      </c>
      <c r="I4454" s="6">
        <v>3545.8940000000002</v>
      </c>
      <c r="J4454" s="4">
        <v>367.99</v>
      </c>
      <c r="K4454" s="4">
        <v>19.99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4">C4454+3</f>
        <v>40476</v>
      </c>
    </row>
    <row r="4455" ht="12.75" customHeight="1">
      <c r="A4455" s="4">
        <v>7415.0</v>
      </c>
      <c r="B4455" s="4">
        <v>52896.0</v>
      </c>
      <c r="C4455" s="5">
        <f t="shared" si="1873"/>
        <v>40473</v>
      </c>
      <c r="D4455" s="4" t="s">
        <v>30</v>
      </c>
      <c r="E4455" s="4">
        <v>49.0</v>
      </c>
      <c r="F4455" s="4">
        <v>188.7</v>
      </c>
      <c r="G4455" s="4">
        <v>0.07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4"/>
        <v>40476</v>
      </c>
    </row>
    <row r="4456" ht="12.75" customHeight="1">
      <c r="A4456" s="4">
        <v>7416.0</v>
      </c>
      <c r="B4456" s="4">
        <v>52896.0</v>
      </c>
      <c r="C4456" s="5">
        <f t="shared" si="1873"/>
        <v>40473</v>
      </c>
      <c r="D4456" s="4" t="s">
        <v>30</v>
      </c>
      <c r="E4456" s="4">
        <v>36.0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ht="12.75" customHeight="1">
      <c r="A4457" s="4">
        <v>7483.0</v>
      </c>
      <c r="B4457" s="4">
        <v>53441.0</v>
      </c>
      <c r="C4457" s="5">
        <f>DATE(2012,12,31)-1225</f>
        <v>40049</v>
      </c>
      <c r="D4457" s="4" t="s">
        <v>63</v>
      </c>
      <c r="E4457" s="4">
        <v>7.0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ht="12.75" customHeight="1">
      <c r="A4458" s="4">
        <v>7487.0</v>
      </c>
      <c r="B4458" s="4">
        <v>53445.0</v>
      </c>
      <c r="C4458" s="5">
        <f t="shared" ref="C4458:C4459" si="1875">DATE(2012,12,31)-68</f>
        <v>41206</v>
      </c>
      <c r="D4458" s="4" t="s">
        <v>30</v>
      </c>
      <c r="E4458" s="4">
        <v>8.0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6">C4458+2</f>
        <v>41208</v>
      </c>
    </row>
    <row r="4459" ht="12.75" customHeight="1">
      <c r="A4459" s="4">
        <v>7488.0</v>
      </c>
      <c r="B4459" s="4">
        <v>53445.0</v>
      </c>
      <c r="C4459" s="5">
        <f t="shared" si="1875"/>
        <v>41206</v>
      </c>
      <c r="D4459" s="4" t="s">
        <v>30</v>
      </c>
      <c r="E4459" s="4">
        <v>21.0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6"/>
        <v>41208</v>
      </c>
    </row>
    <row r="4460" ht="12.75" customHeight="1">
      <c r="A4460" s="4">
        <v>7557.0</v>
      </c>
      <c r="B4460" s="4">
        <v>54055.0</v>
      </c>
      <c r="C4460" s="5">
        <f>DATE(2012,12,31)-1417</f>
        <v>39857</v>
      </c>
      <c r="D4460" s="4" t="s">
        <v>78</v>
      </c>
      <c r="E4460" s="4">
        <v>44.0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6"/>
        <v>39859</v>
      </c>
    </row>
    <row r="4461" ht="12.75" customHeight="1">
      <c r="A4461" s="4">
        <v>7570.0</v>
      </c>
      <c r="B4461" s="4">
        <v>54151.0</v>
      </c>
      <c r="C4461" s="5">
        <f t="shared" ref="C4461:C4462" si="1877">DATE(2012,12,31)-1216</f>
        <v>40058</v>
      </c>
      <c r="D4461" s="4" t="s">
        <v>78</v>
      </c>
      <c r="E4461" s="4">
        <v>35.0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8">C4461+1</f>
        <v>40059</v>
      </c>
    </row>
    <row r="4462" ht="12.75" customHeight="1">
      <c r="A4462" s="4">
        <v>7571.0</v>
      </c>
      <c r="B4462" s="4">
        <v>54151.0</v>
      </c>
      <c r="C4462" s="5">
        <f t="shared" si="1877"/>
        <v>40058</v>
      </c>
      <c r="D4462" s="4" t="s">
        <v>78</v>
      </c>
      <c r="E4462" s="4">
        <v>38.0</v>
      </c>
      <c r="F4462" s="4">
        <v>65.12</v>
      </c>
      <c r="G4462" s="4">
        <v>0.07</v>
      </c>
      <c r="H4462" s="4" t="s">
        <v>22</v>
      </c>
      <c r="I4462" s="6">
        <v>1.42</v>
      </c>
      <c r="J4462" s="4">
        <v>1.68</v>
      </c>
      <c r="K4462" s="4">
        <v>1.0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8"/>
        <v>40059</v>
      </c>
    </row>
    <row r="4463" ht="12.75" customHeight="1">
      <c r="A4463" s="4">
        <v>7576.0</v>
      </c>
      <c r="B4463" s="4">
        <v>54181.0</v>
      </c>
      <c r="C4463" s="5">
        <f>DATE(2012,12,31)-227</f>
        <v>41047</v>
      </c>
      <c r="D4463" s="4" t="s">
        <v>30</v>
      </c>
      <c r="E4463" s="4">
        <v>12.0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ht="12.75" customHeight="1">
      <c r="A4464" s="4">
        <v>7582.0</v>
      </c>
      <c r="B4464" s="4">
        <v>54243.0</v>
      </c>
      <c r="C4464" s="5">
        <f>DATE(2012,12,31)-1202</f>
        <v>40072</v>
      </c>
      <c r="D4464" s="4" t="s">
        <v>21</v>
      </c>
      <c r="E4464" s="4">
        <v>6.0</v>
      </c>
      <c r="F4464" s="4">
        <v>907.24</v>
      </c>
      <c r="G4464" s="4">
        <v>0.07</v>
      </c>
      <c r="H4464" s="4" t="s">
        <v>56</v>
      </c>
      <c r="I4464" s="6">
        <v>-634.7341000000001</v>
      </c>
      <c r="J4464" s="4">
        <v>154.13</v>
      </c>
      <c r="K4464" s="4">
        <v>69.0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ht="12.75" customHeight="1">
      <c r="A4465" s="4">
        <v>7604.0</v>
      </c>
      <c r="B4465" s="4">
        <v>54407.0</v>
      </c>
      <c r="C4465" s="5">
        <f>DATE(2012,12,31)-929</f>
        <v>40345</v>
      </c>
      <c r="D4465" s="4" t="s">
        <v>63</v>
      </c>
      <c r="E4465" s="4">
        <v>24.0</v>
      </c>
      <c r="F4465" s="4">
        <v>9396.27</v>
      </c>
      <c r="G4465" s="4">
        <v>0.07</v>
      </c>
      <c r="H4465" s="4" t="s">
        <v>22</v>
      </c>
      <c r="I4465" s="6">
        <v>3857.5719999999997</v>
      </c>
      <c r="J4465" s="4">
        <v>420.98</v>
      </c>
      <c r="K4465" s="4">
        <v>19.99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ht="12.75" customHeight="1">
      <c r="A4466" s="4">
        <v>7735.0</v>
      </c>
      <c r="B4466" s="4">
        <v>55394.0</v>
      </c>
      <c r="C4466" s="5">
        <f>DATE(2012,12,31)-1039</f>
        <v>40235</v>
      </c>
      <c r="D4466" s="4" t="s">
        <v>78</v>
      </c>
      <c r="E4466" s="4">
        <v>21.0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ht="12.75" customHeight="1">
      <c r="A4467" s="4">
        <v>7835.0</v>
      </c>
      <c r="B4467" s="4">
        <v>56003.0</v>
      </c>
      <c r="C4467" s="5">
        <f>DATE(2012,12,31)-1000</f>
        <v>40274</v>
      </c>
      <c r="D4467" s="4" t="s">
        <v>78</v>
      </c>
      <c r="E4467" s="4">
        <v>13.0</v>
      </c>
      <c r="F4467" s="4">
        <v>1835.47</v>
      </c>
      <c r="G4467" s="4">
        <v>0.1</v>
      </c>
      <c r="H4467" s="4" t="s">
        <v>31</v>
      </c>
      <c r="I4467" s="6">
        <v>-364.8733660000001</v>
      </c>
      <c r="J4467" s="4">
        <v>150.98</v>
      </c>
      <c r="K4467" s="4">
        <v>16.01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ht="12.75" customHeight="1">
      <c r="A4468" s="4">
        <v>7848.0</v>
      </c>
      <c r="B4468" s="4">
        <v>56128.0</v>
      </c>
      <c r="C4468" s="5">
        <f t="shared" ref="C4468:C4469" si="1879">DATE(2012,12,31)-885</f>
        <v>40389</v>
      </c>
      <c r="D4468" s="4" t="s">
        <v>63</v>
      </c>
      <c r="E4468" s="4">
        <v>41.0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0.57</v>
      </c>
      <c r="U4468" s="5">
        <f>C4468+0</f>
        <v>40389</v>
      </c>
    </row>
    <row r="4469" ht="12.75" customHeight="1">
      <c r="A4469" s="4">
        <v>7849.0</v>
      </c>
      <c r="B4469" s="4">
        <v>56128.0</v>
      </c>
      <c r="C4469" s="5">
        <f t="shared" si="1879"/>
        <v>40389</v>
      </c>
      <c r="D4469" s="4" t="s">
        <v>63</v>
      </c>
      <c r="E4469" s="4">
        <v>19.0</v>
      </c>
      <c r="F4469" s="4">
        <v>657.232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80">C4469+1</f>
        <v>40390</v>
      </c>
    </row>
    <row r="4470" ht="12.75" customHeight="1">
      <c r="A4470" s="4">
        <v>7882.0</v>
      </c>
      <c r="B4470" s="4">
        <v>56384.0</v>
      </c>
      <c r="C4470" s="5">
        <f t="shared" ref="C4470:C4471" si="1881">DATE(2012,12,31)-153</f>
        <v>41121</v>
      </c>
      <c r="D4470" s="4" t="s">
        <v>78</v>
      </c>
      <c r="E4470" s="4">
        <v>47.0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</v>
      </c>
      <c r="K4470" s="4">
        <v>49.0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80"/>
        <v>41122</v>
      </c>
    </row>
    <row r="4471" ht="12.75" customHeight="1">
      <c r="A4471" s="4">
        <v>7883.0</v>
      </c>
      <c r="B4471" s="4">
        <v>56384.0</v>
      </c>
      <c r="C4471" s="5">
        <f t="shared" si="1881"/>
        <v>41121</v>
      </c>
      <c r="D4471" s="4" t="s">
        <v>78</v>
      </c>
      <c r="E4471" s="4">
        <v>29.0</v>
      </c>
      <c r="F4471" s="4">
        <v>6139.34</v>
      </c>
      <c r="G4471" s="4">
        <v>0.08</v>
      </c>
      <c r="H4471" s="4" t="s">
        <v>31</v>
      </c>
      <c r="I4471" s="6">
        <v>-528.653125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ht="12.75" customHeight="1">
      <c r="A4472" s="4">
        <v>7926.0</v>
      </c>
      <c r="B4472" s="4">
        <v>56646.0</v>
      </c>
      <c r="C4472" s="5">
        <f>DATE(2012,12,31)-957</f>
        <v>40317</v>
      </c>
      <c r="D4472" s="4" t="s">
        <v>78</v>
      </c>
      <c r="E4472" s="4">
        <v>41.0</v>
      </c>
      <c r="F4472" s="4">
        <v>4257.276</v>
      </c>
      <c r="G4472" s="4">
        <v>0.04</v>
      </c>
      <c r="H4472" s="4" t="s">
        <v>22</v>
      </c>
      <c r="I4472" s="6">
        <v>1059.084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ht="12.75" customHeight="1">
      <c r="A4473" s="4">
        <v>7968.0</v>
      </c>
      <c r="B4473" s="4">
        <v>56967.0</v>
      </c>
      <c r="C4473" s="5">
        <f>DATE(2012,12,31)-304</f>
        <v>40970</v>
      </c>
      <c r="D4473" s="4" t="s">
        <v>21</v>
      </c>
      <c r="E4473" s="4">
        <v>17.0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ht="12.75" customHeight="1">
      <c r="A4474" s="4">
        <v>8053.0</v>
      </c>
      <c r="B4474" s="4">
        <v>57479.0</v>
      </c>
      <c r="C4474" s="5">
        <f>DATE(2012,12,31)-657</f>
        <v>40617</v>
      </c>
      <c r="D4474" s="4" t="s">
        <v>30</v>
      </c>
      <c r="E4474" s="4">
        <v>37.0</v>
      </c>
      <c r="F4474" s="4">
        <v>132.12</v>
      </c>
      <c r="G4474" s="4">
        <v>0.07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ht="12.75" customHeight="1">
      <c r="A4475" s="4">
        <v>8089.0</v>
      </c>
      <c r="B4475" s="4">
        <v>57699.0</v>
      </c>
      <c r="C4475" s="5">
        <f t="shared" ref="C4475:C4477" si="1882">DATE(2012,12,31)-51</f>
        <v>41223</v>
      </c>
      <c r="D4475" s="4" t="s">
        <v>21</v>
      </c>
      <c r="E4475" s="4">
        <v>47.0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ht="12.75" customHeight="1">
      <c r="A4476" s="4">
        <v>8090.0</v>
      </c>
      <c r="B4476" s="4">
        <v>57699.0</v>
      </c>
      <c r="C4476" s="5">
        <f t="shared" si="1882"/>
        <v>41223</v>
      </c>
      <c r="D4476" s="4" t="s">
        <v>21</v>
      </c>
      <c r="E4476" s="4">
        <v>36.0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19.99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ht="12.75" customHeight="1">
      <c r="A4477" s="4">
        <v>8091.0</v>
      </c>
      <c r="B4477" s="4">
        <v>57699.0</v>
      </c>
      <c r="C4477" s="5">
        <f t="shared" si="1882"/>
        <v>41223</v>
      </c>
      <c r="D4477" s="4" t="s">
        <v>21</v>
      </c>
      <c r="E4477" s="4">
        <v>20.0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ht="12.75" customHeight="1">
      <c r="A4478" s="4">
        <v>8209.0</v>
      </c>
      <c r="B4478" s="4">
        <v>58690.0</v>
      </c>
      <c r="C4478" s="5">
        <f>DATE(2012,12,31)-422</f>
        <v>40852</v>
      </c>
      <c r="D4478" s="4" t="s">
        <v>30</v>
      </c>
      <c r="E4478" s="4">
        <v>14.0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ht="12.75" customHeight="1">
      <c r="A4479" s="4">
        <v>8223.0</v>
      </c>
      <c r="B4479" s="4">
        <v>58784.0</v>
      </c>
      <c r="C4479" s="5">
        <f t="shared" ref="C4479:C4480" si="1883">DATE(2012,12,31)-1443</f>
        <v>39831</v>
      </c>
      <c r="D4479" s="4" t="s">
        <v>63</v>
      </c>
      <c r="E4479" s="4">
        <v>25.0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39.0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</v>
      </c>
      <c r="U4479" s="5">
        <f t="shared" ref="U4479:U4480" si="1884">C4479+2</f>
        <v>39833</v>
      </c>
    </row>
    <row r="4480" ht="12.75" customHeight="1">
      <c r="A4480" s="4">
        <v>8224.0</v>
      </c>
      <c r="B4480" s="4">
        <v>58784.0</v>
      </c>
      <c r="C4480" s="5">
        <f t="shared" si="1883"/>
        <v>39831</v>
      </c>
      <c r="D4480" s="4" t="s">
        <v>63</v>
      </c>
      <c r="E4480" s="4">
        <v>20.0</v>
      </c>
      <c r="F4480" s="4">
        <v>331.21</v>
      </c>
      <c r="G4480" s="4">
        <v>0.04</v>
      </c>
      <c r="H4480" s="4" t="s">
        <v>56</v>
      </c>
      <c r="I4480" s="6">
        <v>-67.3815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4"/>
        <v>39833</v>
      </c>
    </row>
    <row r="4481" ht="12.75" customHeight="1">
      <c r="A4481" s="4">
        <v>8318.0</v>
      </c>
      <c r="B4481" s="4">
        <v>59428.0</v>
      </c>
      <c r="C4481" s="5">
        <f t="shared" ref="C4481:C4482" si="1885">DATE(2012,12,31)-844</f>
        <v>40430</v>
      </c>
      <c r="D4481" s="4" t="s">
        <v>30</v>
      </c>
      <c r="E4481" s="4">
        <v>36.0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45.0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ht="12.75" customHeight="1">
      <c r="A4482" s="4">
        <v>8319.0</v>
      </c>
      <c r="B4482" s="4">
        <v>59428.0</v>
      </c>
      <c r="C4482" s="5">
        <f t="shared" si="1885"/>
        <v>40430</v>
      </c>
      <c r="D4482" s="4" t="s">
        <v>30</v>
      </c>
      <c r="E4482" s="4">
        <v>43.0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ht="12.75" customHeight="1">
      <c r="A4483" s="4">
        <v>221.0</v>
      </c>
      <c r="B4483" s="4">
        <v>1444.0</v>
      </c>
      <c r="C4483" s="5">
        <f>DATE(2012,12,31)-1122</f>
        <v>40152</v>
      </c>
      <c r="D4483" s="4" t="s">
        <v>63</v>
      </c>
      <c r="E4483" s="4">
        <v>25.0</v>
      </c>
      <c r="F4483" s="4">
        <v>772.24</v>
      </c>
      <c r="G4483" s="4">
        <v>0.07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ht="12.75" customHeight="1">
      <c r="A4484" s="4">
        <v>278.0</v>
      </c>
      <c r="B4484" s="4">
        <v>1921.0</v>
      </c>
      <c r="C4484" s="5">
        <f>DATE(2012,12,31)-1444</f>
        <v>39830</v>
      </c>
      <c r="D4484" s="4" t="s">
        <v>63</v>
      </c>
      <c r="E4484" s="4">
        <v>24.0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0.57</v>
      </c>
      <c r="U4484" s="5">
        <f t="shared" ref="U4484:U4485" si="1886">C4484+2</f>
        <v>39832</v>
      </c>
    </row>
    <row r="4485" ht="12.75" customHeight="1">
      <c r="A4485" s="4">
        <v>283.0</v>
      </c>
      <c r="B4485" s="4">
        <v>1985.0</v>
      </c>
      <c r="C4485" s="5">
        <f>DATE(2012,12,31)-1217</f>
        <v>40057</v>
      </c>
      <c r="D4485" s="4" t="s">
        <v>45</v>
      </c>
      <c r="E4485" s="4">
        <v>33.0</v>
      </c>
      <c r="F4485" s="4">
        <v>15464.01</v>
      </c>
      <c r="G4485" s="4">
        <v>0.05</v>
      </c>
      <c r="H4485" s="4" t="s">
        <v>31</v>
      </c>
      <c r="I4485" s="6">
        <v>4407.44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6"/>
        <v>40059</v>
      </c>
    </row>
    <row r="4486" ht="12.75" customHeight="1">
      <c r="A4486" s="4">
        <v>443.0</v>
      </c>
      <c r="B4486" s="4">
        <v>2978.0</v>
      </c>
      <c r="C4486" s="5">
        <f>DATE(2012,12,31)-609</f>
        <v>40665</v>
      </c>
      <c r="D4486" s="4" t="s">
        <v>78</v>
      </c>
      <c r="E4486" s="4">
        <v>28.0</v>
      </c>
      <c r="F4486" s="4">
        <v>4671.1495</v>
      </c>
      <c r="G4486" s="4">
        <v>0.07</v>
      </c>
      <c r="H4486" s="4" t="s">
        <v>22</v>
      </c>
      <c r="I4486" s="6">
        <v>947.3129999999999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ht="12.75" customHeight="1">
      <c r="A4487" s="4">
        <v>1030.0</v>
      </c>
      <c r="B4487" s="4">
        <v>7521.0</v>
      </c>
      <c r="C4487" s="5">
        <f>DATE(2012,12,31)-673</f>
        <v>40601</v>
      </c>
      <c r="D4487" s="4" t="s">
        <v>21</v>
      </c>
      <c r="E4487" s="4">
        <v>19.0</v>
      </c>
      <c r="F4487" s="4">
        <v>1942.1734999999999</v>
      </c>
      <c r="G4487" s="4">
        <v>0.0</v>
      </c>
      <c r="H4487" s="4" t="s">
        <v>56</v>
      </c>
      <c r="I4487" s="6">
        <v>400.824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</v>
      </c>
      <c r="U4487" s="5">
        <f>C4487+6</f>
        <v>40607</v>
      </c>
    </row>
    <row r="4488" ht="12.75" customHeight="1">
      <c r="A4488" s="4">
        <v>1552.0</v>
      </c>
      <c r="B4488" s="4">
        <v>11206.0</v>
      </c>
      <c r="C4488" s="5">
        <f>DATE(2012,12,31)-1099</f>
        <v>40175</v>
      </c>
      <c r="D4488" s="4" t="s">
        <v>21</v>
      </c>
      <c r="E4488" s="4">
        <v>26.0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19.99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ht="12.75" customHeight="1">
      <c r="A4489" s="4">
        <v>1858.0</v>
      </c>
      <c r="B4489" s="4">
        <v>13351.0</v>
      </c>
      <c r="C4489" s="5">
        <f>DATE(2012,12,31)-970</f>
        <v>40304</v>
      </c>
      <c r="D4489" s="4" t="s">
        <v>63</v>
      </c>
      <c r="E4489" s="4">
        <v>20.0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19.99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ht="12.75" customHeight="1">
      <c r="A4490" s="4">
        <v>1872.0</v>
      </c>
      <c r="B4490" s="4">
        <v>13476.0</v>
      </c>
      <c r="C4490" s="5">
        <f>DATE(2012,12,31)-807</f>
        <v>40467</v>
      </c>
      <c r="D4490" s="4" t="s">
        <v>45</v>
      </c>
      <c r="E4490" s="4">
        <v>31.0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4.0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ht="12.75" customHeight="1">
      <c r="A4491" s="4">
        <v>2151.0</v>
      </c>
      <c r="B4491" s="4">
        <v>15399.0</v>
      </c>
      <c r="C4491" s="5">
        <f>DATE(2012,12,31)-232</f>
        <v>41042</v>
      </c>
      <c r="D4491" s="4" t="s">
        <v>78</v>
      </c>
      <c r="E4491" s="4">
        <v>38.0</v>
      </c>
      <c r="F4491" s="4">
        <v>3988.0894999999996</v>
      </c>
      <c r="G4491" s="4">
        <v>0.02</v>
      </c>
      <c r="H4491" s="4" t="s">
        <v>22</v>
      </c>
      <c r="I4491" s="6">
        <v>969.858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ht="12.75" customHeight="1">
      <c r="A4492" s="4">
        <v>2178.0</v>
      </c>
      <c r="B4492" s="4">
        <v>15687.0</v>
      </c>
      <c r="C4492" s="5">
        <f>DATE(2012,12,31)-266</f>
        <v>41008</v>
      </c>
      <c r="D4492" s="4" t="s">
        <v>78</v>
      </c>
      <c r="E4492" s="4">
        <v>48.0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</v>
      </c>
      <c r="U4492" s="5">
        <f>C4492+3</f>
        <v>41011</v>
      </c>
    </row>
    <row r="4493" ht="12.75" customHeight="1">
      <c r="A4493" s="4">
        <v>3228.0</v>
      </c>
      <c r="B4493" s="4">
        <v>23169.0</v>
      </c>
      <c r="C4493" s="5">
        <f>DATE(2012,12,31)-557</f>
        <v>40717</v>
      </c>
      <c r="D4493" s="4" t="s">
        <v>78</v>
      </c>
      <c r="E4493" s="4">
        <v>22.0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7">C4493+2</f>
        <v>40719</v>
      </c>
    </row>
    <row r="4494" ht="12.75" customHeight="1">
      <c r="A4494" s="4">
        <v>4539.0</v>
      </c>
      <c r="B4494" s="4">
        <v>32292.0</v>
      </c>
      <c r="C4494" s="5">
        <f>DATE(2012,12,31)-320</f>
        <v>40954</v>
      </c>
      <c r="D4494" s="4" t="s">
        <v>21</v>
      </c>
      <c r="E4494" s="4">
        <v>1.0</v>
      </c>
      <c r="F4494" s="4">
        <v>13.53</v>
      </c>
      <c r="G4494" s="4">
        <v>0.07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</v>
      </c>
      <c r="U4494" s="5">
        <f t="shared" si="1887"/>
        <v>40956</v>
      </c>
    </row>
    <row r="4495" ht="12.75" customHeight="1">
      <c r="A4495" s="4">
        <v>4554.0</v>
      </c>
      <c r="B4495" s="4">
        <v>32389.0</v>
      </c>
      <c r="C4495" s="5">
        <f>DATE(2012,12,31)-792</f>
        <v>40482</v>
      </c>
      <c r="D4495" s="4" t="s">
        <v>63</v>
      </c>
      <c r="E4495" s="4">
        <v>1.0</v>
      </c>
      <c r="F4495" s="4">
        <v>65.467</v>
      </c>
      <c r="G4495" s="4">
        <v>0.06</v>
      </c>
      <c r="H4495" s="4" t="s">
        <v>56</v>
      </c>
      <c r="I4495" s="6">
        <v>-257.411</v>
      </c>
      <c r="J4495" s="4">
        <v>65.99</v>
      </c>
      <c r="K4495" s="4">
        <v>8.8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0.58</v>
      </c>
      <c r="U4495" s="5">
        <f>C4495+1</f>
        <v>40483</v>
      </c>
    </row>
    <row r="4496" ht="12.75" customHeight="1">
      <c r="A4496" s="4">
        <v>5328.0</v>
      </c>
      <c r="B4496" s="4">
        <v>37863.0</v>
      </c>
      <c r="C4496" s="5">
        <f>DATE(2012,12,31)-676</f>
        <v>40598</v>
      </c>
      <c r="D4496" s="4" t="s">
        <v>30</v>
      </c>
      <c r="E4496" s="4">
        <v>27.0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0.57</v>
      </c>
      <c r="U4496" s="5">
        <f>C4496+2</f>
        <v>40600</v>
      </c>
    </row>
    <row r="4497" ht="12.75" customHeight="1">
      <c r="A4497" s="4">
        <v>5756.0</v>
      </c>
      <c r="B4497" s="4">
        <v>40866.0</v>
      </c>
      <c r="C4497" s="5">
        <f>DATE(2012,12,31)-953</f>
        <v>40321</v>
      </c>
      <c r="D4497" s="4" t="s">
        <v>30</v>
      </c>
      <c r="E4497" s="4">
        <v>3.0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300.65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8">C4497+1</f>
        <v>40322</v>
      </c>
    </row>
    <row r="4498" ht="12.75" customHeight="1">
      <c r="A4498" s="4">
        <v>6779.0</v>
      </c>
      <c r="B4498" s="4">
        <v>48263.0</v>
      </c>
      <c r="C4498" s="5">
        <f>DATE(2012,12,31)-1028</f>
        <v>40246</v>
      </c>
      <c r="D4498" s="4" t="s">
        <v>63</v>
      </c>
      <c r="E4498" s="4">
        <v>25.0</v>
      </c>
      <c r="F4498" s="4">
        <v>135.91</v>
      </c>
      <c r="G4498" s="4">
        <v>0.07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8"/>
        <v>40247</v>
      </c>
    </row>
    <row r="4499" ht="12.75" customHeight="1">
      <c r="A4499" s="4">
        <v>7004.0</v>
      </c>
      <c r="B4499" s="4">
        <v>49989.0</v>
      </c>
      <c r="C4499" s="5">
        <f>DATE(2012,12,31)-980</f>
        <v>40294</v>
      </c>
      <c r="D4499" s="4" t="s">
        <v>45</v>
      </c>
      <c r="E4499" s="4">
        <v>6.0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8"/>
        <v>40295</v>
      </c>
    </row>
    <row r="4500" ht="12.75" customHeight="1">
      <c r="A4500" s="4">
        <v>7631.0</v>
      </c>
      <c r="B4500" s="4">
        <v>54595.0</v>
      </c>
      <c r="C4500" s="5">
        <f>DATE(2012,12,31)-1343</f>
        <v>39931</v>
      </c>
      <c r="D4500" s="4" t="s">
        <v>63</v>
      </c>
      <c r="E4500" s="4">
        <v>30.0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ht="12.75" customHeight="1">
      <c r="A4501" s="4">
        <v>7733.0</v>
      </c>
      <c r="B4501" s="4">
        <v>55392.0</v>
      </c>
      <c r="C4501" s="5">
        <f>DATE(2012,12,31)-1304</f>
        <v>39970</v>
      </c>
      <c r="D4501" s="4" t="s">
        <v>78</v>
      </c>
      <c r="E4501" s="4">
        <v>20.0</v>
      </c>
      <c r="F4501" s="4">
        <v>129.3</v>
      </c>
      <c r="G4501" s="4">
        <v>0.02</v>
      </c>
      <c r="H4501" s="4" t="s">
        <v>22</v>
      </c>
      <c r="I4501" s="6">
        <v>40.2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9">C4501+1</f>
        <v>39971</v>
      </c>
    </row>
    <row r="4502" ht="12.75" customHeight="1">
      <c r="A4502" s="4">
        <v>8010.0</v>
      </c>
      <c r="B4502" s="4">
        <v>57249.0</v>
      </c>
      <c r="C4502" s="5">
        <f>DATE(2012,12,31)-895</f>
        <v>40379</v>
      </c>
      <c r="D4502" s="4" t="s">
        <v>30</v>
      </c>
      <c r="E4502" s="4">
        <v>30.0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9"/>
        <v>40380</v>
      </c>
    </row>
    <row r="4503" ht="12.75" customHeight="1">
      <c r="A4503" s="4">
        <v>218.0</v>
      </c>
      <c r="B4503" s="4">
        <v>1444.0</v>
      </c>
      <c r="C4503" s="5">
        <f>DATE(2012,12,31)-1122</f>
        <v>40152</v>
      </c>
      <c r="D4503" s="4" t="s">
        <v>63</v>
      </c>
      <c r="E4503" s="4">
        <v>13.0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ht="12.75" customHeight="1">
      <c r="A4504" s="4">
        <v>709.0</v>
      </c>
      <c r="B4504" s="4">
        <v>4965.0</v>
      </c>
      <c r="C4504" s="5">
        <f>DATE(2012,12,31)-803</f>
        <v>40471</v>
      </c>
      <c r="D4504" s="4" t="s">
        <v>21</v>
      </c>
      <c r="E4504" s="4">
        <v>46.0</v>
      </c>
      <c r="F4504" s="4">
        <v>287.13</v>
      </c>
      <c r="G4504" s="4">
        <v>0.0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ht="12.75" customHeight="1">
      <c r="A4505" s="4">
        <v>790.0</v>
      </c>
      <c r="B4505" s="4">
        <v>5639.0</v>
      </c>
      <c r="C4505" s="5">
        <f>DATE(2012,12,31)-1309</f>
        <v>39965</v>
      </c>
      <c r="D4505" s="4" t="s">
        <v>63</v>
      </c>
      <c r="E4505" s="4">
        <v>31.0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8.78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0.57</v>
      </c>
      <c r="U4505" s="5">
        <f t="shared" ref="U4505:U4506" si="1890">C4505+1</f>
        <v>39966</v>
      </c>
    </row>
    <row r="4506" ht="12.75" customHeight="1">
      <c r="A4506" s="4">
        <v>1002.0</v>
      </c>
      <c r="B4506" s="4">
        <v>7297.0</v>
      </c>
      <c r="C4506" s="5">
        <f>DATE(2012,12,31)-1204</f>
        <v>40070</v>
      </c>
      <c r="D4506" s="4" t="s">
        <v>30</v>
      </c>
      <c r="E4506" s="4">
        <v>26.0</v>
      </c>
      <c r="F4506" s="4">
        <v>936.95</v>
      </c>
      <c r="G4506" s="4">
        <v>0.03</v>
      </c>
      <c r="H4506" s="4" t="s">
        <v>22</v>
      </c>
      <c r="I4506" s="6">
        <v>-0.7400000000000091</v>
      </c>
      <c r="J4506" s="4">
        <v>33.98</v>
      </c>
      <c r="K4506" s="4">
        <v>19.99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</v>
      </c>
      <c r="U4506" s="5">
        <f t="shared" si="1890"/>
        <v>40071</v>
      </c>
    </row>
    <row r="4507" ht="12.75" customHeight="1">
      <c r="A4507" s="4">
        <v>1165.0</v>
      </c>
      <c r="B4507" s="4">
        <v>8513.0</v>
      </c>
      <c r="C4507" s="5">
        <f>DATE(2012,12,31)-535</f>
        <v>40739</v>
      </c>
      <c r="D4507" s="4" t="s">
        <v>21</v>
      </c>
      <c r="E4507" s="4">
        <v>9.0</v>
      </c>
      <c r="F4507" s="4">
        <v>163.78</v>
      </c>
      <c r="G4507" s="4">
        <v>0.05</v>
      </c>
      <c r="H4507" s="4" t="s">
        <v>22</v>
      </c>
      <c r="I4507" s="6">
        <v>-43.0302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ht="12.75" customHeight="1">
      <c r="A4508" s="4">
        <v>1411.0</v>
      </c>
      <c r="B4508" s="4">
        <v>10245.0</v>
      </c>
      <c r="C4508" s="5">
        <f>DATE(2012,12,31)-687</f>
        <v>40587</v>
      </c>
      <c r="D4508" s="4" t="s">
        <v>63</v>
      </c>
      <c r="E4508" s="4">
        <v>20.0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ht="12.75" customHeight="1">
      <c r="A4509" s="4">
        <v>1526.0</v>
      </c>
      <c r="B4509" s="4">
        <v>11011.0</v>
      </c>
      <c r="C4509" s="5">
        <f>DATE(2012,12,31)-232</f>
        <v>41042</v>
      </c>
      <c r="D4509" s="4" t="s">
        <v>30</v>
      </c>
      <c r="E4509" s="4">
        <v>33.0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</v>
      </c>
      <c r="U4509" s="5">
        <f t="shared" ref="U4509:U4513" si="1891">C4509+2</f>
        <v>41044</v>
      </c>
    </row>
    <row r="4510" ht="12.75" customHeight="1">
      <c r="A4510" s="4">
        <v>1713.0</v>
      </c>
      <c r="B4510" s="4">
        <v>12320.0</v>
      </c>
      <c r="C4510" s="5">
        <f>DATE(2012,12,31)-377</f>
        <v>40897</v>
      </c>
      <c r="D4510" s="4" t="s">
        <v>78</v>
      </c>
      <c r="E4510" s="4">
        <v>35.0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1"/>
        <v>40899</v>
      </c>
    </row>
    <row r="4511" ht="12.75" customHeight="1">
      <c r="A4511" s="4">
        <v>1717.0</v>
      </c>
      <c r="B4511" s="4">
        <v>12326.0</v>
      </c>
      <c r="C4511" s="5">
        <f>DATE(2012,12,31)-698</f>
        <v>40576</v>
      </c>
      <c r="D4511" s="4" t="s">
        <v>78</v>
      </c>
      <c r="E4511" s="4">
        <v>4.0</v>
      </c>
      <c r="F4511" s="4">
        <v>123.82</v>
      </c>
      <c r="G4511" s="4">
        <v>0.05</v>
      </c>
      <c r="H4511" s="4" t="s">
        <v>22</v>
      </c>
      <c r="I4511" s="6">
        <v>-0.370000000000001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1"/>
        <v>40578</v>
      </c>
    </row>
    <row r="4512" ht="12.75" customHeight="1">
      <c r="A4512" s="4">
        <v>1819.0</v>
      </c>
      <c r="B4512" s="4">
        <v>13056.0</v>
      </c>
      <c r="C4512" s="5">
        <f>DATE(2012,12,31)-1349</f>
        <v>39925</v>
      </c>
      <c r="D4512" s="4" t="s">
        <v>45</v>
      </c>
      <c r="E4512" s="4">
        <v>33.0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1"/>
        <v>39927</v>
      </c>
    </row>
    <row r="4513" ht="12.75" customHeight="1">
      <c r="A4513" s="4">
        <v>1830.0</v>
      </c>
      <c r="B4513" s="4">
        <v>13125.0</v>
      </c>
      <c r="C4513" s="5">
        <f>DATE(2012,12,31)-749</f>
        <v>40525</v>
      </c>
      <c r="D4513" s="4" t="s">
        <v>45</v>
      </c>
      <c r="E4513" s="4">
        <v>30.0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4.0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1"/>
        <v>40527</v>
      </c>
    </row>
    <row r="4514" ht="12.75" customHeight="1">
      <c r="A4514" s="4">
        <v>2404.0</v>
      </c>
      <c r="B4514" s="4">
        <v>17410.0</v>
      </c>
      <c r="C4514" s="5">
        <f>DATE(2012,12,31)-852</f>
        <v>40422</v>
      </c>
      <c r="D4514" s="4" t="s">
        <v>21</v>
      </c>
      <c r="E4514" s="4">
        <v>45.0</v>
      </c>
      <c r="F4514" s="4">
        <v>372.01</v>
      </c>
      <c r="G4514" s="4">
        <v>0.07</v>
      </c>
      <c r="H4514" s="4" t="s">
        <v>22</v>
      </c>
      <c r="I4514" s="6">
        <v>-203.68</v>
      </c>
      <c r="J4514" s="4">
        <v>8.45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</v>
      </c>
      <c r="U4514" s="5">
        <f>C4514+5</f>
        <v>40427</v>
      </c>
    </row>
    <row r="4515" ht="12.75" customHeight="1">
      <c r="A4515" s="4">
        <v>2466.0</v>
      </c>
      <c r="B4515" s="4">
        <v>17953.0</v>
      </c>
      <c r="C4515" s="5">
        <f>DATE(2012,12,31)-133</f>
        <v>41141</v>
      </c>
      <c r="D4515" s="4" t="s">
        <v>30</v>
      </c>
      <c r="E4515" s="4">
        <v>30.0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ht="12.75" customHeight="1">
      <c r="A4516" s="4">
        <v>2875.0</v>
      </c>
      <c r="B4516" s="4">
        <v>20711.0</v>
      </c>
      <c r="C4516" s="5">
        <f>DATE(2012,12,31)-1442</f>
        <v>39832</v>
      </c>
      <c r="D4516" s="4" t="s">
        <v>78</v>
      </c>
      <c r="E4516" s="4">
        <v>18.0</v>
      </c>
      <c r="F4516" s="4">
        <v>2215.96</v>
      </c>
      <c r="G4516" s="4">
        <v>0.0</v>
      </c>
      <c r="H4516" s="4" t="s">
        <v>31</v>
      </c>
      <c r="I4516" s="6">
        <v>-101.6595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2">C4516+1</f>
        <v>39833</v>
      </c>
    </row>
    <row r="4517" ht="12.75" customHeight="1">
      <c r="A4517" s="4">
        <v>2997.0</v>
      </c>
      <c r="B4517" s="4">
        <v>21606.0</v>
      </c>
      <c r="C4517" s="5">
        <f>DATE(2012,12,31)-709</f>
        <v>40565</v>
      </c>
      <c r="D4517" s="4" t="s">
        <v>45</v>
      </c>
      <c r="E4517" s="4">
        <v>43.0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32.98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2"/>
        <v>40566</v>
      </c>
    </row>
    <row r="4518" ht="12.75" customHeight="1">
      <c r="A4518" s="4">
        <v>3174.0</v>
      </c>
      <c r="B4518" s="4">
        <v>22820.0</v>
      </c>
      <c r="C4518" s="5">
        <f>DATE(2012,12,31)-867</f>
        <v>40407</v>
      </c>
      <c r="D4518" s="4" t="s">
        <v>30</v>
      </c>
      <c r="E4518" s="4">
        <v>34.0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3">C4518+2</f>
        <v>40409</v>
      </c>
    </row>
    <row r="4519" ht="12.75" customHeight="1">
      <c r="A4519" s="4">
        <v>3227.0</v>
      </c>
      <c r="B4519" s="4">
        <v>23169.0</v>
      </c>
      <c r="C4519" s="5">
        <f>DATE(2012,12,31)-557</f>
        <v>40717</v>
      </c>
      <c r="D4519" s="4" t="s">
        <v>78</v>
      </c>
      <c r="E4519" s="4">
        <v>27.0</v>
      </c>
      <c r="F4519" s="4">
        <v>172.7</v>
      </c>
      <c r="G4519" s="4">
        <v>0.07</v>
      </c>
      <c r="H4519" s="4" t="s">
        <v>22</v>
      </c>
      <c r="I4519" s="6">
        <v>-42.97</v>
      </c>
      <c r="J4519" s="4">
        <v>6.48</v>
      </c>
      <c r="K4519" s="4">
        <v>5.11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3"/>
        <v>40719</v>
      </c>
    </row>
    <row r="4520" ht="12.75" customHeight="1">
      <c r="A4520" s="4">
        <v>3286.0</v>
      </c>
      <c r="B4520" s="4">
        <v>23522.0</v>
      </c>
      <c r="C4520" s="5">
        <f>DATE(2012,12,31)-630</f>
        <v>40644</v>
      </c>
      <c r="D4520" s="4" t="s">
        <v>78</v>
      </c>
      <c r="E4520" s="4">
        <v>8.0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19.99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ht="12.75" customHeight="1">
      <c r="A4521" s="4">
        <v>3303.0</v>
      </c>
      <c r="B4521" s="4">
        <v>23616.0</v>
      </c>
      <c r="C4521" s="5">
        <f>DATE(2012,12,31)-125</f>
        <v>41149</v>
      </c>
      <c r="D4521" s="4" t="s">
        <v>45</v>
      </c>
      <c r="E4521" s="4">
        <v>47.0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ht="12.75" customHeight="1">
      <c r="A4522" s="4">
        <v>3526.0</v>
      </c>
      <c r="B4522" s="4">
        <v>25092.0</v>
      </c>
      <c r="C4522" s="5">
        <f>DATE(2012,12,31)-761</f>
        <v>40513</v>
      </c>
      <c r="D4522" s="4" t="s">
        <v>30</v>
      </c>
      <c r="E4522" s="4">
        <v>42.0</v>
      </c>
      <c r="F4522" s="4">
        <v>242.8</v>
      </c>
      <c r="G4522" s="4">
        <v>0.07</v>
      </c>
      <c r="H4522" s="4" t="s">
        <v>22</v>
      </c>
      <c r="I4522" s="6">
        <v>95.91</v>
      </c>
      <c r="J4522" s="4">
        <v>5.84</v>
      </c>
      <c r="K4522" s="4">
        <v>1.0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ht="12.75" customHeight="1">
      <c r="A4523" s="4">
        <v>3538.0</v>
      </c>
      <c r="B4523" s="4">
        <v>25157.0</v>
      </c>
      <c r="C4523" s="5">
        <f>DATE(2012,12,31)-951</f>
        <v>40323</v>
      </c>
      <c r="D4523" s="4" t="s">
        <v>45</v>
      </c>
      <c r="E4523" s="4">
        <v>47.0</v>
      </c>
      <c r="F4523" s="4">
        <v>271.78</v>
      </c>
      <c r="G4523" s="4">
        <v>0.07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</v>
      </c>
      <c r="U4523" s="5">
        <f>C4523+1</f>
        <v>40324</v>
      </c>
    </row>
    <row r="4524" ht="12.75" customHeight="1">
      <c r="A4524" s="4">
        <v>3545.0</v>
      </c>
      <c r="B4524" s="4">
        <v>25280.0</v>
      </c>
      <c r="C4524" s="5">
        <f>DATE(2012,12,31)-590</f>
        <v>40684</v>
      </c>
      <c r="D4524" s="4" t="s">
        <v>45</v>
      </c>
      <c r="E4524" s="4">
        <v>16.0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4">C4524+2</f>
        <v>40686</v>
      </c>
    </row>
    <row r="4525" ht="12.75" customHeight="1">
      <c r="A4525" s="4">
        <v>3547.0</v>
      </c>
      <c r="B4525" s="4">
        <v>25313.0</v>
      </c>
      <c r="C4525" s="5">
        <f>DATE(2012,12,31)-132</f>
        <v>41142</v>
      </c>
      <c r="D4525" s="4" t="s">
        <v>78</v>
      </c>
      <c r="E4525" s="4">
        <v>19.0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4"/>
        <v>41144</v>
      </c>
    </row>
    <row r="4526" ht="12.75" customHeight="1">
      <c r="A4526" s="4">
        <v>3581.0</v>
      </c>
      <c r="B4526" s="4">
        <v>25536.0</v>
      </c>
      <c r="C4526" s="5">
        <f>DATE(2012,12,31)-528</f>
        <v>40746</v>
      </c>
      <c r="D4526" s="4" t="s">
        <v>21</v>
      </c>
      <c r="E4526" s="4">
        <v>19.0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5">C4526+0</f>
        <v>40746</v>
      </c>
    </row>
    <row r="4527" ht="12.75" customHeight="1">
      <c r="A4527" s="4">
        <v>3598.0</v>
      </c>
      <c r="B4527" s="4">
        <v>25666.0</v>
      </c>
      <c r="C4527" s="5">
        <f>DATE(2012,12,31)-120</f>
        <v>41154</v>
      </c>
      <c r="D4527" s="4" t="s">
        <v>78</v>
      </c>
      <c r="E4527" s="4">
        <v>23.0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4.81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0.58</v>
      </c>
      <c r="U4527" s="5">
        <f t="shared" si="1895"/>
        <v>41154</v>
      </c>
    </row>
    <row r="4528" ht="12.75" customHeight="1">
      <c r="A4528" s="4">
        <v>3926.0</v>
      </c>
      <c r="B4528" s="4">
        <v>28001.0</v>
      </c>
      <c r="C4528" s="5">
        <f>DATE(2012,12,31)-1296</f>
        <v>39978</v>
      </c>
      <c r="D4528" s="4" t="s">
        <v>78</v>
      </c>
      <c r="E4528" s="4">
        <v>41.0</v>
      </c>
      <c r="F4528" s="4">
        <v>8958.46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5"/>
        <v>39978</v>
      </c>
    </row>
    <row r="4529" ht="12.75" customHeight="1">
      <c r="A4529" s="4">
        <v>4073.0</v>
      </c>
      <c r="B4529" s="4">
        <v>28999.0</v>
      </c>
      <c r="C4529" s="5">
        <f>DATE(2012,12,31)-1451</f>
        <v>39823</v>
      </c>
      <c r="D4529" s="4" t="s">
        <v>30</v>
      </c>
      <c r="E4529" s="4">
        <v>34.0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33.98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ht="12.75" customHeight="1">
      <c r="A4530" s="4">
        <v>4178.0</v>
      </c>
      <c r="B4530" s="4">
        <v>29666.0</v>
      </c>
      <c r="C4530" s="5">
        <f>DATE(2012,12,31)-367</f>
        <v>40907</v>
      </c>
      <c r="D4530" s="4" t="s">
        <v>45</v>
      </c>
      <c r="E4530" s="4">
        <v>44.0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6">C4530+2</f>
        <v>40909</v>
      </c>
    </row>
    <row r="4531" ht="12.75" customHeight="1">
      <c r="A4531" s="4">
        <v>4299.0</v>
      </c>
      <c r="B4531" s="4">
        <v>30599.0</v>
      </c>
      <c r="C4531" s="5">
        <f>DATE(2012,12,31)-325</f>
        <v>40949</v>
      </c>
      <c r="D4531" s="4" t="s">
        <v>45</v>
      </c>
      <c r="E4531" s="4">
        <v>23.0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6"/>
        <v>40951</v>
      </c>
    </row>
    <row r="4532" ht="12.75" customHeight="1">
      <c r="A4532" s="4">
        <v>4381.0</v>
      </c>
      <c r="B4532" s="4">
        <v>31232.0</v>
      </c>
      <c r="C4532" s="5">
        <f>DATE(2012,12,31)-124</f>
        <v>41150</v>
      </c>
      <c r="D4532" s="4" t="s">
        <v>30</v>
      </c>
      <c r="E4532" s="4">
        <v>9.0</v>
      </c>
      <c r="F4532" s="4">
        <v>2643.15</v>
      </c>
      <c r="G4532" s="4">
        <v>0.01</v>
      </c>
      <c r="H4532" s="4" t="s">
        <v>31</v>
      </c>
      <c r="I4532" s="6">
        <v>-715.1144000000002</v>
      </c>
      <c r="J4532" s="4">
        <v>286.85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ht="12.75" customHeight="1">
      <c r="A4533" s="4">
        <v>4388.0</v>
      </c>
      <c r="B4533" s="4">
        <v>31239.0</v>
      </c>
      <c r="C4533" s="5">
        <f>DATE(2012,12,31)-856</f>
        <v>40418</v>
      </c>
      <c r="D4533" s="4" t="s">
        <v>21</v>
      </c>
      <c r="E4533" s="4">
        <v>20.0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33.98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ht="12.75" customHeight="1">
      <c r="A4534" s="4">
        <v>4403.0</v>
      </c>
      <c r="B4534" s="4">
        <v>31392.0</v>
      </c>
      <c r="C4534" s="5">
        <f>DATE(2012,12,31)-970</f>
        <v>40304</v>
      </c>
      <c r="D4534" s="4" t="s">
        <v>21</v>
      </c>
      <c r="E4534" s="4">
        <v>44.0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35.0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ht="12.75" customHeight="1">
      <c r="A4535" s="4">
        <v>4552.0</v>
      </c>
      <c r="B4535" s="4">
        <v>32389.0</v>
      </c>
      <c r="C4535" s="5">
        <f>DATE(2012,12,31)-792</f>
        <v>40482</v>
      </c>
      <c r="D4535" s="4" t="s">
        <v>63</v>
      </c>
      <c r="E4535" s="4">
        <v>8.0</v>
      </c>
      <c r="F4535" s="4">
        <v>121.62400000000001</v>
      </c>
      <c r="G4535" s="4">
        <v>0.0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7">C4535+1</f>
        <v>40483</v>
      </c>
    </row>
    <row r="4536" ht="12.75" customHeight="1">
      <c r="A4536" s="4">
        <v>4646.0</v>
      </c>
      <c r="B4536" s="4">
        <v>33090.0</v>
      </c>
      <c r="C4536" s="5">
        <f>DATE(2012,12,31)-1244</f>
        <v>40030</v>
      </c>
      <c r="D4536" s="4" t="s">
        <v>63</v>
      </c>
      <c r="E4536" s="4">
        <v>26.0</v>
      </c>
      <c r="F4536" s="4">
        <v>1033.93</v>
      </c>
      <c r="G4536" s="4">
        <v>0.0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0.57</v>
      </c>
      <c r="U4536" s="5">
        <f t="shared" si="1897"/>
        <v>40031</v>
      </c>
    </row>
    <row r="4537" ht="12.75" customHeight="1">
      <c r="A4537" s="4">
        <v>4785.0</v>
      </c>
      <c r="B4537" s="4">
        <v>33987.0</v>
      </c>
      <c r="C4537" s="5">
        <f>DATE(2012,12,31)-433</f>
        <v>40841</v>
      </c>
      <c r="D4537" s="4" t="s">
        <v>30</v>
      </c>
      <c r="E4537" s="4">
        <v>19.0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30.0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7"/>
        <v>40842</v>
      </c>
    </row>
    <row r="4538" ht="12.75" customHeight="1">
      <c r="A4538" s="4">
        <v>5298.0</v>
      </c>
      <c r="B4538" s="4">
        <v>37731.0</v>
      </c>
      <c r="C4538" s="5">
        <f>DATE(2012,12,31)-1153</f>
        <v>40121</v>
      </c>
      <c r="D4538" s="4" t="s">
        <v>78</v>
      </c>
      <c r="E4538" s="4">
        <v>24.0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ht="12.75" customHeight="1">
      <c r="A4539" s="4">
        <v>5391.0</v>
      </c>
      <c r="B4539" s="4">
        <v>38337.0</v>
      </c>
      <c r="C4539" s="5">
        <f>DATE(2012,12,31)-792</f>
        <v>40482</v>
      </c>
      <c r="D4539" s="4" t="s">
        <v>63</v>
      </c>
      <c r="E4539" s="4">
        <v>46.0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</v>
      </c>
      <c r="U4539" s="5">
        <f>C4539+2</f>
        <v>40484</v>
      </c>
    </row>
    <row r="4540" ht="12.75" customHeight="1">
      <c r="A4540" s="4">
        <v>5396.0</v>
      </c>
      <c r="B4540" s="4">
        <v>38369.0</v>
      </c>
      <c r="C4540" s="5">
        <f>DATE(2012,12,31)-1084</f>
        <v>40190</v>
      </c>
      <c r="D4540" s="4" t="s">
        <v>45</v>
      </c>
      <c r="E4540" s="4">
        <v>3.0</v>
      </c>
      <c r="F4540" s="4">
        <v>224.74400000000003</v>
      </c>
      <c r="G4540" s="4">
        <v>0.02</v>
      </c>
      <c r="H4540" s="4" t="s">
        <v>22</v>
      </c>
      <c r="I4540" s="6">
        <v>54.59805000000001</v>
      </c>
      <c r="J4540" s="4">
        <v>71.37</v>
      </c>
      <c r="K4540" s="4">
        <v>69.0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8">C4540+1</f>
        <v>40191</v>
      </c>
    </row>
    <row r="4541" ht="12.75" customHeight="1">
      <c r="A4541" s="4">
        <v>5454.0</v>
      </c>
      <c r="B4541" s="4">
        <v>38723.0</v>
      </c>
      <c r="C4541" s="5">
        <f>DATE(2012,12,31)-102</f>
        <v>41172</v>
      </c>
      <c r="D4541" s="4" t="s">
        <v>78</v>
      </c>
      <c r="E4541" s="4">
        <v>9.0</v>
      </c>
      <c r="F4541" s="4">
        <v>169.27</v>
      </c>
      <c r="G4541" s="4">
        <v>0.09</v>
      </c>
      <c r="H4541" s="4" t="s">
        <v>22</v>
      </c>
      <c r="I4541" s="6">
        <v>-68.93</v>
      </c>
      <c r="J4541" s="4">
        <v>19.98</v>
      </c>
      <c r="K4541" s="4">
        <v>4.0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8"/>
        <v>41173</v>
      </c>
    </row>
    <row r="4542" ht="12.75" customHeight="1">
      <c r="A4542" s="4">
        <v>5542.0</v>
      </c>
      <c r="B4542" s="4">
        <v>39266.0</v>
      </c>
      <c r="C4542" s="5">
        <f>DATE(2012,12,31)-126</f>
        <v>41148</v>
      </c>
      <c r="D4542" s="4" t="s">
        <v>30</v>
      </c>
      <c r="E4542" s="4">
        <v>16.0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49.0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ht="12.75" customHeight="1">
      <c r="A4543" s="4">
        <v>5672.0</v>
      </c>
      <c r="B4543" s="4">
        <v>40103.0</v>
      </c>
      <c r="C4543" s="5">
        <f>DATE(2012,12,31)-829</f>
        <v>40445</v>
      </c>
      <c r="D4543" s="4" t="s">
        <v>45</v>
      </c>
      <c r="E4543" s="4">
        <v>7.0</v>
      </c>
      <c r="F4543" s="4">
        <v>353.02</v>
      </c>
      <c r="G4543" s="4">
        <v>0.0</v>
      </c>
      <c r="H4543" s="4" t="s">
        <v>22</v>
      </c>
      <c r="I4543" s="6">
        <v>72.55</v>
      </c>
      <c r="J4543" s="4">
        <v>46.89</v>
      </c>
      <c r="K4543" s="4">
        <v>5.1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ht="12.75" customHeight="1">
      <c r="A4544" s="4">
        <v>5674.0</v>
      </c>
      <c r="B4544" s="4">
        <v>40131.0</v>
      </c>
      <c r="C4544" s="5">
        <f>DATE(2012,12,31)-243</f>
        <v>41031</v>
      </c>
      <c r="D4544" s="4" t="s">
        <v>21</v>
      </c>
      <c r="E4544" s="4">
        <v>24.0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ht="12.75" customHeight="1">
      <c r="A4545" s="4">
        <v>5848.0</v>
      </c>
      <c r="B4545" s="4">
        <v>41504.0</v>
      </c>
      <c r="C4545" s="5">
        <f>DATE(2012,12,31)-64</f>
        <v>41210</v>
      </c>
      <c r="D4545" s="4" t="s">
        <v>78</v>
      </c>
      <c r="E4545" s="4">
        <v>20.0</v>
      </c>
      <c r="F4545" s="4">
        <v>302.94</v>
      </c>
      <c r="G4545" s="4">
        <v>0.07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ht="12.75" customHeight="1">
      <c r="A4546" s="4">
        <v>6155.0</v>
      </c>
      <c r="B4546" s="4">
        <v>43588.0</v>
      </c>
      <c r="C4546" s="5">
        <f>DATE(2012,12,31)-121</f>
        <v>41153</v>
      </c>
      <c r="D4546" s="4" t="s">
        <v>63</v>
      </c>
      <c r="E4546" s="4">
        <v>6.0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ht="12.75" customHeight="1">
      <c r="A4547" s="4">
        <v>6174.0</v>
      </c>
      <c r="B4547" s="4">
        <v>43751.0</v>
      </c>
      <c r="C4547" s="5">
        <f>DATE(2012,12,31)-187</f>
        <v>41087</v>
      </c>
      <c r="D4547" s="4" t="s">
        <v>30</v>
      </c>
      <c r="E4547" s="4">
        <v>43.0</v>
      </c>
      <c r="F4547" s="4">
        <v>621.44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9">C4547+2</f>
        <v>41089</v>
      </c>
    </row>
    <row r="4548" ht="12.75" customHeight="1">
      <c r="A4548" s="4">
        <v>6278.0</v>
      </c>
      <c r="B4548" s="4">
        <v>44448.0</v>
      </c>
      <c r="C4548" s="5">
        <f>DATE(2012,12,31)-1358</f>
        <v>39916</v>
      </c>
      <c r="D4548" s="4" t="s">
        <v>78</v>
      </c>
      <c r="E4548" s="4">
        <v>28.0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33.98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9"/>
        <v>39918</v>
      </c>
    </row>
    <row r="4549" ht="12.75" customHeight="1">
      <c r="A4549" s="4">
        <v>6540.0</v>
      </c>
      <c r="B4549" s="4">
        <v>46531.0</v>
      </c>
      <c r="C4549" s="5">
        <f>DATE(2012,12,31)-498</f>
        <v>40776</v>
      </c>
      <c r="D4549" s="4" t="s">
        <v>21</v>
      </c>
      <c r="E4549" s="4">
        <v>2.0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ht="12.75" customHeight="1">
      <c r="A4550" s="4">
        <v>6546.0</v>
      </c>
      <c r="B4550" s="4">
        <v>46534.0</v>
      </c>
      <c r="C4550" s="5">
        <f>DATE(2012,12,31)-89</f>
        <v>41185</v>
      </c>
      <c r="D4550" s="4" t="s">
        <v>30</v>
      </c>
      <c r="E4550" s="4">
        <v>13.0</v>
      </c>
      <c r="F4550" s="4">
        <v>1341.31</v>
      </c>
      <c r="G4550" s="4">
        <v>0.05</v>
      </c>
      <c r="H4550" s="4" t="s">
        <v>22</v>
      </c>
      <c r="I4550" s="6">
        <v>5.549999999999983</v>
      </c>
      <c r="J4550" s="4">
        <v>99.99</v>
      </c>
      <c r="K4550" s="4">
        <v>19.99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ht="12.75" customHeight="1">
      <c r="A4551" s="4">
        <v>6664.0</v>
      </c>
      <c r="B4551" s="4">
        <v>47459.0</v>
      </c>
      <c r="C4551" s="5">
        <f>DATE(2012,12,31)-502</f>
        <v>40772</v>
      </c>
      <c r="D4551" s="4" t="s">
        <v>45</v>
      </c>
      <c r="E4551" s="4">
        <v>10.0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900">C4551+1</f>
        <v>40773</v>
      </c>
    </row>
    <row r="4552" ht="12.75" customHeight="1">
      <c r="A4552" s="4">
        <v>6804.0</v>
      </c>
      <c r="B4552" s="4">
        <v>48455.0</v>
      </c>
      <c r="C4552" s="5">
        <f>DATE(2012,12,31)-1308</f>
        <v>39966</v>
      </c>
      <c r="D4552" s="4" t="s">
        <v>78</v>
      </c>
      <c r="E4552" s="4">
        <v>2.0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900"/>
        <v>39967</v>
      </c>
    </row>
    <row r="4553" ht="12.75" customHeight="1">
      <c r="A4553" s="4">
        <v>6881.0</v>
      </c>
      <c r="B4553" s="4">
        <v>49056.0</v>
      </c>
      <c r="C4553" s="5">
        <f>DATE(2012,12,31)-1187</f>
        <v>40087</v>
      </c>
      <c r="D4553" s="4" t="s">
        <v>30</v>
      </c>
      <c r="E4553" s="4">
        <v>5.0</v>
      </c>
      <c r="F4553" s="4">
        <v>248.3955</v>
      </c>
      <c r="G4553" s="4">
        <v>0.05</v>
      </c>
      <c r="H4553" s="4" t="s">
        <v>22</v>
      </c>
      <c r="I4553" s="6">
        <v>-260.348</v>
      </c>
      <c r="J4553" s="4">
        <v>55.99</v>
      </c>
      <c r="K4553" s="4">
        <v>5.0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ht="12.75" customHeight="1">
      <c r="A4554" s="4">
        <v>6897.0</v>
      </c>
      <c r="B4554" s="4">
        <v>49190.0</v>
      </c>
      <c r="C4554" s="5">
        <f>DATE(2012,12,31)-20</f>
        <v>41254</v>
      </c>
      <c r="D4554" s="4" t="s">
        <v>30</v>
      </c>
      <c r="E4554" s="4">
        <v>4.0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2.0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ht="12.75" customHeight="1">
      <c r="A4555" s="4">
        <v>7259.0</v>
      </c>
      <c r="B4555" s="4">
        <v>51783.0</v>
      </c>
      <c r="C4555" s="5">
        <f>DATE(2012,12,31)-416</f>
        <v>40858</v>
      </c>
      <c r="D4555" s="4" t="s">
        <v>63</v>
      </c>
      <c r="E4555" s="4">
        <v>13.0</v>
      </c>
      <c r="F4555" s="4">
        <v>646.55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ht="12.75" customHeight="1">
      <c r="A4556" s="4">
        <v>7294.0</v>
      </c>
      <c r="B4556" s="4">
        <v>52006.0</v>
      </c>
      <c r="C4556" s="5">
        <f>DATE(2012,12,31)-1286</f>
        <v>39988</v>
      </c>
      <c r="D4556" s="4" t="s">
        <v>63</v>
      </c>
      <c r="E4556" s="4">
        <v>39.0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ht="12.75" customHeight="1">
      <c r="A4557" s="4">
        <v>7632.0</v>
      </c>
      <c r="B4557" s="4">
        <v>54595.0</v>
      </c>
      <c r="C4557" s="5">
        <f>DATE(2012,12,31)-1343</f>
        <v>39931</v>
      </c>
      <c r="D4557" s="4" t="s">
        <v>63</v>
      </c>
      <c r="E4557" s="4">
        <v>41.0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130.98</v>
      </c>
      <c r="K4557" s="4">
        <v>30.0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ht="12.75" customHeight="1">
      <c r="A4558" s="4">
        <v>7701.0</v>
      </c>
      <c r="B4558" s="4">
        <v>55202.0</v>
      </c>
      <c r="C4558" s="5">
        <f>DATE(2012,12,31)-495</f>
        <v>40779</v>
      </c>
      <c r="D4558" s="4" t="s">
        <v>21</v>
      </c>
      <c r="E4558" s="4">
        <v>49.0</v>
      </c>
      <c r="F4558" s="4">
        <v>6335.8575</v>
      </c>
      <c r="G4558" s="4">
        <v>0.08</v>
      </c>
      <c r="H4558" s="4" t="s">
        <v>22</v>
      </c>
      <c r="I4558" s="6">
        <v>1620.225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0.58</v>
      </c>
      <c r="U4558" s="5">
        <f>C4558+7</f>
        <v>40786</v>
      </c>
    </row>
    <row r="4559" ht="12.75" customHeight="1">
      <c r="A4559" s="4">
        <v>7743.0</v>
      </c>
      <c r="B4559" s="4">
        <v>55431.0</v>
      </c>
      <c r="C4559" s="5">
        <f>DATE(2012,12,31)-206</f>
        <v>41068</v>
      </c>
      <c r="D4559" s="4" t="s">
        <v>45</v>
      </c>
      <c r="E4559" s="4">
        <v>13.0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289.53</v>
      </c>
      <c r="K4559" s="4">
        <v>19.99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</v>
      </c>
      <c r="U4559" s="5">
        <f>C4559+1</f>
        <v>41069</v>
      </c>
    </row>
    <row r="4560" ht="12.75" customHeight="1">
      <c r="A4560" s="4">
        <v>7786.0</v>
      </c>
      <c r="B4560" s="4">
        <v>55713.0</v>
      </c>
      <c r="C4560" s="5">
        <f>DATE(2012,12,31)-1428</f>
        <v>39846</v>
      </c>
      <c r="D4560" s="4" t="s">
        <v>30</v>
      </c>
      <c r="E4560" s="4">
        <v>49.0</v>
      </c>
      <c r="F4560" s="4">
        <v>5718.85</v>
      </c>
      <c r="G4560" s="4">
        <v>0.09</v>
      </c>
      <c r="H4560" s="4" t="s">
        <v>31</v>
      </c>
      <c r="I4560" s="6">
        <v>-2426.55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1">C4560+2</f>
        <v>39848</v>
      </c>
    </row>
    <row r="4561" ht="12.75" customHeight="1">
      <c r="A4561" s="4">
        <v>8069.0</v>
      </c>
      <c r="B4561" s="4">
        <v>57570.0</v>
      </c>
      <c r="C4561" s="5">
        <f>DATE(2012,12,31)-94</f>
        <v>41180</v>
      </c>
      <c r="D4561" s="4" t="s">
        <v>30</v>
      </c>
      <c r="E4561" s="4">
        <v>15.0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1"/>
        <v>41182</v>
      </c>
    </row>
    <row r="4562" ht="12.75" customHeight="1">
      <c r="A4562" s="4">
        <v>8171.0</v>
      </c>
      <c r="B4562" s="4">
        <v>58372.0</v>
      </c>
      <c r="C4562" s="5">
        <f>DATE(2012,12,31)-639</f>
        <v>40635</v>
      </c>
      <c r="D4562" s="4" t="s">
        <v>21</v>
      </c>
      <c r="E4562" s="4">
        <v>16.0</v>
      </c>
      <c r="F4562" s="4">
        <v>38.2</v>
      </c>
      <c r="G4562" s="4">
        <v>0.07</v>
      </c>
      <c r="H4562" s="4" t="s">
        <v>56</v>
      </c>
      <c r="I4562" s="6">
        <v>4.34</v>
      </c>
      <c r="J4562" s="4">
        <v>2.21</v>
      </c>
      <c r="K4562" s="4">
        <v>1.0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ht="12.75" customHeight="1">
      <c r="A4563" s="4">
        <v>8327.0</v>
      </c>
      <c r="B4563" s="4">
        <v>59552.0</v>
      </c>
      <c r="C4563" s="5">
        <f>DATE(2012,12,31)-1083</f>
        <v>40191</v>
      </c>
      <c r="D4563" s="4" t="s">
        <v>45</v>
      </c>
      <c r="E4563" s="4">
        <v>39.0</v>
      </c>
      <c r="F4563" s="4">
        <v>314.26</v>
      </c>
      <c r="G4563" s="4">
        <v>0.0</v>
      </c>
      <c r="H4563" s="4" t="s">
        <v>22</v>
      </c>
      <c r="I4563" s="6">
        <v>-71.047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ht="12.75" customHeight="1">
      <c r="A4564" s="4">
        <v>329.0</v>
      </c>
      <c r="B4564" s="4">
        <v>2272.0</v>
      </c>
      <c r="C4564" s="5">
        <f>DATE(2012,12,31)-994</f>
        <v>40280</v>
      </c>
      <c r="D4564" s="4" t="s">
        <v>30</v>
      </c>
      <c r="E4564" s="4">
        <v>39.0</v>
      </c>
      <c r="F4564" s="4">
        <v>7680.29</v>
      </c>
      <c r="G4564" s="4">
        <v>0.08</v>
      </c>
      <c r="H4564" s="4" t="s">
        <v>31</v>
      </c>
      <c r="I4564" s="6">
        <v>-513.79042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ht="12.75" customHeight="1">
      <c r="A4565" s="4">
        <v>901.0</v>
      </c>
      <c r="B4565" s="4">
        <v>6498.0</v>
      </c>
      <c r="C4565" s="5">
        <f>DATE(2012,12,31)-1385</f>
        <v>39889</v>
      </c>
      <c r="D4565" s="4" t="s">
        <v>63</v>
      </c>
      <c r="E4565" s="4">
        <v>38.0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2">C4565+1</f>
        <v>39890</v>
      </c>
    </row>
    <row r="4566" ht="12.75" customHeight="1">
      <c r="A4566" s="4">
        <v>2264.0</v>
      </c>
      <c r="B4566" s="4">
        <v>16260.0</v>
      </c>
      <c r="C4566" s="5">
        <f>DATE(2012,12,31)-414</f>
        <v>40860</v>
      </c>
      <c r="D4566" s="4" t="s">
        <v>30</v>
      </c>
      <c r="E4566" s="4">
        <v>47.0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2"/>
        <v>40861</v>
      </c>
    </row>
    <row r="4567" ht="12.75" customHeight="1">
      <c r="A4567" s="4">
        <v>2275.0</v>
      </c>
      <c r="B4567" s="4">
        <v>16359.0</v>
      </c>
      <c r="C4567" s="5">
        <f t="shared" ref="C4567:C4568" si="1903">DATE(2012,12,31)-231</f>
        <v>41043</v>
      </c>
      <c r="D4567" s="4" t="s">
        <v>78</v>
      </c>
      <c r="E4567" s="4">
        <v>39.0</v>
      </c>
      <c r="F4567" s="4">
        <v>1343.6</v>
      </c>
      <c r="G4567" s="4">
        <v>0.06</v>
      </c>
      <c r="H4567" s="4" t="s">
        <v>22</v>
      </c>
      <c r="I4567" s="6">
        <v>137.86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2"/>
        <v>41044</v>
      </c>
    </row>
    <row r="4568" ht="12.75" customHeight="1">
      <c r="A4568" s="4">
        <v>2276.0</v>
      </c>
      <c r="B4568" s="4">
        <v>16359.0</v>
      </c>
      <c r="C4568" s="5">
        <f t="shared" si="1903"/>
        <v>41043</v>
      </c>
      <c r="D4568" s="4" t="s">
        <v>78</v>
      </c>
      <c r="E4568" s="4">
        <v>8.0</v>
      </c>
      <c r="F4568" s="4">
        <v>35.28</v>
      </c>
      <c r="G4568" s="4">
        <v>0.0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ht="12.75" customHeight="1">
      <c r="A4569" s="4">
        <v>3059.0</v>
      </c>
      <c r="B4569" s="4">
        <v>21922.0</v>
      </c>
      <c r="C4569" s="5">
        <f t="shared" ref="C4569:C4571" si="1904">DATE(2012,12,31)-1146</f>
        <v>40128</v>
      </c>
      <c r="D4569" s="4" t="s">
        <v>30</v>
      </c>
      <c r="E4569" s="4">
        <v>17.0</v>
      </c>
      <c r="F4569" s="4">
        <v>8937.38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26.0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5">C4569+1</f>
        <v>40129</v>
      </c>
    </row>
    <row r="4570" ht="12.75" customHeight="1">
      <c r="A4570" s="4">
        <v>3060.0</v>
      </c>
      <c r="B4570" s="4">
        <v>21922.0</v>
      </c>
      <c r="C4570" s="5">
        <f t="shared" si="1904"/>
        <v>40128</v>
      </c>
      <c r="D4570" s="4" t="s">
        <v>30</v>
      </c>
      <c r="E4570" s="4">
        <v>11.0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5"/>
        <v>40129</v>
      </c>
    </row>
    <row r="4571" ht="12.75" customHeight="1">
      <c r="A4571" s="4">
        <v>3061.0</v>
      </c>
      <c r="B4571" s="4">
        <v>21922.0</v>
      </c>
      <c r="C4571" s="5">
        <f t="shared" si="1904"/>
        <v>40128</v>
      </c>
      <c r="D4571" s="4" t="s">
        <v>30</v>
      </c>
      <c r="E4571" s="4">
        <v>49.0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6">C4571+2</f>
        <v>40130</v>
      </c>
    </row>
    <row r="4572" ht="12.75" customHeight="1">
      <c r="A4572" s="4">
        <v>3296.0</v>
      </c>
      <c r="B4572" s="4">
        <v>23558.0</v>
      </c>
      <c r="C4572" s="5">
        <f t="shared" ref="C4572:C4573" si="1907">DATE(2012,12,31)-510</f>
        <v>40764</v>
      </c>
      <c r="D4572" s="4" t="s">
        <v>21</v>
      </c>
      <c r="E4572" s="4">
        <v>4.0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6"/>
        <v>40766</v>
      </c>
    </row>
    <row r="4573" ht="12.75" customHeight="1">
      <c r="A4573" s="4">
        <v>3297.0</v>
      </c>
      <c r="B4573" s="4">
        <v>23558.0</v>
      </c>
      <c r="C4573" s="5">
        <f t="shared" si="1907"/>
        <v>40764</v>
      </c>
      <c r="D4573" s="4" t="s">
        <v>21</v>
      </c>
      <c r="E4573" s="4">
        <v>17.0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ht="12.75" customHeight="1">
      <c r="A4574" s="4">
        <v>3818.0</v>
      </c>
      <c r="B4574" s="4">
        <v>27205.0</v>
      </c>
      <c r="C4574" s="5">
        <f>DATE(2012,12,31)-955</f>
        <v>40319</v>
      </c>
      <c r="D4574" s="4" t="s">
        <v>45</v>
      </c>
      <c r="E4574" s="4">
        <v>12.0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ht="12.75" customHeight="1">
      <c r="A4575" s="4">
        <v>3850.0</v>
      </c>
      <c r="B4575" s="4">
        <v>27461.0</v>
      </c>
      <c r="C4575" s="5">
        <f t="shared" ref="C4575:C4576" si="1908">DATE(2012,12,31)-1039</f>
        <v>40235</v>
      </c>
      <c r="D4575" s="4" t="s">
        <v>78</v>
      </c>
      <c r="E4575" s="4">
        <v>40.0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9">C4575+0</f>
        <v>40235</v>
      </c>
    </row>
    <row r="4576" ht="12.75" customHeight="1">
      <c r="A4576" s="4">
        <v>3851.0</v>
      </c>
      <c r="B4576" s="4">
        <v>27461.0</v>
      </c>
      <c r="C4576" s="5">
        <f t="shared" si="1908"/>
        <v>40235</v>
      </c>
      <c r="D4576" s="4" t="s">
        <v>78</v>
      </c>
      <c r="E4576" s="4">
        <v>26.0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19.99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9"/>
        <v>40235</v>
      </c>
    </row>
    <row r="4577" ht="12.75" customHeight="1">
      <c r="A4577" s="4">
        <v>4215.0</v>
      </c>
      <c r="B4577" s="4">
        <v>29957.0</v>
      </c>
      <c r="C4577" s="5">
        <f>DATE(2012,12,31)-1024</f>
        <v>40250</v>
      </c>
      <c r="D4577" s="4" t="s">
        <v>78</v>
      </c>
      <c r="E4577" s="4">
        <v>31.0</v>
      </c>
      <c r="F4577" s="4">
        <v>1447.62</v>
      </c>
      <c r="G4577" s="4">
        <v>0.07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ht="12.75" customHeight="1">
      <c r="A4578" s="4">
        <v>4295.0</v>
      </c>
      <c r="B4578" s="4">
        <v>30593.0</v>
      </c>
      <c r="C4578" s="5">
        <f t="shared" ref="C4578:C4579" si="1910">DATE(2012,12,31)-525</f>
        <v>40749</v>
      </c>
      <c r="D4578" s="4" t="s">
        <v>78</v>
      </c>
      <c r="E4578" s="4">
        <v>20.0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ht="12.75" customHeight="1">
      <c r="A4579" s="4">
        <v>4296.0</v>
      </c>
      <c r="B4579" s="4">
        <v>30593.0</v>
      </c>
      <c r="C4579" s="5">
        <f t="shared" si="1910"/>
        <v>40749</v>
      </c>
      <c r="D4579" s="4" t="s">
        <v>78</v>
      </c>
      <c r="E4579" s="4">
        <v>41.0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</v>
      </c>
      <c r="U4579" s="5">
        <f>C4579+3</f>
        <v>40752</v>
      </c>
    </row>
    <row r="4580" ht="12.75" customHeight="1">
      <c r="A4580" s="4">
        <v>4617.0</v>
      </c>
      <c r="B4580" s="4">
        <v>32871.0</v>
      </c>
      <c r="C4580" s="5">
        <f t="shared" ref="C4580:C4581" si="1911">DATE(2012,12,31)-66</f>
        <v>41208</v>
      </c>
      <c r="D4580" s="4" t="s">
        <v>30</v>
      </c>
      <c r="E4580" s="4">
        <v>9.0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2">C4580+2</f>
        <v>41210</v>
      </c>
    </row>
    <row r="4581" ht="12.75" customHeight="1">
      <c r="A4581" s="4">
        <v>4618.0</v>
      </c>
      <c r="B4581" s="4">
        <v>32871.0</v>
      </c>
      <c r="C4581" s="5">
        <f t="shared" si="1911"/>
        <v>41208</v>
      </c>
      <c r="D4581" s="4" t="s">
        <v>30</v>
      </c>
      <c r="E4581" s="4">
        <v>14.0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145.45</v>
      </c>
      <c r="K4581" s="4">
        <v>17.85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</v>
      </c>
      <c r="U4581" s="5">
        <f t="shared" si="1912"/>
        <v>41210</v>
      </c>
    </row>
    <row r="4582" ht="12.75" customHeight="1">
      <c r="A4582" s="4">
        <v>5034.0</v>
      </c>
      <c r="B4582" s="4">
        <v>35878.0</v>
      </c>
      <c r="C4582" s="5">
        <f>DATE(2012,12,31)-871</f>
        <v>40403</v>
      </c>
      <c r="D4582" s="4" t="s">
        <v>63</v>
      </c>
      <c r="E4582" s="4">
        <v>11.0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ht="12.75" customHeight="1">
      <c r="A4583" s="4">
        <v>5339.0</v>
      </c>
      <c r="B4583" s="4">
        <v>37924.0</v>
      </c>
      <c r="C4583" s="5">
        <f>DATE(2012,12,31)-1128</f>
        <v>40146</v>
      </c>
      <c r="D4583" s="4" t="s">
        <v>30</v>
      </c>
      <c r="E4583" s="4">
        <v>21.0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17.99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0.57</v>
      </c>
      <c r="U4583" s="5">
        <f>C4583+0</f>
        <v>40146</v>
      </c>
    </row>
    <row r="4584" ht="12.75" customHeight="1">
      <c r="A4584" s="4">
        <v>5401.0</v>
      </c>
      <c r="B4584" s="4">
        <v>38400.0</v>
      </c>
      <c r="C4584" s="5">
        <f>DATE(2012,12,31)-1113</f>
        <v>40161</v>
      </c>
      <c r="D4584" s="4" t="s">
        <v>45</v>
      </c>
      <c r="E4584" s="4">
        <v>8.0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ht="12.75" customHeight="1">
      <c r="A4585" s="4">
        <v>5413.0</v>
      </c>
      <c r="B4585" s="4">
        <v>38498.0</v>
      </c>
      <c r="C4585" s="5">
        <f t="shared" ref="C4585:C4586" si="1913">DATE(2012,12,31)-248</f>
        <v>41026</v>
      </c>
      <c r="D4585" s="4" t="s">
        <v>78</v>
      </c>
      <c r="E4585" s="4">
        <v>30.0</v>
      </c>
      <c r="F4585" s="4">
        <v>3295.15</v>
      </c>
      <c r="G4585" s="4">
        <v>0.07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ht="12.75" customHeight="1">
      <c r="A4586" s="4">
        <v>5414.0</v>
      </c>
      <c r="B4586" s="4">
        <v>38498.0</v>
      </c>
      <c r="C4586" s="5">
        <f t="shared" si="1913"/>
        <v>41026</v>
      </c>
      <c r="D4586" s="4" t="s">
        <v>78</v>
      </c>
      <c r="E4586" s="4">
        <v>1.0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4.27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ht="12.75" customHeight="1">
      <c r="A4587" s="4">
        <v>5575.0</v>
      </c>
      <c r="B4587" s="4">
        <v>39492.0</v>
      </c>
      <c r="C4587" s="5">
        <f t="shared" ref="C4587:C4588" si="1914">DATE(2012,12,31)-624</f>
        <v>40650</v>
      </c>
      <c r="D4587" s="4" t="s">
        <v>45</v>
      </c>
      <c r="E4587" s="4">
        <v>38.0</v>
      </c>
      <c r="F4587" s="4">
        <v>1541.92</v>
      </c>
      <c r="G4587" s="4">
        <v>0.03</v>
      </c>
      <c r="H4587" s="4" t="s">
        <v>22</v>
      </c>
      <c r="I4587" s="6">
        <v>-564.06</v>
      </c>
      <c r="J4587" s="4">
        <v>40.48</v>
      </c>
      <c r="K4587" s="4">
        <v>19.99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5">C4587+2</f>
        <v>40652</v>
      </c>
    </row>
    <row r="4588" ht="12.75" customHeight="1">
      <c r="A4588" s="4">
        <v>5576.0</v>
      </c>
      <c r="B4588" s="4">
        <v>39492.0</v>
      </c>
      <c r="C4588" s="5">
        <f t="shared" si="1914"/>
        <v>40650</v>
      </c>
      <c r="D4588" s="4" t="s">
        <v>45</v>
      </c>
      <c r="E4588" s="4">
        <v>40.0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5"/>
        <v>40652</v>
      </c>
    </row>
    <row r="4589" ht="12.75" customHeight="1">
      <c r="A4589" s="4">
        <v>5602.0</v>
      </c>
      <c r="B4589" s="4">
        <v>39686.0</v>
      </c>
      <c r="C4589" s="5">
        <f t="shared" ref="C4589:C4590" si="1916">DATE(2012,12,31)-206</f>
        <v>41068</v>
      </c>
      <c r="D4589" s="4" t="s">
        <v>45</v>
      </c>
      <c r="E4589" s="4">
        <v>2.0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0.57</v>
      </c>
      <c r="U4589" s="5">
        <f t="shared" ref="U4589:U4590" si="1917">C4589+1</f>
        <v>41069</v>
      </c>
    </row>
    <row r="4590" ht="12.75" customHeight="1">
      <c r="A4590" s="4">
        <v>5603.0</v>
      </c>
      <c r="B4590" s="4">
        <v>39686.0</v>
      </c>
      <c r="C4590" s="5">
        <f t="shared" si="1916"/>
        <v>41068</v>
      </c>
      <c r="D4590" s="4" t="s">
        <v>45</v>
      </c>
      <c r="E4590" s="4">
        <v>48.0</v>
      </c>
      <c r="F4590" s="4">
        <v>2750.7105</v>
      </c>
      <c r="G4590" s="4">
        <v>0.0</v>
      </c>
      <c r="H4590" s="4" t="s">
        <v>22</v>
      </c>
      <c r="I4590" s="6">
        <v>791.901</v>
      </c>
      <c r="J4590" s="4">
        <v>65.99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</v>
      </c>
      <c r="U4590" s="5">
        <f t="shared" si="1917"/>
        <v>41069</v>
      </c>
    </row>
    <row r="4591" ht="12.75" customHeight="1">
      <c r="A4591" s="4">
        <v>6028.0</v>
      </c>
      <c r="B4591" s="4">
        <v>42693.0</v>
      </c>
      <c r="C4591" s="5">
        <f>DATE(2012,12,31)-1367</f>
        <v>39907</v>
      </c>
      <c r="D4591" s="4" t="s">
        <v>30</v>
      </c>
      <c r="E4591" s="4">
        <v>33.0</v>
      </c>
      <c r="F4591" s="4">
        <v>2118.26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0.57</v>
      </c>
      <c r="U4591" s="5">
        <f>C4591+2</f>
        <v>39909</v>
      </c>
    </row>
    <row r="4592" ht="12.75" customHeight="1">
      <c r="A4592" s="4">
        <v>6043.0</v>
      </c>
      <c r="B4592" s="4">
        <v>42850.0</v>
      </c>
      <c r="C4592" s="5">
        <f>DATE(2012,12,31)-559</f>
        <v>40715</v>
      </c>
      <c r="D4592" s="4" t="s">
        <v>63</v>
      </c>
      <c r="E4592" s="4">
        <v>27.0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8">C4592+1</f>
        <v>40716</v>
      </c>
    </row>
    <row r="4593" ht="12.75" customHeight="1">
      <c r="A4593" s="4">
        <v>6468.0</v>
      </c>
      <c r="B4593" s="4">
        <v>46050.0</v>
      </c>
      <c r="C4593" s="5">
        <f t="shared" ref="C4593:C4594" si="1919">DATE(2012,12,31)-1092</f>
        <v>40182</v>
      </c>
      <c r="D4593" s="4" t="s">
        <v>30</v>
      </c>
      <c r="E4593" s="4">
        <v>5.0</v>
      </c>
      <c r="F4593" s="4">
        <v>2249.05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8"/>
        <v>40183</v>
      </c>
    </row>
    <row r="4594" ht="12.75" customHeight="1">
      <c r="A4594" s="4">
        <v>6469.0</v>
      </c>
      <c r="B4594" s="4">
        <v>46050.0</v>
      </c>
      <c r="C4594" s="5">
        <f t="shared" si="1919"/>
        <v>40182</v>
      </c>
      <c r="D4594" s="4" t="s">
        <v>30</v>
      </c>
      <c r="E4594" s="4">
        <v>48.0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19.99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ht="12.75" customHeight="1">
      <c r="A4595" s="4">
        <v>6491.0</v>
      </c>
      <c r="B4595" s="4">
        <v>46212.0</v>
      </c>
      <c r="C4595" s="5">
        <f>DATE(2012,12,31)-110</f>
        <v>41164</v>
      </c>
      <c r="D4595" s="4" t="s">
        <v>45</v>
      </c>
      <c r="E4595" s="4">
        <v>7.0</v>
      </c>
      <c r="F4595" s="4">
        <v>3877.88</v>
      </c>
      <c r="G4595" s="4">
        <v>0.08</v>
      </c>
      <c r="H4595" s="4" t="s">
        <v>31</v>
      </c>
      <c r="I4595" s="6">
        <v>-1331.553366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ht="12.75" customHeight="1">
      <c r="A4596" s="4">
        <v>6911.0</v>
      </c>
      <c r="B4596" s="4">
        <v>49313.0</v>
      </c>
      <c r="C4596" s="5">
        <f t="shared" ref="C4596:C4597" si="1920">DATE(2012,12,31)-1184</f>
        <v>40090</v>
      </c>
      <c r="D4596" s="4" t="s">
        <v>63</v>
      </c>
      <c r="E4596" s="4">
        <v>34.0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0.57</v>
      </c>
      <c r="U4596" s="5">
        <f>C4596+0</f>
        <v>40090</v>
      </c>
    </row>
    <row r="4597" ht="12.75" customHeight="1">
      <c r="A4597" s="4">
        <v>6912.0</v>
      </c>
      <c r="B4597" s="4">
        <v>49313.0</v>
      </c>
      <c r="C4597" s="5">
        <f t="shared" si="1920"/>
        <v>40090</v>
      </c>
      <c r="D4597" s="4" t="s">
        <v>63</v>
      </c>
      <c r="E4597" s="4">
        <v>36.0</v>
      </c>
      <c r="F4597" s="4">
        <v>1129.9305</v>
      </c>
      <c r="G4597" s="4">
        <v>0.05</v>
      </c>
      <c r="H4597" s="4" t="s">
        <v>22</v>
      </c>
      <c r="I4597" s="6">
        <v>574.155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ht="12.75" customHeight="1">
      <c r="A4598" s="4">
        <v>6933.0</v>
      </c>
      <c r="B4598" s="4">
        <v>49477.0</v>
      </c>
      <c r="C4598" s="5">
        <f>DATE(2012,12,31)-398</f>
        <v>40876</v>
      </c>
      <c r="D4598" s="4" t="s">
        <v>63</v>
      </c>
      <c r="E4598" s="4">
        <v>9.0</v>
      </c>
      <c r="F4598" s="4">
        <v>75.94</v>
      </c>
      <c r="G4598" s="4">
        <v>0.01</v>
      </c>
      <c r="H4598" s="4" t="s">
        <v>22</v>
      </c>
      <c r="I4598" s="6">
        <v>-16.56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ht="12.75" customHeight="1">
      <c r="A4599" s="4">
        <v>6978.0</v>
      </c>
      <c r="B4599" s="4">
        <v>49889.0</v>
      </c>
      <c r="C4599" s="5">
        <f t="shared" ref="C4599:C4600" si="1921">DATE(2012,12,31)-19</f>
        <v>41255</v>
      </c>
      <c r="D4599" s="4" t="s">
        <v>78</v>
      </c>
      <c r="E4599" s="4">
        <v>47.0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2">C4599+2</f>
        <v>41257</v>
      </c>
    </row>
    <row r="4600" ht="12.75" customHeight="1">
      <c r="A4600" s="4">
        <v>6979.0</v>
      </c>
      <c r="B4600" s="4">
        <v>49889.0</v>
      </c>
      <c r="C4600" s="5">
        <f t="shared" si="1921"/>
        <v>41255</v>
      </c>
      <c r="D4600" s="4" t="s">
        <v>78</v>
      </c>
      <c r="E4600" s="4">
        <v>21.0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2.03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0.57</v>
      </c>
      <c r="U4600" s="5">
        <f t="shared" si="1922"/>
        <v>41257</v>
      </c>
    </row>
    <row r="4601" ht="12.75" customHeight="1">
      <c r="A4601" s="4">
        <v>7356.0</v>
      </c>
      <c r="B4601" s="4">
        <v>52416.0</v>
      </c>
      <c r="C4601" s="5">
        <f t="shared" ref="C4601:C4602" si="1923">DATE(2012,12,31)-1430</f>
        <v>39844</v>
      </c>
      <c r="D4601" s="4" t="s">
        <v>45</v>
      </c>
      <c r="E4601" s="4">
        <v>6.0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2"/>
        <v>39846</v>
      </c>
    </row>
    <row r="4602" ht="12.75" customHeight="1">
      <c r="A4602" s="4">
        <v>7357.0</v>
      </c>
      <c r="B4602" s="4">
        <v>52416.0</v>
      </c>
      <c r="C4602" s="5">
        <f t="shared" si="1923"/>
        <v>39844</v>
      </c>
      <c r="D4602" s="4" t="s">
        <v>45</v>
      </c>
      <c r="E4602" s="4">
        <v>40.0</v>
      </c>
      <c r="F4602" s="4">
        <v>9141.64</v>
      </c>
      <c r="G4602" s="4">
        <v>0.04</v>
      </c>
      <c r="H4602" s="4" t="s">
        <v>31</v>
      </c>
      <c r="I4602" s="6">
        <v>-528.653125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ht="12.75" customHeight="1">
      <c r="A4603" s="4">
        <v>7693.0</v>
      </c>
      <c r="B4603" s="4">
        <v>55140.0</v>
      </c>
      <c r="C4603" s="5">
        <f>DATE(2012,12,31)-911</f>
        <v>40363</v>
      </c>
      <c r="D4603" s="4" t="s">
        <v>78</v>
      </c>
      <c r="E4603" s="4">
        <v>39.0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ht="12.75" customHeight="1">
      <c r="A4604" s="4">
        <v>7908.0</v>
      </c>
      <c r="B4604" s="4">
        <v>56550.0</v>
      </c>
      <c r="C4604" s="5">
        <f>DATE(2012,12,31)-633</f>
        <v>40641</v>
      </c>
      <c r="D4604" s="4" t="s">
        <v>45</v>
      </c>
      <c r="E4604" s="4">
        <v>33.0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ht="12.75" customHeight="1">
      <c r="A4605" s="4">
        <v>8042.0</v>
      </c>
      <c r="B4605" s="4">
        <v>57447.0</v>
      </c>
      <c r="C4605" s="5">
        <f t="shared" ref="C4605:C4606" si="1924">DATE(2012,12,31)-546</f>
        <v>40728</v>
      </c>
      <c r="D4605" s="4" t="s">
        <v>45</v>
      </c>
      <c r="E4605" s="4">
        <v>39.0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ht="12.75" customHeight="1">
      <c r="A4606" s="4">
        <v>8043.0</v>
      </c>
      <c r="B4606" s="4">
        <v>57447.0</v>
      </c>
      <c r="C4606" s="5">
        <f t="shared" si="1924"/>
        <v>40728</v>
      </c>
      <c r="D4606" s="4" t="s">
        <v>45</v>
      </c>
      <c r="E4606" s="4">
        <v>8.0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ht="12.75" customHeight="1">
      <c r="A4607" s="4">
        <v>179.0</v>
      </c>
      <c r="B4607" s="4">
        <v>1185.0</v>
      </c>
      <c r="C4607" s="5">
        <f>DATE(2012,12,31)-130</f>
        <v>41144</v>
      </c>
      <c r="D4607" s="4" t="s">
        <v>21</v>
      </c>
      <c r="E4607" s="4">
        <v>7.0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5">C4607+4</f>
        <v>41148</v>
      </c>
    </row>
    <row r="4608" ht="12.75" customHeight="1">
      <c r="A4608" s="4">
        <v>310.0</v>
      </c>
      <c r="B4608" s="4">
        <v>2149.0</v>
      </c>
      <c r="C4608" s="5">
        <f>DATE(2012,12,31)-1025</f>
        <v>40249</v>
      </c>
      <c r="D4608" s="4" t="s">
        <v>21</v>
      </c>
      <c r="E4608" s="4">
        <v>4.0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0.57</v>
      </c>
      <c r="U4608" s="5">
        <f t="shared" si="1925"/>
        <v>40253</v>
      </c>
    </row>
    <row r="4609" ht="12.75" customHeight="1">
      <c r="A4609" s="4">
        <v>354.0</v>
      </c>
      <c r="B4609" s="4">
        <v>2466.0</v>
      </c>
      <c r="C4609" s="5">
        <f>DATE(2012,12,31)-1397</f>
        <v>39877</v>
      </c>
      <c r="D4609" s="4" t="s">
        <v>78</v>
      </c>
      <c r="E4609" s="4">
        <v>25.0</v>
      </c>
      <c r="F4609" s="4">
        <v>2553.84</v>
      </c>
      <c r="G4609" s="4">
        <v>0.05</v>
      </c>
      <c r="H4609" s="4" t="s">
        <v>22</v>
      </c>
      <c r="I4609" s="6">
        <v>553.7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ht="12.75" customHeight="1">
      <c r="A4610" s="4">
        <v>509.0</v>
      </c>
      <c r="B4610" s="4">
        <v>3493.0</v>
      </c>
      <c r="C4610" s="5">
        <f>DATE(2012,12,31)-861</f>
        <v>40413</v>
      </c>
      <c r="D4610" s="4" t="s">
        <v>30</v>
      </c>
      <c r="E4610" s="4">
        <v>48.0</v>
      </c>
      <c r="F4610" s="4">
        <v>7518.12</v>
      </c>
      <c r="G4610" s="4">
        <v>0.04</v>
      </c>
      <c r="H4610" s="4" t="s">
        <v>22</v>
      </c>
      <c r="I4610" s="6">
        <v>1027.63</v>
      </c>
      <c r="J4610" s="4">
        <v>152.48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ht="12.75" customHeight="1">
      <c r="A4611" s="4">
        <v>525.0</v>
      </c>
      <c r="B4611" s="4">
        <v>3588.0</v>
      </c>
      <c r="C4611" s="5">
        <f t="shared" ref="C4611:C4614" si="1926">DATE(2012,12,31)-654</f>
        <v>40620</v>
      </c>
      <c r="D4611" s="4" t="s">
        <v>45</v>
      </c>
      <c r="E4611" s="4">
        <v>42.0</v>
      </c>
      <c r="F4611" s="4">
        <v>374.38</v>
      </c>
      <c r="G4611" s="4">
        <v>0.03</v>
      </c>
      <c r="H4611" s="4" t="s">
        <v>22</v>
      </c>
      <c r="I4611" s="6">
        <v>-1.16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0.58</v>
      </c>
      <c r="U4611" s="5">
        <f>C4611+1</f>
        <v>40621</v>
      </c>
    </row>
    <row r="4612" ht="12.75" customHeight="1">
      <c r="A4612" s="4">
        <v>526.0</v>
      </c>
      <c r="B4612" s="4">
        <v>3588.0</v>
      </c>
      <c r="C4612" s="5">
        <f t="shared" si="1926"/>
        <v>40620</v>
      </c>
      <c r="D4612" s="4" t="s">
        <v>45</v>
      </c>
      <c r="E4612" s="4">
        <v>21.0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4.0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7">C4612+2</f>
        <v>40622</v>
      </c>
    </row>
    <row r="4613" ht="12.75" customHeight="1">
      <c r="A4613" s="4">
        <v>527.0</v>
      </c>
      <c r="B4613" s="4">
        <v>3588.0</v>
      </c>
      <c r="C4613" s="5">
        <f t="shared" si="1926"/>
        <v>40620</v>
      </c>
      <c r="D4613" s="4" t="s">
        <v>45</v>
      </c>
      <c r="E4613" s="4">
        <v>14.0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7"/>
        <v>40622</v>
      </c>
    </row>
    <row r="4614" ht="12.75" customHeight="1">
      <c r="A4614" s="4">
        <v>528.0</v>
      </c>
      <c r="B4614" s="4">
        <v>3588.0</v>
      </c>
      <c r="C4614" s="5">
        <f t="shared" si="1926"/>
        <v>40620</v>
      </c>
      <c r="D4614" s="4" t="s">
        <v>45</v>
      </c>
      <c r="E4614" s="4">
        <v>18.0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14.0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ht="12.75" customHeight="1">
      <c r="A4615" s="4">
        <v>824.0</v>
      </c>
      <c r="B4615" s="4">
        <v>5957.0</v>
      </c>
      <c r="C4615" s="5">
        <f t="shared" ref="C4615:C4617" si="1928">DATE(2012,12,31)-736</f>
        <v>40538</v>
      </c>
      <c r="D4615" s="4" t="s">
        <v>30</v>
      </c>
      <c r="E4615" s="4">
        <v>15.0</v>
      </c>
      <c r="F4615" s="4">
        <v>68.32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ht="12.75" customHeight="1">
      <c r="A4616" s="4">
        <v>825.0</v>
      </c>
      <c r="B4616" s="4">
        <v>5957.0</v>
      </c>
      <c r="C4616" s="5">
        <f t="shared" si="1928"/>
        <v>40538</v>
      </c>
      <c r="D4616" s="4" t="s">
        <v>30</v>
      </c>
      <c r="E4616" s="4">
        <v>3.0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150.98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ht="12.75" customHeight="1">
      <c r="A4617" s="4">
        <v>826.0</v>
      </c>
      <c r="B4617" s="4">
        <v>5957.0</v>
      </c>
      <c r="C4617" s="5">
        <f t="shared" si="1928"/>
        <v>40538</v>
      </c>
      <c r="D4617" s="4" t="s">
        <v>30</v>
      </c>
      <c r="E4617" s="4">
        <v>23.0</v>
      </c>
      <c r="F4617" s="4">
        <v>391.8755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4.81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0.58</v>
      </c>
      <c r="U4617" s="5">
        <f>C4617+3</f>
        <v>40541</v>
      </c>
    </row>
    <row r="4618" ht="12.75" customHeight="1">
      <c r="A4618" s="4">
        <v>865.0</v>
      </c>
      <c r="B4618" s="4">
        <v>6183.0</v>
      </c>
      <c r="C4618" s="5">
        <f>DATE(2012,12,31)-199</f>
        <v>41075</v>
      </c>
      <c r="D4618" s="4" t="s">
        <v>63</v>
      </c>
      <c r="E4618" s="4">
        <v>41.0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ht="12.75" customHeight="1">
      <c r="A4619" s="4">
        <v>890.0</v>
      </c>
      <c r="B4619" s="4">
        <v>6402.0</v>
      </c>
      <c r="C4619" s="5">
        <f>DATE(2012,12,31)-618</f>
        <v>40656</v>
      </c>
      <c r="D4619" s="4" t="s">
        <v>21</v>
      </c>
      <c r="E4619" s="4">
        <v>35.0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ht="12.75" customHeight="1">
      <c r="A4620" s="4">
        <v>927.0</v>
      </c>
      <c r="B4620" s="4">
        <v>6720.0</v>
      </c>
      <c r="C4620" s="5">
        <f t="shared" ref="C4620:C4622" si="1929">DATE(2012,12,31)-844</f>
        <v>40430</v>
      </c>
      <c r="D4620" s="4" t="s">
        <v>45</v>
      </c>
      <c r="E4620" s="4">
        <v>31.0</v>
      </c>
      <c r="F4620" s="4">
        <v>164.62</v>
      </c>
      <c r="G4620" s="4">
        <v>0.03</v>
      </c>
      <c r="H4620" s="4" t="s">
        <v>22</v>
      </c>
      <c r="I4620" s="6">
        <v>-93.7135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ht="12.75" customHeight="1">
      <c r="A4621" s="4">
        <v>928.0</v>
      </c>
      <c r="B4621" s="4">
        <v>6720.0</v>
      </c>
      <c r="C4621" s="5">
        <f t="shared" si="1929"/>
        <v>40430</v>
      </c>
      <c r="D4621" s="4" t="s">
        <v>45</v>
      </c>
      <c r="E4621" s="4">
        <v>36.0</v>
      </c>
      <c r="F4621" s="4">
        <v>4225.77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ht="12.75" customHeight="1">
      <c r="A4622" s="4">
        <v>929.0</v>
      </c>
      <c r="B4622" s="4">
        <v>6720.0</v>
      </c>
      <c r="C4622" s="5">
        <f t="shared" si="1929"/>
        <v>40430</v>
      </c>
      <c r="D4622" s="4" t="s">
        <v>45</v>
      </c>
      <c r="E4622" s="4">
        <v>8.0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30">C4622+2</f>
        <v>40432</v>
      </c>
    </row>
    <row r="4623" ht="12.75" customHeight="1">
      <c r="A4623" s="4">
        <v>936.0</v>
      </c>
      <c r="B4623" s="4">
        <v>6785.0</v>
      </c>
      <c r="C4623" s="5">
        <f>DATE(2012,12,31)-239</f>
        <v>41035</v>
      </c>
      <c r="D4623" s="4" t="s">
        <v>63</v>
      </c>
      <c r="E4623" s="4">
        <v>7.0</v>
      </c>
      <c r="F4623" s="4">
        <v>181.32</v>
      </c>
      <c r="G4623" s="4">
        <v>0.03</v>
      </c>
      <c r="H4623" s="4" t="s">
        <v>22</v>
      </c>
      <c r="I4623" s="6">
        <v>80.32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30"/>
        <v>41037</v>
      </c>
    </row>
    <row r="4624" ht="12.75" customHeight="1">
      <c r="A4624" s="4">
        <v>1139.0</v>
      </c>
      <c r="B4624" s="4">
        <v>8295.0</v>
      </c>
      <c r="C4624" s="5">
        <f t="shared" ref="C4624:C4625" si="1931">DATE(2012,12,31)-1370</f>
        <v>39904</v>
      </c>
      <c r="D4624" s="4" t="s">
        <v>30</v>
      </c>
      <c r="E4624" s="4">
        <v>30.0</v>
      </c>
      <c r="F4624" s="4">
        <v>835.1505</v>
      </c>
      <c r="G4624" s="4">
        <v>0.09</v>
      </c>
      <c r="H4624" s="4" t="s">
        <v>22</v>
      </c>
      <c r="I4624" s="6">
        <v>158.175</v>
      </c>
      <c r="J4624" s="4">
        <v>35.99</v>
      </c>
      <c r="K4624" s="4">
        <v>1.1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</v>
      </c>
      <c r="U4624" s="5">
        <f t="shared" si="1930"/>
        <v>39906</v>
      </c>
    </row>
    <row r="4625" ht="12.75" customHeight="1">
      <c r="A4625" s="4">
        <v>1140.0</v>
      </c>
      <c r="B4625" s="4">
        <v>8295.0</v>
      </c>
      <c r="C4625" s="5">
        <f t="shared" si="1931"/>
        <v>39904</v>
      </c>
      <c r="D4625" s="4" t="s">
        <v>30</v>
      </c>
      <c r="E4625" s="4">
        <v>7.0</v>
      </c>
      <c r="F4625" s="4">
        <v>771.834</v>
      </c>
      <c r="G4625" s="4">
        <v>0.01</v>
      </c>
      <c r="H4625" s="4" t="s">
        <v>22</v>
      </c>
      <c r="I4625" s="6">
        <v>-295.427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2">C4625+1</f>
        <v>39905</v>
      </c>
    </row>
    <row r="4626" ht="12.75" customHeight="1">
      <c r="A4626" s="4">
        <v>1189.0</v>
      </c>
      <c r="B4626" s="4">
        <v>8704.0</v>
      </c>
      <c r="C4626" s="5">
        <f t="shared" ref="C4626:C4627" si="1933">DATE(2012,12,31)-550</f>
        <v>40724</v>
      </c>
      <c r="D4626" s="4" t="s">
        <v>63</v>
      </c>
      <c r="E4626" s="4">
        <v>43.0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2"/>
        <v>40725</v>
      </c>
    </row>
    <row r="4627" ht="12.75" customHeight="1">
      <c r="A4627" s="4">
        <v>1190.0</v>
      </c>
      <c r="B4627" s="4">
        <v>8704.0</v>
      </c>
      <c r="C4627" s="5">
        <f t="shared" si="1933"/>
        <v>40724</v>
      </c>
      <c r="D4627" s="4" t="s">
        <v>63</v>
      </c>
      <c r="E4627" s="4">
        <v>38.0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1.0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2"/>
        <v>40725</v>
      </c>
    </row>
    <row r="4628" ht="12.75" customHeight="1">
      <c r="A4628" s="4">
        <v>1206.0</v>
      </c>
      <c r="B4628" s="4">
        <v>8834.0</v>
      </c>
      <c r="C4628" s="5">
        <f>DATE(2012,12,31)-784</f>
        <v>40490</v>
      </c>
      <c r="D4628" s="4" t="s">
        <v>30</v>
      </c>
      <c r="E4628" s="4">
        <v>45.0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150.98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2"/>
        <v>40491</v>
      </c>
    </row>
    <row r="4629" ht="12.75" customHeight="1">
      <c r="A4629" s="4">
        <v>1215.0</v>
      </c>
      <c r="B4629" s="4">
        <v>8933.0</v>
      </c>
      <c r="C4629" s="5">
        <f t="shared" ref="C4629:C4630" si="1934">DATE(2012,12,31)-816</f>
        <v>40458</v>
      </c>
      <c r="D4629" s="4" t="s">
        <v>30</v>
      </c>
      <c r="E4629" s="4">
        <v>37.0</v>
      </c>
      <c r="F4629" s="4">
        <v>1520.26</v>
      </c>
      <c r="G4629" s="4">
        <v>0.04</v>
      </c>
      <c r="H4629" s="4" t="s">
        <v>22</v>
      </c>
      <c r="I4629" s="6">
        <v>640.8405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2"/>
        <v>40459</v>
      </c>
    </row>
    <row r="4630" ht="12.75" customHeight="1">
      <c r="A4630" s="4">
        <v>1216.0</v>
      </c>
      <c r="B4630" s="4">
        <v>8933.0</v>
      </c>
      <c r="C4630" s="5">
        <f t="shared" si="1934"/>
        <v>40458</v>
      </c>
      <c r="D4630" s="4" t="s">
        <v>30</v>
      </c>
      <c r="E4630" s="4">
        <v>30.0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ht="12.75" customHeight="1">
      <c r="A4631" s="4">
        <v>1269.0</v>
      </c>
      <c r="B4631" s="4">
        <v>9222.0</v>
      </c>
      <c r="C4631" s="5">
        <f>DATE(2012,12,31)-1420</f>
        <v>39854</v>
      </c>
      <c r="D4631" s="4" t="s">
        <v>30</v>
      </c>
      <c r="E4631" s="4">
        <v>41.0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5">C4631+1</f>
        <v>39855</v>
      </c>
    </row>
    <row r="4632" ht="12.75" customHeight="1">
      <c r="A4632" s="4">
        <v>1409.0</v>
      </c>
      <c r="B4632" s="4">
        <v>10243.0</v>
      </c>
      <c r="C4632" s="5">
        <f>DATE(2012,12,31)-373</f>
        <v>40901</v>
      </c>
      <c r="D4632" s="4" t="s">
        <v>30</v>
      </c>
      <c r="E4632" s="4">
        <v>12.0</v>
      </c>
      <c r="F4632" s="4">
        <v>28.41</v>
      </c>
      <c r="G4632" s="4">
        <v>0.07</v>
      </c>
      <c r="H4632" s="4" t="s">
        <v>22</v>
      </c>
      <c r="I4632" s="6">
        <v>-44.079499999999996</v>
      </c>
      <c r="J4632" s="4">
        <v>1.98</v>
      </c>
      <c r="K4632" s="4">
        <v>4.77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5"/>
        <v>40902</v>
      </c>
    </row>
    <row r="4633" ht="12.75" customHeight="1">
      <c r="A4633" s="4">
        <v>1458.0</v>
      </c>
      <c r="B4633" s="4">
        <v>10502.0</v>
      </c>
      <c r="C4633" s="5">
        <f t="shared" ref="C4633:C4634" si="1936">DATE(2012,12,31)-962</f>
        <v>40312</v>
      </c>
      <c r="D4633" s="4" t="s">
        <v>45</v>
      </c>
      <c r="E4633" s="4">
        <v>33.0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</v>
      </c>
      <c r="U4633" s="5">
        <f t="shared" si="1935"/>
        <v>40313</v>
      </c>
    </row>
    <row r="4634" ht="12.75" customHeight="1">
      <c r="A4634" s="4">
        <v>1459.0</v>
      </c>
      <c r="B4634" s="4">
        <v>10502.0</v>
      </c>
      <c r="C4634" s="5">
        <f t="shared" si="1936"/>
        <v>40312</v>
      </c>
      <c r="D4634" s="4" t="s">
        <v>45</v>
      </c>
      <c r="E4634" s="4">
        <v>36.0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7">C4634+2</f>
        <v>40314</v>
      </c>
    </row>
    <row r="4635" ht="12.75" customHeight="1">
      <c r="A4635" s="4">
        <v>1506.0</v>
      </c>
      <c r="B4635" s="4">
        <v>10886.0</v>
      </c>
      <c r="C4635" s="5">
        <f t="shared" ref="C4635:C4636" si="1938">DATE(2012,12,31)-1226</f>
        <v>40048</v>
      </c>
      <c r="D4635" s="4" t="s">
        <v>78</v>
      </c>
      <c r="E4635" s="4">
        <v>36.0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7"/>
        <v>40050</v>
      </c>
    </row>
    <row r="4636" ht="12.75" customHeight="1">
      <c r="A4636" s="4">
        <v>1507.0</v>
      </c>
      <c r="B4636" s="4">
        <v>10886.0</v>
      </c>
      <c r="C4636" s="5">
        <f t="shared" si="1938"/>
        <v>40048</v>
      </c>
      <c r="D4636" s="4" t="s">
        <v>78</v>
      </c>
      <c r="E4636" s="4">
        <v>47.0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ht="12.75" customHeight="1">
      <c r="A4637" s="4">
        <v>1535.0</v>
      </c>
      <c r="B4637" s="4">
        <v>11047.0</v>
      </c>
      <c r="C4637" s="5">
        <f t="shared" ref="C4637:C4638" si="1939">DATE(2012,12,31)-752</f>
        <v>40522</v>
      </c>
      <c r="D4637" s="4" t="s">
        <v>21</v>
      </c>
      <c r="E4637" s="4">
        <v>27.0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60.0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ht="12.75" customHeight="1">
      <c r="A4638" s="4">
        <v>1536.0</v>
      </c>
      <c r="B4638" s="4">
        <v>11047.0</v>
      </c>
      <c r="C4638" s="5">
        <f t="shared" si="1939"/>
        <v>40522</v>
      </c>
      <c r="D4638" s="4" t="s">
        <v>21</v>
      </c>
      <c r="E4638" s="4">
        <v>24.0</v>
      </c>
      <c r="F4638" s="4">
        <v>10480.272</v>
      </c>
      <c r="G4638" s="4">
        <v>0.07</v>
      </c>
      <c r="H4638" s="4" t="s">
        <v>31</v>
      </c>
      <c r="I4638" s="6">
        <v>2271.68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40">C4638+2</f>
        <v>40524</v>
      </c>
    </row>
    <row r="4639" ht="12.75" customHeight="1">
      <c r="A4639" s="4">
        <v>1787.0</v>
      </c>
      <c r="B4639" s="4">
        <v>12803.0</v>
      </c>
      <c r="C4639" s="5">
        <f>DATE(2012,12,31)-1040</f>
        <v>40234</v>
      </c>
      <c r="D4639" s="4" t="s">
        <v>45</v>
      </c>
      <c r="E4639" s="4">
        <v>32.0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4.81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0.58</v>
      </c>
      <c r="U4639" s="5">
        <f t="shared" si="1940"/>
        <v>40236</v>
      </c>
    </row>
    <row r="4640" ht="12.75" customHeight="1">
      <c r="A4640" s="4">
        <v>1927.0</v>
      </c>
      <c r="B4640" s="4">
        <v>13767.0</v>
      </c>
      <c r="C4640" s="5">
        <f>DATE(2012,12,31)-858</f>
        <v>40416</v>
      </c>
      <c r="D4640" s="4" t="s">
        <v>30</v>
      </c>
      <c r="E4640" s="4">
        <v>12.0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40"/>
        <v>40418</v>
      </c>
    </row>
    <row r="4641" ht="12.75" customHeight="1">
      <c r="A4641" s="4">
        <v>1980.0</v>
      </c>
      <c r="B4641" s="4">
        <v>14117.0</v>
      </c>
      <c r="C4641" s="5">
        <f>DATE(2012,12,31)-859</f>
        <v>40415</v>
      </c>
      <c r="D4641" s="4" t="s">
        <v>45</v>
      </c>
      <c r="E4641" s="4">
        <v>4.0</v>
      </c>
      <c r="F4641" s="4">
        <v>5.31</v>
      </c>
      <c r="G4641" s="4">
        <v>0.0</v>
      </c>
      <c r="H4641" s="4" t="s">
        <v>22</v>
      </c>
      <c r="I4641" s="6">
        <v>-1.5</v>
      </c>
      <c r="J4641" s="4">
        <v>1.14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40"/>
        <v>40417</v>
      </c>
    </row>
    <row r="4642" ht="12.75" customHeight="1">
      <c r="A4642" s="4">
        <v>2091.0</v>
      </c>
      <c r="B4642" s="4">
        <v>14976.0</v>
      </c>
      <c r="C4642" s="5">
        <f>DATE(2012,12,31)-528</f>
        <v>40746</v>
      </c>
      <c r="D4642" s="4" t="s">
        <v>30</v>
      </c>
      <c r="E4642" s="4">
        <v>46.0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40"/>
        <v>40748</v>
      </c>
    </row>
    <row r="4643" ht="12.75" customHeight="1">
      <c r="A4643" s="4">
        <v>2094.0</v>
      </c>
      <c r="B4643" s="4">
        <v>14980.0</v>
      </c>
      <c r="C4643" s="5">
        <f>DATE(2012,12,31)-170</f>
        <v>41104</v>
      </c>
      <c r="D4643" s="4" t="s">
        <v>78</v>
      </c>
      <c r="E4643" s="4">
        <v>27.0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ht="12.75" customHeight="1">
      <c r="A4644" s="4">
        <v>2233.0</v>
      </c>
      <c r="B4644" s="4">
        <v>16133.0</v>
      </c>
      <c r="C4644" s="5">
        <f>DATE(2012,12,31)-1193</f>
        <v>40081</v>
      </c>
      <c r="D4644" s="4" t="s">
        <v>78</v>
      </c>
      <c r="E4644" s="4">
        <v>16.0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ht="12.75" customHeight="1">
      <c r="A4645" s="4">
        <v>2235.0</v>
      </c>
      <c r="B4645" s="4">
        <v>16134.0</v>
      </c>
      <c r="C4645" s="5">
        <f>DATE(2012,12,31)-42</f>
        <v>41232</v>
      </c>
      <c r="D4645" s="4" t="s">
        <v>30</v>
      </c>
      <c r="E4645" s="4">
        <v>43.0</v>
      </c>
      <c r="F4645" s="4">
        <v>21921.28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ht="12.75" customHeight="1">
      <c r="A4646" s="4">
        <v>2262.0</v>
      </c>
      <c r="B4646" s="4">
        <v>16258.0</v>
      </c>
      <c r="C4646" s="5">
        <f t="shared" ref="C4646:C4647" si="1941">DATE(2012,12,31)-544</f>
        <v>40730</v>
      </c>
      <c r="D4646" s="4" t="s">
        <v>63</v>
      </c>
      <c r="E4646" s="4">
        <v>1.0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ht="12.75" customHeight="1">
      <c r="A4647" s="4">
        <v>2263.0</v>
      </c>
      <c r="B4647" s="4">
        <v>16258.0</v>
      </c>
      <c r="C4647" s="5">
        <f t="shared" si="1941"/>
        <v>40730</v>
      </c>
      <c r="D4647" s="4" t="s">
        <v>63</v>
      </c>
      <c r="E4647" s="4">
        <v>48.0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2">C4647+2</f>
        <v>40732</v>
      </c>
    </row>
    <row r="4648" ht="12.75" customHeight="1">
      <c r="A4648" s="4">
        <v>2267.0</v>
      </c>
      <c r="B4648" s="4">
        <v>16289.0</v>
      </c>
      <c r="C4648" s="5">
        <f>DATE(2012,12,31)-898</f>
        <v>40376</v>
      </c>
      <c r="D4648" s="4" t="s">
        <v>30</v>
      </c>
      <c r="E4648" s="4">
        <v>37.0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</v>
      </c>
      <c r="U4648" s="5">
        <f t="shared" si="1942"/>
        <v>40378</v>
      </c>
    </row>
    <row r="4649" ht="12.75" customHeight="1">
      <c r="A4649" s="4">
        <v>2355.0</v>
      </c>
      <c r="B4649" s="4">
        <v>16993.0</v>
      </c>
      <c r="C4649" s="5">
        <f>DATE(2012,12,31)-411</f>
        <v>40863</v>
      </c>
      <c r="D4649" s="4" t="s">
        <v>63</v>
      </c>
      <c r="E4649" s="4">
        <v>8.0</v>
      </c>
      <c r="F4649" s="4">
        <v>1383.919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ht="12.75" customHeight="1">
      <c r="A4650" s="4">
        <v>2619.0</v>
      </c>
      <c r="B4650" s="4">
        <v>18945.0</v>
      </c>
      <c r="C4650" s="5">
        <f>DATE(2012,12,31)-1444</f>
        <v>39830</v>
      </c>
      <c r="D4650" s="4" t="s">
        <v>63</v>
      </c>
      <c r="E4650" s="4">
        <v>33.0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ht="12.75" customHeight="1">
      <c r="A4651" s="4">
        <v>2764.0</v>
      </c>
      <c r="B4651" s="4">
        <v>19975.0</v>
      </c>
      <c r="C4651" s="5">
        <f>DATE(2012,12,31)-1361</f>
        <v>39913</v>
      </c>
      <c r="D4651" s="4" t="s">
        <v>45</v>
      </c>
      <c r="E4651" s="4">
        <v>33.0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ht="12.75" customHeight="1">
      <c r="A4652" s="4">
        <v>2773.0</v>
      </c>
      <c r="B4652" s="4">
        <v>20036.0</v>
      </c>
      <c r="C4652" s="5">
        <f t="shared" ref="C4652:C4653" si="1943">DATE(2012,12,31)-757</f>
        <v>40517</v>
      </c>
      <c r="D4652" s="4" t="s">
        <v>45</v>
      </c>
      <c r="E4652" s="4">
        <v>25.0</v>
      </c>
      <c r="F4652" s="4">
        <v>290.46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0.58</v>
      </c>
      <c r="U4652" s="5">
        <f>C4652+0</f>
        <v>40517</v>
      </c>
    </row>
    <row r="4653" ht="12.75" customHeight="1">
      <c r="A4653" s="4">
        <v>2774.0</v>
      </c>
      <c r="B4653" s="4">
        <v>20036.0</v>
      </c>
      <c r="C4653" s="5">
        <f t="shared" si="1943"/>
        <v>40517</v>
      </c>
      <c r="D4653" s="4" t="s">
        <v>45</v>
      </c>
      <c r="E4653" s="4">
        <v>44.0</v>
      </c>
      <c r="F4653" s="4">
        <v>1207.4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4">C4653+2</f>
        <v>40519</v>
      </c>
    </row>
    <row r="4654" ht="12.75" customHeight="1">
      <c r="A4654" s="4">
        <v>2903.0</v>
      </c>
      <c r="B4654" s="4">
        <v>20964.0</v>
      </c>
      <c r="C4654" s="5">
        <f>DATE(2012,12,31)-276</f>
        <v>40998</v>
      </c>
      <c r="D4654" s="4" t="s">
        <v>78</v>
      </c>
      <c r="E4654" s="4">
        <v>11.0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65.99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0.58</v>
      </c>
      <c r="U4654" s="5">
        <f t="shared" si="1944"/>
        <v>41000</v>
      </c>
    </row>
    <row r="4655" ht="12.75" customHeight="1">
      <c r="A4655" s="4">
        <v>2920.0</v>
      </c>
      <c r="B4655" s="4">
        <v>21121.0</v>
      </c>
      <c r="C4655" s="5">
        <f>DATE(2012,12,31)-1202</f>
        <v>40072</v>
      </c>
      <c r="D4655" s="4" t="s">
        <v>45</v>
      </c>
      <c r="E4655" s="4">
        <v>50.0</v>
      </c>
      <c r="F4655" s="4">
        <v>20175.48</v>
      </c>
      <c r="G4655" s="4">
        <v>0.0</v>
      </c>
      <c r="H4655" s="4" t="s">
        <v>22</v>
      </c>
      <c r="I4655" s="6">
        <v>9373.961500000001</v>
      </c>
      <c r="J4655" s="4">
        <v>387.99</v>
      </c>
      <c r="K4655" s="4">
        <v>19.99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ht="12.75" customHeight="1">
      <c r="A4656" s="4">
        <v>2938.0</v>
      </c>
      <c r="B4656" s="4">
        <v>21314.0</v>
      </c>
      <c r="C4656" s="5">
        <f t="shared" ref="C4656:C4658" si="1945">DATE(2012,12,31)-1155</f>
        <v>40119</v>
      </c>
      <c r="D4656" s="4" t="s">
        <v>21</v>
      </c>
      <c r="E4656" s="4">
        <v>6.0</v>
      </c>
      <c r="F4656" s="4">
        <v>56.22</v>
      </c>
      <c r="G4656" s="4">
        <v>0.04</v>
      </c>
      <c r="H4656" s="4" t="s">
        <v>22</v>
      </c>
      <c r="I4656" s="6">
        <v>-20.3895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ht="12.75" customHeight="1">
      <c r="A4657" s="4">
        <v>2939.0</v>
      </c>
      <c r="B4657" s="4">
        <v>21314.0</v>
      </c>
      <c r="C4657" s="5">
        <f t="shared" si="1945"/>
        <v>40119</v>
      </c>
      <c r="D4657" s="4" t="s">
        <v>21</v>
      </c>
      <c r="E4657" s="4">
        <v>30.0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ht="12.75" customHeight="1">
      <c r="A4658" s="4">
        <v>2940.0</v>
      </c>
      <c r="B4658" s="4">
        <v>21314.0</v>
      </c>
      <c r="C4658" s="5">
        <f t="shared" si="1945"/>
        <v>40119</v>
      </c>
      <c r="D4658" s="4" t="s">
        <v>21</v>
      </c>
      <c r="E4658" s="4">
        <v>40.0</v>
      </c>
      <c r="F4658" s="4">
        <v>3169.992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ht="12.75" customHeight="1">
      <c r="A4659" s="4">
        <v>3016.0</v>
      </c>
      <c r="B4659" s="4">
        <v>21702.0</v>
      </c>
      <c r="C4659" s="5">
        <f>DATE(2012,12,31)-745</f>
        <v>40529</v>
      </c>
      <c r="D4659" s="4" t="s">
        <v>45</v>
      </c>
      <c r="E4659" s="4">
        <v>40.0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ht="12.75" customHeight="1">
      <c r="A4660" s="4">
        <v>3062.0</v>
      </c>
      <c r="B4660" s="4">
        <v>21925.0</v>
      </c>
      <c r="C4660" s="5">
        <f>DATE(2012,12,31)-172</f>
        <v>41102</v>
      </c>
      <c r="D4660" s="4" t="s">
        <v>45</v>
      </c>
      <c r="E4660" s="4">
        <v>3.0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</v>
      </c>
      <c r="K4660" s="4">
        <v>4.0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ht="12.75" customHeight="1">
      <c r="A4661" s="4">
        <v>3123.0</v>
      </c>
      <c r="B4661" s="4">
        <v>22432.0</v>
      </c>
      <c r="C4661" s="5">
        <f>DATE(2012,12,31)-33</f>
        <v>41241</v>
      </c>
      <c r="D4661" s="4" t="s">
        <v>45</v>
      </c>
      <c r="E4661" s="4">
        <v>45.0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19.99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ht="12.75" customHeight="1">
      <c r="A4662" s="4">
        <v>3173.0</v>
      </c>
      <c r="B4662" s="4">
        <v>22819.0</v>
      </c>
      <c r="C4662" s="5">
        <f>DATE(2012,12,31)-51</f>
        <v>41223</v>
      </c>
      <c r="D4662" s="4" t="s">
        <v>30</v>
      </c>
      <c r="E4662" s="4">
        <v>1.0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ht="12.75" customHeight="1">
      <c r="A4663" s="4">
        <v>3198.0</v>
      </c>
      <c r="B4663" s="4">
        <v>22917.0</v>
      </c>
      <c r="C4663" s="5">
        <f>DATE(2012,12,31)-1401</f>
        <v>39873</v>
      </c>
      <c r="D4663" s="4" t="s">
        <v>63</v>
      </c>
      <c r="E4663" s="4">
        <v>1.0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6">C4663+3</f>
        <v>39876</v>
      </c>
    </row>
    <row r="4664" ht="12.75" customHeight="1">
      <c r="A4664" s="4">
        <v>3221.0</v>
      </c>
      <c r="B4664" s="4">
        <v>23107.0</v>
      </c>
      <c r="C4664" s="5">
        <f>DATE(2012,12,31)-569</f>
        <v>40705</v>
      </c>
      <c r="D4664" s="4" t="s">
        <v>63</v>
      </c>
      <c r="E4664" s="4">
        <v>7.0</v>
      </c>
      <c r="F4664" s="4">
        <v>43.29</v>
      </c>
      <c r="G4664" s="4">
        <v>0.07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6"/>
        <v>40708</v>
      </c>
    </row>
    <row r="4665" ht="12.75" customHeight="1">
      <c r="A4665" s="4">
        <v>3294.0</v>
      </c>
      <c r="B4665" s="4">
        <v>23556.0</v>
      </c>
      <c r="C4665" s="5">
        <f>DATE(2012,12,31)-722</f>
        <v>40552</v>
      </c>
      <c r="D4665" s="4" t="s">
        <v>63</v>
      </c>
      <c r="E4665" s="4">
        <v>34.0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19.99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0.57</v>
      </c>
      <c r="U4665" s="5">
        <f t="shared" ref="U4665:U4667" si="1947">C4665+1</f>
        <v>40553</v>
      </c>
    </row>
    <row r="4666" ht="12.75" customHeight="1">
      <c r="A4666" s="4">
        <v>3324.0</v>
      </c>
      <c r="B4666" s="4">
        <v>23777.0</v>
      </c>
      <c r="C4666" s="5">
        <f>DATE(2012,12,31)-35</f>
        <v>41239</v>
      </c>
      <c r="D4666" s="4" t="s">
        <v>45</v>
      </c>
      <c r="E4666" s="4">
        <v>16.0</v>
      </c>
      <c r="F4666" s="4">
        <v>487.7</v>
      </c>
      <c r="G4666" s="4">
        <v>0.06</v>
      </c>
      <c r="H4666" s="4" t="s">
        <v>22</v>
      </c>
      <c r="I4666" s="6">
        <v>-67.54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7"/>
        <v>41240</v>
      </c>
    </row>
    <row r="4667" ht="12.75" customHeight="1">
      <c r="A4667" s="4">
        <v>3374.0</v>
      </c>
      <c r="B4667" s="4">
        <v>24098.0</v>
      </c>
      <c r="C4667" s="5">
        <f t="shared" ref="C4667:C4669" si="1948">DATE(2012,12,31)-258</f>
        <v>41016</v>
      </c>
      <c r="D4667" s="4" t="s">
        <v>78</v>
      </c>
      <c r="E4667" s="4">
        <v>42.0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7"/>
        <v>41017</v>
      </c>
    </row>
    <row r="4668" ht="12.75" customHeight="1">
      <c r="A4668" s="4">
        <v>3375.0</v>
      </c>
      <c r="B4668" s="4">
        <v>24098.0</v>
      </c>
      <c r="C4668" s="5">
        <f t="shared" si="1948"/>
        <v>41016</v>
      </c>
      <c r="D4668" s="4" t="s">
        <v>78</v>
      </c>
      <c r="E4668" s="4">
        <v>10.0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ht="12.75" customHeight="1">
      <c r="A4669" s="4">
        <v>3376.0</v>
      </c>
      <c r="B4669" s="4">
        <v>24098.0</v>
      </c>
      <c r="C4669" s="5">
        <f t="shared" si="1948"/>
        <v>41016</v>
      </c>
      <c r="D4669" s="4" t="s">
        <v>78</v>
      </c>
      <c r="E4669" s="4">
        <v>32.0</v>
      </c>
      <c r="F4669" s="4">
        <v>4158.0725</v>
      </c>
      <c r="G4669" s="4">
        <v>0.02</v>
      </c>
      <c r="H4669" s="4" t="s">
        <v>22</v>
      </c>
      <c r="I4669" s="6">
        <v>836.145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0.58</v>
      </c>
      <c r="U4669" s="5">
        <f>C4669+1</f>
        <v>41017</v>
      </c>
    </row>
    <row r="4670" ht="12.75" customHeight="1">
      <c r="A4670" s="4">
        <v>3400.0</v>
      </c>
      <c r="B4670" s="4">
        <v>24227.0</v>
      </c>
      <c r="C4670" s="5">
        <f>DATE(2012,12,31)-868</f>
        <v>40406</v>
      </c>
      <c r="D4670" s="4" t="s">
        <v>63</v>
      </c>
      <c r="E4670" s="4">
        <v>24.0</v>
      </c>
      <c r="F4670" s="4">
        <v>1840.8535</v>
      </c>
      <c r="G4670" s="4">
        <v>0.01</v>
      </c>
      <c r="H4670" s="4" t="s">
        <v>22</v>
      </c>
      <c r="I4670" s="6">
        <v>424.638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0.58</v>
      </c>
      <c r="U4670" s="5">
        <f>C4670+2</f>
        <v>40408</v>
      </c>
    </row>
    <row r="4671" ht="12.75" customHeight="1">
      <c r="A4671" s="4">
        <v>3455.0</v>
      </c>
      <c r="B4671" s="4">
        <v>24614.0</v>
      </c>
      <c r="C4671" s="5">
        <f>DATE(2012,12,31)-1136</f>
        <v>40138</v>
      </c>
      <c r="D4671" s="4" t="s">
        <v>21</v>
      </c>
      <c r="E4671" s="4">
        <v>33.0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ht="12.75" customHeight="1">
      <c r="A4672" s="4">
        <v>3595.0</v>
      </c>
      <c r="B4672" s="4">
        <v>25637.0</v>
      </c>
      <c r="C4672" s="5">
        <f>DATE(2012,12,31)-310</f>
        <v>40964</v>
      </c>
      <c r="D4672" s="4" t="s">
        <v>45</v>
      </c>
      <c r="E4672" s="4">
        <v>12.0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259.71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9">C4672+2</f>
        <v>40966</v>
      </c>
    </row>
    <row r="4673" ht="12.75" customHeight="1">
      <c r="A4673" s="4">
        <v>3737.0</v>
      </c>
      <c r="B4673" s="4">
        <v>26695.0</v>
      </c>
      <c r="C4673" s="5">
        <f>DATE(2012,12,31)-939</f>
        <v>40335</v>
      </c>
      <c r="D4673" s="4" t="s">
        <v>45</v>
      </c>
      <c r="E4673" s="4">
        <v>43.0</v>
      </c>
      <c r="F4673" s="4">
        <v>367.11</v>
      </c>
      <c r="G4673" s="4">
        <v>0.01</v>
      </c>
      <c r="H4673" s="4" t="s">
        <v>22</v>
      </c>
      <c r="I4673" s="6">
        <v>163.42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9"/>
        <v>40337</v>
      </c>
    </row>
    <row r="4674" ht="12.75" customHeight="1">
      <c r="A4674" s="4">
        <v>3797.0</v>
      </c>
      <c r="B4674" s="4">
        <v>27078.0</v>
      </c>
      <c r="C4674" s="5">
        <f>DATE(2012,12,31)-141</f>
        <v>41133</v>
      </c>
      <c r="D4674" s="4" t="s">
        <v>45</v>
      </c>
      <c r="E4674" s="4">
        <v>22.0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ht="12.75" customHeight="1">
      <c r="A4675" s="4">
        <v>4135.0</v>
      </c>
      <c r="B4675" s="4">
        <v>29376.0</v>
      </c>
      <c r="C4675" s="5">
        <f>DATE(2012,12,31)-142</f>
        <v>41132</v>
      </c>
      <c r="D4675" s="4" t="s">
        <v>78</v>
      </c>
      <c r="E4675" s="4">
        <v>20.0</v>
      </c>
      <c r="F4675" s="4">
        <v>2850.31</v>
      </c>
      <c r="G4675" s="4">
        <v>0.09</v>
      </c>
      <c r="H4675" s="4" t="s">
        <v>22</v>
      </c>
      <c r="I4675" s="6">
        <v>569.08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ht="12.75" customHeight="1">
      <c r="A4676" s="4">
        <v>4190.0</v>
      </c>
      <c r="B4676" s="4">
        <v>29766.0</v>
      </c>
      <c r="C4676" s="5">
        <f t="shared" ref="C4676:C4677" si="1950">DATE(2012,12,31)-1381</f>
        <v>39893</v>
      </c>
      <c r="D4676" s="4" t="s">
        <v>63</v>
      </c>
      <c r="E4676" s="4">
        <v>13.0</v>
      </c>
      <c r="F4676" s="4">
        <v>89061.05</v>
      </c>
      <c r="G4676" s="4">
        <v>0.0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ht="12.75" customHeight="1">
      <c r="A4677" s="4">
        <v>4191.0</v>
      </c>
      <c r="B4677" s="4">
        <v>29766.0</v>
      </c>
      <c r="C4677" s="5">
        <f t="shared" si="1950"/>
        <v>39893</v>
      </c>
      <c r="D4677" s="4" t="s">
        <v>63</v>
      </c>
      <c r="E4677" s="4">
        <v>40.0</v>
      </c>
      <c r="F4677" s="4">
        <v>6636.664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</v>
      </c>
      <c r="U4677" s="5">
        <f>C4677+0</f>
        <v>39893</v>
      </c>
    </row>
    <row r="4678" ht="12.75" customHeight="1">
      <c r="A4678" s="4">
        <v>4253.0</v>
      </c>
      <c r="B4678" s="4">
        <v>30278.0</v>
      </c>
      <c r="C4678" s="5">
        <f>DATE(2012,12,31)-1188</f>
        <v>40086</v>
      </c>
      <c r="D4678" s="4" t="s">
        <v>21</v>
      </c>
      <c r="E4678" s="4">
        <v>50.0</v>
      </c>
      <c r="F4678" s="4">
        <v>2860.93</v>
      </c>
      <c r="G4678" s="4">
        <v>0.03</v>
      </c>
      <c r="H4678" s="4" t="s">
        <v>22</v>
      </c>
      <c r="I4678" s="6">
        <v>832.617</v>
      </c>
      <c r="J4678" s="4">
        <v>65.99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</v>
      </c>
      <c r="U4678" s="5">
        <f>C4678+9</f>
        <v>40095</v>
      </c>
    </row>
    <row r="4679" ht="12.75" customHeight="1">
      <c r="A4679" s="4">
        <v>4302.0</v>
      </c>
      <c r="B4679" s="4">
        <v>30626.0</v>
      </c>
      <c r="C4679" s="5">
        <f>DATE(2012,12,31)-616</f>
        <v>40658</v>
      </c>
      <c r="D4679" s="4" t="s">
        <v>78</v>
      </c>
      <c r="E4679" s="4">
        <v>23.0</v>
      </c>
      <c r="F4679" s="4">
        <v>220.82</v>
      </c>
      <c r="G4679" s="4">
        <v>0.1</v>
      </c>
      <c r="H4679" s="4" t="s">
        <v>56</v>
      </c>
      <c r="I4679" s="6">
        <v>77.68</v>
      </c>
      <c r="J4679" s="4">
        <v>9.93</v>
      </c>
      <c r="K4679" s="4">
        <v>1.09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ht="12.75" customHeight="1">
      <c r="A4680" s="4">
        <v>4328.0</v>
      </c>
      <c r="B4680" s="4">
        <v>30851.0</v>
      </c>
      <c r="C4680" s="5">
        <f>DATE(2012,12,31)-832</f>
        <v>40442</v>
      </c>
      <c r="D4680" s="4" t="s">
        <v>21</v>
      </c>
      <c r="E4680" s="4">
        <v>16.0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1">C4680+4</f>
        <v>40446</v>
      </c>
    </row>
    <row r="4681" ht="12.75" customHeight="1">
      <c r="A4681" s="4">
        <v>4452.0</v>
      </c>
      <c r="B4681" s="4">
        <v>31718.0</v>
      </c>
      <c r="C4681" s="5">
        <f t="shared" ref="C4681:C4682" si="1952">DATE(2012,12,31)-765</f>
        <v>40509</v>
      </c>
      <c r="D4681" s="4" t="s">
        <v>21</v>
      </c>
      <c r="E4681" s="4">
        <v>24.0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65.99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1"/>
        <v>40513</v>
      </c>
    </row>
    <row r="4682" ht="12.75" customHeight="1">
      <c r="A4682" s="4">
        <v>4453.0</v>
      </c>
      <c r="B4682" s="4">
        <v>31718.0</v>
      </c>
      <c r="C4682" s="5">
        <f t="shared" si="1952"/>
        <v>40509</v>
      </c>
      <c r="D4682" s="4" t="s">
        <v>21</v>
      </c>
      <c r="E4682" s="4">
        <v>20.0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65.99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ht="12.75" customHeight="1">
      <c r="A4683" s="4">
        <v>4508.0</v>
      </c>
      <c r="B4683" s="4">
        <v>32070.0</v>
      </c>
      <c r="C4683" s="5">
        <f>DATE(2012,12,31)-1263</f>
        <v>40011</v>
      </c>
      <c r="D4683" s="4" t="s">
        <v>63</v>
      </c>
      <c r="E4683" s="4">
        <v>50.0</v>
      </c>
      <c r="F4683" s="4">
        <v>86.7</v>
      </c>
      <c r="G4683" s="4">
        <v>0.07</v>
      </c>
      <c r="H4683" s="4" t="s">
        <v>22</v>
      </c>
      <c r="I4683" s="6">
        <v>-185.34</v>
      </c>
      <c r="J4683" s="4">
        <v>1.76</v>
      </c>
      <c r="K4683" s="4">
        <v>4.86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ht="12.75" customHeight="1">
      <c r="A4684" s="4">
        <v>4871.0</v>
      </c>
      <c r="B4684" s="4">
        <v>34661.0</v>
      </c>
      <c r="C4684" s="5">
        <f>DATE(2012,12,31)-1076</f>
        <v>40198</v>
      </c>
      <c r="D4684" s="4" t="s">
        <v>78</v>
      </c>
      <c r="E4684" s="4">
        <v>26.0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33.98</v>
      </c>
      <c r="K4684" s="4">
        <v>19.99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</v>
      </c>
      <c r="U4684" s="5">
        <f t="shared" ref="U4684:U4685" si="1953">C4684+2</f>
        <v>40200</v>
      </c>
    </row>
    <row r="4685" ht="12.75" customHeight="1">
      <c r="A4685" s="4">
        <v>4886.0</v>
      </c>
      <c r="B4685" s="4">
        <v>34754.0</v>
      </c>
      <c r="C4685" s="5">
        <f>DATE(2012,12,31)-210</f>
        <v>41064</v>
      </c>
      <c r="D4685" s="4" t="s">
        <v>78</v>
      </c>
      <c r="E4685" s="4">
        <v>16.0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3"/>
        <v>41066</v>
      </c>
    </row>
    <row r="4686" ht="12.75" customHeight="1">
      <c r="A4686" s="4">
        <v>4975.0</v>
      </c>
      <c r="B4686" s="4">
        <v>35392.0</v>
      </c>
      <c r="C4686" s="5">
        <f>DATE(2012,12,31)-312</f>
        <v>40962</v>
      </c>
      <c r="D4686" s="4" t="s">
        <v>30</v>
      </c>
      <c r="E4686" s="4">
        <v>9.0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ht="12.75" customHeight="1">
      <c r="A4687" s="4">
        <v>5066.0</v>
      </c>
      <c r="B4687" s="4">
        <v>36103.0</v>
      </c>
      <c r="C4687" s="5">
        <f t="shared" ref="C4687:C4688" si="1954">DATE(2012,12,31)-246</f>
        <v>41028</v>
      </c>
      <c r="D4687" s="4" t="s">
        <v>78</v>
      </c>
      <c r="E4687" s="4">
        <v>10.0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5">C4687+2</f>
        <v>41030</v>
      </c>
    </row>
    <row r="4688" ht="12.75" customHeight="1">
      <c r="A4688" s="4">
        <v>5067.0</v>
      </c>
      <c r="B4688" s="4">
        <v>36103.0</v>
      </c>
      <c r="C4688" s="5">
        <f t="shared" si="1954"/>
        <v>41028</v>
      </c>
      <c r="D4688" s="4" t="s">
        <v>78</v>
      </c>
      <c r="E4688" s="4">
        <v>45.0</v>
      </c>
      <c r="F4688" s="4">
        <v>1335.316</v>
      </c>
      <c r="G4688" s="4">
        <v>0.03</v>
      </c>
      <c r="H4688" s="4" t="s">
        <v>22</v>
      </c>
      <c r="I4688" s="6">
        <v>701.658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5"/>
        <v>41030</v>
      </c>
    </row>
    <row r="4689" ht="12.75" customHeight="1">
      <c r="A4689" s="4">
        <v>5221.0</v>
      </c>
      <c r="B4689" s="4">
        <v>37157.0</v>
      </c>
      <c r="C4689" s="5">
        <f>DATE(2012,12,31)-1045</f>
        <v>40229</v>
      </c>
      <c r="D4689" s="4" t="s">
        <v>30</v>
      </c>
      <c r="E4689" s="4">
        <v>39.0</v>
      </c>
      <c r="F4689" s="4">
        <v>213.0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5"/>
        <v>40231</v>
      </c>
    </row>
    <row r="4690" ht="12.75" customHeight="1">
      <c r="A4690" s="4">
        <v>5368.0</v>
      </c>
      <c r="B4690" s="4">
        <v>38176.0</v>
      </c>
      <c r="C4690" s="5">
        <f t="shared" ref="C4690:C4691" si="1956">DATE(2012,12,31)-869</f>
        <v>40405</v>
      </c>
      <c r="D4690" s="4" t="s">
        <v>30</v>
      </c>
      <c r="E4690" s="4">
        <v>39.0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ht="12.75" customHeight="1">
      <c r="A4691" s="4">
        <v>5369.0</v>
      </c>
      <c r="B4691" s="4">
        <v>38176.0</v>
      </c>
      <c r="C4691" s="5">
        <f t="shared" si="1956"/>
        <v>40405</v>
      </c>
      <c r="D4691" s="4" t="s">
        <v>30</v>
      </c>
      <c r="E4691" s="4">
        <v>48.0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ht="12.75" customHeight="1">
      <c r="A4692" s="4">
        <v>5424.0</v>
      </c>
      <c r="B4692" s="4">
        <v>38531.0</v>
      </c>
      <c r="C4692" s="5">
        <f>DATE(2012,12,31)-392</f>
        <v>40882</v>
      </c>
      <c r="D4692" s="4" t="s">
        <v>21</v>
      </c>
      <c r="E4692" s="4">
        <v>26.0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2.26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ht="12.75" customHeight="1">
      <c r="A4693" s="4">
        <v>5704.0</v>
      </c>
      <c r="B4693" s="4">
        <v>40354.0</v>
      </c>
      <c r="C4693" s="5">
        <f t="shared" ref="C4693:C4694" si="1957">DATE(2012,12,31)-1458</f>
        <v>39816</v>
      </c>
      <c r="D4693" s="4" t="s">
        <v>30</v>
      </c>
      <c r="E4693" s="4">
        <v>29.0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8">C4693+1</f>
        <v>39817</v>
      </c>
    </row>
    <row r="4694" ht="12.75" customHeight="1">
      <c r="A4694" s="4">
        <v>5705.0</v>
      </c>
      <c r="B4694" s="4">
        <v>40354.0</v>
      </c>
      <c r="C4694" s="5">
        <f t="shared" si="1957"/>
        <v>39816</v>
      </c>
      <c r="D4694" s="4" t="s">
        <v>30</v>
      </c>
      <c r="E4694" s="4">
        <v>4.0</v>
      </c>
      <c r="F4694" s="4">
        <v>698.0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8"/>
        <v>39817</v>
      </c>
    </row>
    <row r="4695" ht="12.75" customHeight="1">
      <c r="A4695" s="4">
        <v>5748.0</v>
      </c>
      <c r="B4695" s="4">
        <v>40832.0</v>
      </c>
      <c r="C4695" s="5">
        <f>DATE(2012,12,31)-1008</f>
        <v>40266</v>
      </c>
      <c r="D4695" s="4" t="s">
        <v>30</v>
      </c>
      <c r="E4695" s="4">
        <v>22.0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20.24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8"/>
        <v>40267</v>
      </c>
    </row>
    <row r="4696" ht="12.75" customHeight="1">
      <c r="A4696" s="4">
        <v>5865.0</v>
      </c>
      <c r="B4696" s="4">
        <v>41632.0</v>
      </c>
      <c r="C4696" s="5">
        <f>DATE(2012,12,31)-761</f>
        <v>40513</v>
      </c>
      <c r="D4696" s="4" t="s">
        <v>21</v>
      </c>
      <c r="E4696" s="4">
        <v>34.0</v>
      </c>
      <c r="F4696" s="4">
        <v>1541.458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5.0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ht="12.75" customHeight="1">
      <c r="A4697" s="4">
        <v>5897.0</v>
      </c>
      <c r="B4697" s="4">
        <v>41825.0</v>
      </c>
      <c r="C4697" s="5">
        <f>DATE(2012,12,31)-1227</f>
        <v>40047</v>
      </c>
      <c r="D4697" s="4" t="s">
        <v>78</v>
      </c>
      <c r="E4697" s="4">
        <v>43.0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4.0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9">C4697+1</f>
        <v>40048</v>
      </c>
    </row>
    <row r="4698" ht="12.75" customHeight="1">
      <c r="A4698" s="4">
        <v>5976.0</v>
      </c>
      <c r="B4698" s="4">
        <v>42373.0</v>
      </c>
      <c r="C4698" s="5">
        <f>DATE(2012,12,31)-502</f>
        <v>40772</v>
      </c>
      <c r="D4698" s="4" t="s">
        <v>45</v>
      </c>
      <c r="E4698" s="4">
        <v>11.0</v>
      </c>
      <c r="F4698" s="4">
        <v>127.32</v>
      </c>
      <c r="G4698" s="4">
        <v>0.1</v>
      </c>
      <c r="H4698" s="4" t="s">
        <v>56</v>
      </c>
      <c r="I4698" s="6">
        <v>22.9585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9"/>
        <v>40773</v>
      </c>
    </row>
    <row r="4699" ht="12.75" customHeight="1">
      <c r="A4699" s="4">
        <v>6277.0</v>
      </c>
      <c r="B4699" s="4">
        <v>44423.0</v>
      </c>
      <c r="C4699" s="5">
        <f>DATE(2012,12,31)-155</f>
        <v>41119</v>
      </c>
      <c r="D4699" s="4" t="s">
        <v>78</v>
      </c>
      <c r="E4699" s="4">
        <v>39.0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9"/>
        <v>41120</v>
      </c>
    </row>
    <row r="4700" ht="12.75" customHeight="1">
      <c r="A4700" s="4">
        <v>6447.0</v>
      </c>
      <c r="B4700" s="4">
        <v>45863.0</v>
      </c>
      <c r="C4700" s="5">
        <f>DATE(2012,12,31)-834</f>
        <v>40440</v>
      </c>
      <c r="D4700" s="4" t="s">
        <v>21</v>
      </c>
      <c r="E4700" s="4">
        <v>5.0</v>
      </c>
      <c r="F4700" s="4">
        <v>845.614</v>
      </c>
      <c r="G4700" s="4">
        <v>0.01</v>
      </c>
      <c r="H4700" s="4" t="s">
        <v>56</v>
      </c>
      <c r="I4700" s="6">
        <v>-653.488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ht="12.75" customHeight="1">
      <c r="A4701" s="4">
        <v>6615.0</v>
      </c>
      <c r="B4701" s="4">
        <v>47078.0</v>
      </c>
      <c r="C4701" s="5">
        <f t="shared" ref="C4701:C4703" si="1960">DATE(2012,12,31)-987</f>
        <v>40287</v>
      </c>
      <c r="D4701" s="4" t="s">
        <v>63</v>
      </c>
      <c r="E4701" s="4">
        <v>18.0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ht="12.75" customHeight="1">
      <c r="A4702" s="4">
        <v>6616.0</v>
      </c>
      <c r="B4702" s="4">
        <v>47078.0</v>
      </c>
      <c r="C4702" s="5">
        <f t="shared" si="1960"/>
        <v>40287</v>
      </c>
      <c r="D4702" s="4" t="s">
        <v>63</v>
      </c>
      <c r="E4702" s="4">
        <v>43.0</v>
      </c>
      <c r="F4702" s="4">
        <v>279.83</v>
      </c>
      <c r="G4702" s="4">
        <v>0.01</v>
      </c>
      <c r="H4702" s="4" t="s">
        <v>22</v>
      </c>
      <c r="I4702" s="6">
        <v>77.04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1">C4702+1</f>
        <v>40288</v>
      </c>
    </row>
    <row r="4703" ht="12.75" customHeight="1">
      <c r="A4703" s="4">
        <v>6617.0</v>
      </c>
      <c r="B4703" s="4">
        <v>47078.0</v>
      </c>
      <c r="C4703" s="5">
        <f t="shared" si="1960"/>
        <v>40287</v>
      </c>
      <c r="D4703" s="4" t="s">
        <v>63</v>
      </c>
      <c r="E4703" s="4">
        <v>20.0</v>
      </c>
      <c r="F4703" s="4">
        <v>98.57</v>
      </c>
      <c r="G4703" s="4">
        <v>0.07</v>
      </c>
      <c r="H4703" s="4" t="s">
        <v>22</v>
      </c>
      <c r="I4703" s="6">
        <v>-49.64</v>
      </c>
      <c r="J4703" s="4">
        <v>4.98</v>
      </c>
      <c r="K4703" s="4">
        <v>5.02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1"/>
        <v>40288</v>
      </c>
    </row>
    <row r="4704" ht="12.75" customHeight="1">
      <c r="A4704" s="4">
        <v>6703.0</v>
      </c>
      <c r="B4704" s="4">
        <v>47747.0</v>
      </c>
      <c r="C4704" s="5">
        <f>DATE(2012,12,31)-406</f>
        <v>40868</v>
      </c>
      <c r="D4704" s="4" t="s">
        <v>30</v>
      </c>
      <c r="E4704" s="4">
        <v>40.0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ht="12.75" customHeight="1">
      <c r="A4705" s="4">
        <v>6710.0</v>
      </c>
      <c r="B4705" s="4">
        <v>47810.0</v>
      </c>
      <c r="C4705" s="5">
        <f>DATE(2012,12,31)-505</f>
        <v>40769</v>
      </c>
      <c r="D4705" s="4" t="s">
        <v>78</v>
      </c>
      <c r="E4705" s="4">
        <v>3.0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</v>
      </c>
      <c r="U4705" s="5">
        <f>C4705+1</f>
        <v>40770</v>
      </c>
    </row>
    <row r="4706" ht="12.75" customHeight="1">
      <c r="A4706" s="4">
        <v>6861.0</v>
      </c>
      <c r="B4706" s="4">
        <v>48896.0</v>
      </c>
      <c r="C4706" s="5">
        <f>DATE(2012,12,31)-1160</f>
        <v>40114</v>
      </c>
      <c r="D4706" s="4" t="s">
        <v>78</v>
      </c>
      <c r="E4706" s="4">
        <v>43.0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9.54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2">C4706+2</f>
        <v>40116</v>
      </c>
    </row>
    <row r="4707" ht="12.75" customHeight="1">
      <c r="A4707" s="4">
        <v>6974.0</v>
      </c>
      <c r="B4707" s="4">
        <v>49830.0</v>
      </c>
      <c r="C4707" s="5">
        <f>DATE(2012,12,31)-1271</f>
        <v>40003</v>
      </c>
      <c r="D4707" s="4" t="s">
        <v>78</v>
      </c>
      <c r="E4707" s="4">
        <v>16.0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0.58</v>
      </c>
      <c r="U4707" s="5">
        <f t="shared" si="1962"/>
        <v>40005</v>
      </c>
    </row>
    <row r="4708" ht="12.75" customHeight="1">
      <c r="A4708" s="4">
        <v>7353.0</v>
      </c>
      <c r="B4708" s="4">
        <v>52389.0</v>
      </c>
      <c r="C4708" s="5">
        <f>DATE(2012,12,31)-437</f>
        <v>40837</v>
      </c>
      <c r="D4708" s="4" t="s">
        <v>78</v>
      </c>
      <c r="E4708" s="4">
        <v>31.0</v>
      </c>
      <c r="F4708" s="4">
        <v>655.33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3">C4708+0</f>
        <v>40837</v>
      </c>
    </row>
    <row r="4709" ht="12.75" customHeight="1">
      <c r="A4709" s="4">
        <v>7373.0</v>
      </c>
      <c r="B4709" s="4">
        <v>52576.0</v>
      </c>
      <c r="C4709" s="5">
        <f>DATE(2012,12,31)-1374</f>
        <v>39900</v>
      </c>
      <c r="D4709" s="4" t="s">
        <v>21</v>
      </c>
      <c r="E4709" s="4">
        <v>10.0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14.0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3"/>
        <v>39900</v>
      </c>
    </row>
    <row r="4710" ht="12.75" customHeight="1">
      <c r="A4710" s="4">
        <v>7510.0</v>
      </c>
      <c r="B4710" s="4">
        <v>53605.0</v>
      </c>
      <c r="C4710" s="5">
        <f t="shared" ref="C4710:C4712" si="1964">DATE(2012,12,31)-881</f>
        <v>40393</v>
      </c>
      <c r="D4710" s="4" t="s">
        <v>63</v>
      </c>
      <c r="E4710" s="4">
        <v>19.0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5">C4710+2</f>
        <v>40395</v>
      </c>
    </row>
    <row r="4711" ht="12.75" customHeight="1">
      <c r="A4711" s="4">
        <v>7511.0</v>
      </c>
      <c r="B4711" s="4">
        <v>53605.0</v>
      </c>
      <c r="C4711" s="5">
        <f t="shared" si="1964"/>
        <v>40393</v>
      </c>
      <c r="D4711" s="4" t="s">
        <v>63</v>
      </c>
      <c r="E4711" s="4">
        <v>48.0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5"/>
        <v>40395</v>
      </c>
    </row>
    <row r="4712" ht="12.75" customHeight="1">
      <c r="A4712" s="4">
        <v>7512.0</v>
      </c>
      <c r="B4712" s="4">
        <v>53605.0</v>
      </c>
      <c r="C4712" s="5">
        <f t="shared" si="1964"/>
        <v>40393</v>
      </c>
      <c r="D4712" s="4" t="s">
        <v>63</v>
      </c>
      <c r="E4712" s="4">
        <v>1.0</v>
      </c>
      <c r="F4712" s="4">
        <v>74.31</v>
      </c>
      <c r="G4712" s="4">
        <v>0.07</v>
      </c>
      <c r="H4712" s="4" t="s">
        <v>22</v>
      </c>
      <c r="I4712" s="6">
        <v>-73.1</v>
      </c>
      <c r="J4712" s="4">
        <v>41.47</v>
      </c>
      <c r="K4712" s="4">
        <v>34.2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5"/>
        <v>40395</v>
      </c>
    </row>
    <row r="4713" ht="12.75" customHeight="1">
      <c r="A4713" s="4">
        <v>7536.0</v>
      </c>
      <c r="B4713" s="4">
        <v>53891.0</v>
      </c>
      <c r="C4713" s="5">
        <f t="shared" ref="C4713:C4715" si="1966">DATE(2012,12,31)-1439</f>
        <v>39835</v>
      </c>
      <c r="D4713" s="4" t="s">
        <v>30</v>
      </c>
      <c r="E4713" s="4">
        <v>27.0</v>
      </c>
      <c r="F4713" s="4">
        <v>4584.73</v>
      </c>
      <c r="G4713" s="4">
        <v>0.07</v>
      </c>
      <c r="H4713" s="4" t="s">
        <v>22</v>
      </c>
      <c r="I4713" s="6">
        <v>812.38</v>
      </c>
      <c r="J4713" s="4">
        <v>179.99</v>
      </c>
      <c r="K4713" s="4">
        <v>19.99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7">C4713+1</f>
        <v>39836</v>
      </c>
    </row>
    <row r="4714" ht="12.75" customHeight="1">
      <c r="A4714" s="4">
        <v>7537.0</v>
      </c>
      <c r="B4714" s="4">
        <v>53891.0</v>
      </c>
      <c r="C4714" s="5">
        <f t="shared" si="1966"/>
        <v>39835</v>
      </c>
      <c r="D4714" s="4" t="s">
        <v>30</v>
      </c>
      <c r="E4714" s="4">
        <v>44.0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7"/>
        <v>39836</v>
      </c>
    </row>
    <row r="4715" ht="12.75" customHeight="1">
      <c r="A4715" s="4">
        <v>7538.0</v>
      </c>
      <c r="B4715" s="4">
        <v>53891.0</v>
      </c>
      <c r="C4715" s="5">
        <f t="shared" si="1966"/>
        <v>39835</v>
      </c>
      <c r="D4715" s="4" t="s">
        <v>30</v>
      </c>
      <c r="E4715" s="4">
        <v>25.0</v>
      </c>
      <c r="F4715" s="4">
        <v>2570.944</v>
      </c>
      <c r="G4715" s="4">
        <v>0.03</v>
      </c>
      <c r="H4715" s="4" t="s">
        <v>56</v>
      </c>
      <c r="I4715" s="6">
        <v>553.356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0.58</v>
      </c>
      <c r="U4715" s="5">
        <f t="shared" si="1967"/>
        <v>39836</v>
      </c>
    </row>
    <row r="4716" ht="12.75" customHeight="1">
      <c r="A4716" s="4">
        <v>7748.0</v>
      </c>
      <c r="B4716" s="4">
        <v>55460.0</v>
      </c>
      <c r="C4716" s="5">
        <f t="shared" ref="C4716:C4717" si="1968">DATE(2012,12,31)-219</f>
        <v>41055</v>
      </c>
      <c r="D4716" s="4" t="s">
        <v>30</v>
      </c>
      <c r="E4716" s="4">
        <v>49.0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</v>
      </c>
      <c r="U4716" s="5">
        <f>C4716+2</f>
        <v>41057</v>
      </c>
    </row>
    <row r="4717" ht="12.75" customHeight="1">
      <c r="A4717" s="4">
        <v>7749.0</v>
      </c>
      <c r="B4717" s="4">
        <v>55460.0</v>
      </c>
      <c r="C4717" s="5">
        <f t="shared" si="1968"/>
        <v>41055</v>
      </c>
      <c r="D4717" s="4" t="s">
        <v>30</v>
      </c>
      <c r="E4717" s="4">
        <v>12.0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ht="12.75" customHeight="1">
      <c r="A4718" s="4">
        <v>7815.0</v>
      </c>
      <c r="B4718" s="4">
        <v>55877.0</v>
      </c>
      <c r="C4718" s="5">
        <f t="shared" ref="C4718:C4719" si="1969">DATE(2012,12,31)-1063</f>
        <v>40211</v>
      </c>
      <c r="D4718" s="4" t="s">
        <v>45</v>
      </c>
      <c r="E4718" s="4">
        <v>40.0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ht="12.75" customHeight="1">
      <c r="A4719" s="4">
        <v>7816.0</v>
      </c>
      <c r="B4719" s="4">
        <v>55877.0</v>
      </c>
      <c r="C4719" s="5">
        <f t="shared" si="1969"/>
        <v>40211</v>
      </c>
      <c r="D4719" s="4" t="s">
        <v>45</v>
      </c>
      <c r="E4719" s="4">
        <v>19.0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70">C4719+1</f>
        <v>40212</v>
      </c>
    </row>
    <row r="4720" ht="12.75" customHeight="1">
      <c r="A4720" s="4">
        <v>7927.0</v>
      </c>
      <c r="B4720" s="4">
        <v>56647.0</v>
      </c>
      <c r="C4720" s="5">
        <f>DATE(2012,12,31)-516</f>
        <v>40758</v>
      </c>
      <c r="D4720" s="4" t="s">
        <v>63</v>
      </c>
      <c r="E4720" s="4">
        <v>41.0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0.57</v>
      </c>
      <c r="U4720" s="5">
        <f t="shared" si="1970"/>
        <v>40759</v>
      </c>
    </row>
    <row r="4721" ht="12.75" customHeight="1">
      <c r="A4721" s="4">
        <v>8044.0</v>
      </c>
      <c r="B4721" s="4">
        <v>57475.0</v>
      </c>
      <c r="C4721" s="5">
        <f t="shared" ref="C4721:C4724" si="1971">DATE(2012,12,31)-819</f>
        <v>40455</v>
      </c>
      <c r="D4721" s="4" t="s">
        <v>21</v>
      </c>
      <c r="E4721" s="4">
        <v>32.0</v>
      </c>
      <c r="F4721" s="4">
        <v>167.07</v>
      </c>
      <c r="G4721" s="4">
        <v>0.04</v>
      </c>
      <c r="H4721" s="4" t="s">
        <v>22</v>
      </c>
      <c r="I4721" s="6">
        <v>-93.23049999999999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ht="12.75" customHeight="1">
      <c r="A4722" s="4">
        <v>8045.0</v>
      </c>
      <c r="B4722" s="4">
        <v>57475.0</v>
      </c>
      <c r="C4722" s="5">
        <f t="shared" si="1971"/>
        <v>40455</v>
      </c>
      <c r="D4722" s="4" t="s">
        <v>21</v>
      </c>
      <c r="E4722" s="4">
        <v>34.0</v>
      </c>
      <c r="F4722" s="4">
        <v>554.88</v>
      </c>
      <c r="G4722" s="4">
        <v>0.06</v>
      </c>
      <c r="H4722" s="4" t="s">
        <v>22</v>
      </c>
      <c r="I4722" s="6">
        <v>-145.3255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2">C4722+0</f>
        <v>40455</v>
      </c>
    </row>
    <row r="4723" ht="12.75" customHeight="1">
      <c r="A4723" s="4">
        <v>8046.0</v>
      </c>
      <c r="B4723" s="4">
        <v>57475.0</v>
      </c>
      <c r="C4723" s="5">
        <f t="shared" si="1971"/>
        <v>40455</v>
      </c>
      <c r="D4723" s="4" t="s">
        <v>21</v>
      </c>
      <c r="E4723" s="4">
        <v>48.0</v>
      </c>
      <c r="F4723" s="4">
        <v>309.65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2"/>
        <v>40455</v>
      </c>
    </row>
    <row r="4724" ht="12.75" customHeight="1">
      <c r="A4724" s="4">
        <v>8047.0</v>
      </c>
      <c r="B4724" s="4">
        <v>57475.0</v>
      </c>
      <c r="C4724" s="5">
        <f t="shared" si="1971"/>
        <v>40455</v>
      </c>
      <c r="D4724" s="4" t="s">
        <v>21</v>
      </c>
      <c r="E4724" s="4">
        <v>24.0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ht="12.75" customHeight="1">
      <c r="A4725" s="4">
        <v>8062.0</v>
      </c>
      <c r="B4725" s="4">
        <v>57537.0</v>
      </c>
      <c r="C4725" s="5">
        <f t="shared" ref="C4725:C4727" si="1973">DATE(2012,12,31)-104</f>
        <v>41170</v>
      </c>
      <c r="D4725" s="4" t="s">
        <v>63</v>
      </c>
      <c r="E4725" s="4">
        <v>13.0</v>
      </c>
      <c r="F4725" s="4">
        <v>76.38</v>
      </c>
      <c r="G4725" s="4">
        <v>0.03</v>
      </c>
      <c r="H4725" s="4" t="s">
        <v>56</v>
      </c>
      <c r="I4725" s="6">
        <v>-29.693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4">C4725+1</f>
        <v>41171</v>
      </c>
    </row>
    <row r="4726" ht="12.75" customHeight="1">
      <c r="A4726" s="4">
        <v>8063.0</v>
      </c>
      <c r="B4726" s="4">
        <v>57537.0</v>
      </c>
      <c r="C4726" s="5">
        <f t="shared" si="1973"/>
        <v>41170</v>
      </c>
      <c r="D4726" s="4" t="s">
        <v>63</v>
      </c>
      <c r="E4726" s="4">
        <v>29.0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4"/>
        <v>41171</v>
      </c>
    </row>
    <row r="4727" ht="12.75" customHeight="1">
      <c r="A4727" s="4">
        <v>8064.0</v>
      </c>
      <c r="B4727" s="4">
        <v>57537.0</v>
      </c>
      <c r="C4727" s="5">
        <f t="shared" si="1973"/>
        <v>41170</v>
      </c>
      <c r="D4727" s="4" t="s">
        <v>63</v>
      </c>
      <c r="E4727" s="4">
        <v>4.0</v>
      </c>
      <c r="F4727" s="4">
        <v>18.33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ht="12.75" customHeight="1">
      <c r="A4728" s="4">
        <v>8087.0</v>
      </c>
      <c r="B4728" s="4">
        <v>57698.0</v>
      </c>
      <c r="C4728" s="5">
        <f t="shared" ref="C4728:C4729" si="1975">DATE(2012,12,31)-360</f>
        <v>40914</v>
      </c>
      <c r="D4728" s="4" t="s">
        <v>78</v>
      </c>
      <c r="E4728" s="4">
        <v>10.0</v>
      </c>
      <c r="F4728" s="4">
        <v>86.0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0.58</v>
      </c>
      <c r="U4728" s="5">
        <f>C4728+1</f>
        <v>40915</v>
      </c>
    </row>
    <row r="4729" ht="12.75" customHeight="1">
      <c r="A4729" s="4">
        <v>8088.0</v>
      </c>
      <c r="B4729" s="4">
        <v>57698.0</v>
      </c>
      <c r="C4729" s="5">
        <f t="shared" si="1975"/>
        <v>40914</v>
      </c>
      <c r="D4729" s="4" t="s">
        <v>78</v>
      </c>
      <c r="E4729" s="4">
        <v>13.0</v>
      </c>
      <c r="F4729" s="4">
        <v>4805.36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19.99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0.57</v>
      </c>
      <c r="U4729" s="5">
        <f>C4729+2</f>
        <v>40916</v>
      </c>
    </row>
    <row r="4730" ht="12.75" customHeight="1">
      <c r="A4730" s="4">
        <v>8143.0</v>
      </c>
      <c r="B4730" s="4">
        <v>58241.0</v>
      </c>
      <c r="C4730" s="5">
        <f t="shared" ref="C4730:C4731" si="1976">DATE(2012,12,31)-846</f>
        <v>40428</v>
      </c>
      <c r="D4730" s="4" t="s">
        <v>78</v>
      </c>
      <c r="E4730" s="4">
        <v>36.0</v>
      </c>
      <c r="F4730" s="4">
        <v>146.71</v>
      </c>
      <c r="G4730" s="4">
        <v>0.01</v>
      </c>
      <c r="H4730" s="4" t="s">
        <v>22</v>
      </c>
      <c r="I4730" s="6">
        <v>38.63</v>
      </c>
      <c r="J4730" s="4">
        <v>4.0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7">C4730+1</f>
        <v>40429</v>
      </c>
    </row>
    <row r="4731" ht="12.75" customHeight="1">
      <c r="A4731" s="4">
        <v>8144.0</v>
      </c>
      <c r="B4731" s="4">
        <v>58241.0</v>
      </c>
      <c r="C4731" s="5">
        <f t="shared" si="1976"/>
        <v>40428</v>
      </c>
      <c r="D4731" s="4" t="s">
        <v>78</v>
      </c>
      <c r="E4731" s="4">
        <v>36.0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7"/>
        <v>40429</v>
      </c>
    </row>
    <row r="4732" ht="12.75" customHeight="1">
      <c r="A4732" s="4">
        <v>16.0</v>
      </c>
      <c r="B4732" s="4">
        <v>96.0</v>
      </c>
      <c r="C4732" s="5">
        <f>DATE(2012,12,31)-1355</f>
        <v>39919</v>
      </c>
      <c r="D4732" s="4" t="s">
        <v>30</v>
      </c>
      <c r="E4732" s="4">
        <v>37.0</v>
      </c>
      <c r="F4732" s="4">
        <v>4158.1235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</v>
      </c>
      <c r="U4732" s="5">
        <f t="shared" ref="U4732:U4737" si="1978">C4732+2</f>
        <v>39921</v>
      </c>
    </row>
    <row r="4733" ht="12.75" customHeight="1">
      <c r="A4733" s="4">
        <v>93.0</v>
      </c>
      <c r="B4733" s="4">
        <v>610.0</v>
      </c>
      <c r="C4733" s="5">
        <f>DATE(2012,12,31)-518</f>
        <v>40756</v>
      </c>
      <c r="D4733" s="4" t="s">
        <v>78</v>
      </c>
      <c r="E4733" s="4">
        <v>38.0</v>
      </c>
      <c r="F4733" s="4">
        <v>283.65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8"/>
        <v>40758</v>
      </c>
    </row>
    <row r="4734" ht="12.75" customHeight="1">
      <c r="A4734" s="4">
        <v>95.0</v>
      </c>
      <c r="B4734" s="4">
        <v>612.0</v>
      </c>
      <c r="C4734" s="5">
        <f t="shared" ref="C4734:C4735" si="1979">DATE(2012,12,31)-72</f>
        <v>41202</v>
      </c>
      <c r="D4734" s="4" t="s">
        <v>63</v>
      </c>
      <c r="E4734" s="4">
        <v>50.0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8"/>
        <v>41204</v>
      </c>
    </row>
    <row r="4735" ht="12.75" customHeight="1">
      <c r="A4735" s="4">
        <v>96.0</v>
      </c>
      <c r="B4735" s="4">
        <v>612.0</v>
      </c>
      <c r="C4735" s="5">
        <f t="shared" si="1979"/>
        <v>41202</v>
      </c>
      <c r="D4735" s="4" t="s">
        <v>63</v>
      </c>
      <c r="E4735" s="4">
        <v>43.0</v>
      </c>
      <c r="F4735" s="4">
        <v>2531.0875</v>
      </c>
      <c r="G4735" s="4">
        <v>0.01</v>
      </c>
      <c r="H4735" s="4" t="s">
        <v>22</v>
      </c>
      <c r="I4735" s="6">
        <v>881.6759999999999</v>
      </c>
      <c r="J4735" s="4">
        <v>65.99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</v>
      </c>
      <c r="U4735" s="5">
        <f t="shared" si="1978"/>
        <v>41204</v>
      </c>
    </row>
    <row r="4736" ht="12.75" customHeight="1">
      <c r="A4736" s="4">
        <v>216.0</v>
      </c>
      <c r="B4736" s="4">
        <v>1440.0</v>
      </c>
      <c r="C4736" s="5">
        <f>DATE(2012,12,31)-510</f>
        <v>40764</v>
      </c>
      <c r="D4736" s="4" t="s">
        <v>21</v>
      </c>
      <c r="E4736" s="4">
        <v>41.0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8"/>
        <v>40766</v>
      </c>
    </row>
    <row r="4737" ht="12.75" customHeight="1">
      <c r="A4737" s="4">
        <v>553.0</v>
      </c>
      <c r="B4737" s="4">
        <v>3749.0</v>
      </c>
      <c r="C4737" s="5">
        <f>DATE(2012,12,31)-677</f>
        <v>40597</v>
      </c>
      <c r="D4737" s="4" t="s">
        <v>63</v>
      </c>
      <c r="E4737" s="4">
        <v>27.0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8"/>
        <v>40599</v>
      </c>
    </row>
    <row r="4738" ht="12.75" customHeight="1">
      <c r="A4738" s="4">
        <v>598.0</v>
      </c>
      <c r="B4738" s="4">
        <v>4070.0</v>
      </c>
      <c r="C4738" s="5">
        <f>DATE(2012,12,31)-569</f>
        <v>40705</v>
      </c>
      <c r="D4738" s="4" t="s">
        <v>30</v>
      </c>
      <c r="E4738" s="4">
        <v>22.0</v>
      </c>
      <c r="F4738" s="4">
        <v>646.07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ht="12.75" customHeight="1">
      <c r="A4739" s="4">
        <v>687.0</v>
      </c>
      <c r="B4739" s="4">
        <v>4774.0</v>
      </c>
      <c r="C4739" s="5">
        <f>DATE(2012,12,31)-987</f>
        <v>40287</v>
      </c>
      <c r="D4739" s="4" t="s">
        <v>63</v>
      </c>
      <c r="E4739" s="4">
        <v>4.0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32.98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ht="12.75" customHeight="1">
      <c r="A4740" s="4">
        <v>958.0</v>
      </c>
      <c r="B4740" s="4">
        <v>6947.0</v>
      </c>
      <c r="C4740" s="5">
        <f>DATE(2012,12,31)-531</f>
        <v>40743</v>
      </c>
      <c r="D4740" s="4" t="s">
        <v>78</v>
      </c>
      <c r="E4740" s="4">
        <v>9.0</v>
      </c>
      <c r="F4740" s="4">
        <v>520.49</v>
      </c>
      <c r="G4740" s="4">
        <v>0.0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ht="12.75" customHeight="1">
      <c r="A4741" s="4">
        <v>962.0</v>
      </c>
      <c r="B4741" s="4">
        <v>6979.0</v>
      </c>
      <c r="C4741" s="5">
        <f>DATE(2012,12,31)-1403</f>
        <v>39871</v>
      </c>
      <c r="D4741" s="4" t="s">
        <v>78</v>
      </c>
      <c r="E4741" s="4">
        <v>28.0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ht="12.75" customHeight="1">
      <c r="A4742" s="4">
        <v>985.0</v>
      </c>
      <c r="B4742" s="4">
        <v>7107.0</v>
      </c>
      <c r="C4742" s="5">
        <f t="shared" ref="C4742:C4744" si="1980">DATE(2012,12,31)-362</f>
        <v>40912</v>
      </c>
      <c r="D4742" s="4" t="s">
        <v>45</v>
      </c>
      <c r="E4742" s="4">
        <v>3.0</v>
      </c>
      <c r="F4742" s="4">
        <v>172.04</v>
      </c>
      <c r="G4742" s="4">
        <v>0.02</v>
      </c>
      <c r="H4742" s="4" t="s">
        <v>22</v>
      </c>
      <c r="I4742" s="6">
        <v>143.08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ht="12.75" customHeight="1">
      <c r="A4743" s="4">
        <v>986.0</v>
      </c>
      <c r="B4743" s="4">
        <v>7107.0</v>
      </c>
      <c r="C4743" s="5">
        <f t="shared" si="1980"/>
        <v>40912</v>
      </c>
      <c r="D4743" s="4" t="s">
        <v>45</v>
      </c>
      <c r="E4743" s="4">
        <v>3.0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ht="12.75" customHeight="1">
      <c r="A4744" s="4">
        <v>987.0</v>
      </c>
      <c r="B4744" s="4">
        <v>7107.0</v>
      </c>
      <c r="C4744" s="5">
        <f t="shared" si="1980"/>
        <v>40912</v>
      </c>
      <c r="D4744" s="4" t="s">
        <v>45</v>
      </c>
      <c r="E4744" s="4">
        <v>32.0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1">C4744+1</f>
        <v>40913</v>
      </c>
    </row>
    <row r="4745" ht="12.75" customHeight="1">
      <c r="A4745" s="4">
        <v>1132.0</v>
      </c>
      <c r="B4745" s="4">
        <v>8288.0</v>
      </c>
      <c r="C4745" s="5">
        <f>DATE(2012,12,31)-602</f>
        <v>40672</v>
      </c>
      <c r="D4745" s="4" t="s">
        <v>78</v>
      </c>
      <c r="E4745" s="4">
        <v>22.0</v>
      </c>
      <c r="F4745" s="4">
        <v>1337.81</v>
      </c>
      <c r="G4745" s="4">
        <v>0.02</v>
      </c>
      <c r="H4745" s="4" t="s">
        <v>22</v>
      </c>
      <c r="I4745" s="6">
        <v>407.116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1"/>
        <v>40673</v>
      </c>
    </row>
    <row r="4746" ht="12.75" customHeight="1">
      <c r="A4746" s="4">
        <v>1187.0</v>
      </c>
      <c r="B4746" s="4">
        <v>8678.0</v>
      </c>
      <c r="C4746" s="5">
        <f>DATE(2012,12,31)-92</f>
        <v>41182</v>
      </c>
      <c r="D4746" s="4" t="s">
        <v>21</v>
      </c>
      <c r="E4746" s="4">
        <v>31.0</v>
      </c>
      <c r="F4746" s="4">
        <v>937.8</v>
      </c>
      <c r="G4746" s="4">
        <v>0.0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ht="12.75" customHeight="1">
      <c r="A4747" s="4">
        <v>1480.0</v>
      </c>
      <c r="B4747" s="4">
        <v>10659.0</v>
      </c>
      <c r="C4747" s="5">
        <f>DATE(2012,12,31)-1327</f>
        <v>39947</v>
      </c>
      <c r="D4747" s="4" t="s">
        <v>78</v>
      </c>
      <c r="E4747" s="4">
        <v>40.0</v>
      </c>
      <c r="F4747" s="4">
        <v>227.37</v>
      </c>
      <c r="G4747" s="4">
        <v>0.0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ht="12.75" customHeight="1">
      <c r="A4748" s="4">
        <v>1489.0</v>
      </c>
      <c r="B4748" s="4">
        <v>10695.0</v>
      </c>
      <c r="C4748" s="5">
        <f>DATE(2012,12,31)-609</f>
        <v>40665</v>
      </c>
      <c r="D4748" s="4" t="s">
        <v>30</v>
      </c>
      <c r="E4748" s="4">
        <v>39.0</v>
      </c>
      <c r="F4748" s="4">
        <v>6330.085999999999</v>
      </c>
      <c r="G4748" s="4">
        <v>0.1</v>
      </c>
      <c r="H4748" s="4" t="s">
        <v>22</v>
      </c>
      <c r="I4748" s="6">
        <v>1421.892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2">C4748+1</f>
        <v>40666</v>
      </c>
    </row>
    <row r="4749" ht="12.75" customHeight="1">
      <c r="A4749" s="4">
        <v>1620.0</v>
      </c>
      <c r="B4749" s="4">
        <v>11719.0</v>
      </c>
      <c r="C4749" s="5">
        <f t="shared" ref="C4749:C4751" si="1983">DATE(2012,12,31)-695</f>
        <v>40579</v>
      </c>
      <c r="D4749" s="4" t="s">
        <v>45</v>
      </c>
      <c r="E4749" s="4">
        <v>3.0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2"/>
        <v>40580</v>
      </c>
    </row>
    <row r="4750" ht="12.75" customHeight="1">
      <c r="A4750" s="4">
        <v>1621.0</v>
      </c>
      <c r="B4750" s="4">
        <v>11719.0</v>
      </c>
      <c r="C4750" s="5">
        <f t="shared" si="1983"/>
        <v>40579</v>
      </c>
      <c r="D4750" s="4" t="s">
        <v>45</v>
      </c>
      <c r="E4750" s="4">
        <v>30.0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4">C4750+0</f>
        <v>40579</v>
      </c>
    </row>
    <row r="4751" ht="12.75" customHeight="1">
      <c r="A4751" s="4">
        <v>1622.0</v>
      </c>
      <c r="B4751" s="4">
        <v>11719.0</v>
      </c>
      <c r="C4751" s="5">
        <f t="shared" si="1983"/>
        <v>40579</v>
      </c>
      <c r="D4751" s="4" t="s">
        <v>45</v>
      </c>
      <c r="E4751" s="4">
        <v>17.0</v>
      </c>
      <c r="F4751" s="4">
        <v>438.6085</v>
      </c>
      <c r="G4751" s="4">
        <v>0.01</v>
      </c>
      <c r="H4751" s="4" t="s">
        <v>22</v>
      </c>
      <c r="I4751" s="6">
        <v>-56.045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</v>
      </c>
      <c r="U4751" s="5">
        <f t="shared" si="1984"/>
        <v>40579</v>
      </c>
    </row>
    <row r="4752" ht="12.75" customHeight="1">
      <c r="A4752" s="4">
        <v>1651.0</v>
      </c>
      <c r="B4752" s="4">
        <v>11908.0</v>
      </c>
      <c r="C4752" s="5">
        <f>DATE(2012,12,31)-951</f>
        <v>40323</v>
      </c>
      <c r="D4752" s="4" t="s">
        <v>45</v>
      </c>
      <c r="E4752" s="4">
        <v>5.0</v>
      </c>
      <c r="F4752" s="4">
        <v>1386.6</v>
      </c>
      <c r="G4752" s="4">
        <v>0.09</v>
      </c>
      <c r="H4752" s="4" t="s">
        <v>31</v>
      </c>
      <c r="I4752" s="6">
        <v>-556.18</v>
      </c>
      <c r="J4752" s="4">
        <v>280.98</v>
      </c>
      <c r="K4752" s="4">
        <v>57.0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5">C4752+2</f>
        <v>40325</v>
      </c>
    </row>
    <row r="4753" ht="12.75" customHeight="1">
      <c r="A4753" s="4">
        <v>1923.0</v>
      </c>
      <c r="B4753" s="4">
        <v>13765.0</v>
      </c>
      <c r="C4753" s="5">
        <f>DATE(2012,12,31)-1366</f>
        <v>39908</v>
      </c>
      <c r="D4753" s="4" t="s">
        <v>45</v>
      </c>
      <c r="E4753" s="4">
        <v>45.0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36.55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5"/>
        <v>39910</v>
      </c>
    </row>
    <row r="4754" ht="12.75" customHeight="1">
      <c r="A4754" s="4">
        <v>1967.0</v>
      </c>
      <c r="B4754" s="4">
        <v>14055.0</v>
      </c>
      <c r="C4754" s="5">
        <f>DATE(2012,12,31)-1217</f>
        <v>40057</v>
      </c>
      <c r="D4754" s="4" t="s">
        <v>30</v>
      </c>
      <c r="E4754" s="4">
        <v>21.0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5"/>
        <v>40059</v>
      </c>
    </row>
    <row r="4755" ht="12.75" customHeight="1">
      <c r="A4755" s="4">
        <v>2010.0</v>
      </c>
      <c r="B4755" s="4">
        <v>14342.0</v>
      </c>
      <c r="C4755" s="5">
        <f>DATE(2012,12,31)-1344</f>
        <v>39930</v>
      </c>
      <c r="D4755" s="4" t="s">
        <v>21</v>
      </c>
      <c r="E4755" s="4">
        <v>38.0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6">C4755+0</f>
        <v>39930</v>
      </c>
    </row>
    <row r="4756" ht="12.75" customHeight="1">
      <c r="A4756" s="4">
        <v>2063.0</v>
      </c>
      <c r="B4756" s="4">
        <v>14756.0</v>
      </c>
      <c r="C4756" s="5">
        <f>DATE(2012,12,31)-1218</f>
        <v>40056</v>
      </c>
      <c r="D4756" s="4" t="s">
        <v>21</v>
      </c>
      <c r="E4756" s="4">
        <v>2.0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6"/>
        <v>40056</v>
      </c>
    </row>
    <row r="4757" ht="12.75" customHeight="1">
      <c r="A4757" s="4">
        <v>2065.0</v>
      </c>
      <c r="B4757" s="4">
        <v>14785.0</v>
      </c>
      <c r="C4757" s="5">
        <f t="shared" ref="C4757:C4758" si="1987">DATE(2012,12,31)-1179</f>
        <v>40095</v>
      </c>
      <c r="D4757" s="4" t="s">
        <v>30</v>
      </c>
      <c r="E4757" s="4">
        <v>20.0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6"/>
        <v>40095</v>
      </c>
    </row>
    <row r="4758" ht="12.75" customHeight="1">
      <c r="A4758" s="4">
        <v>2066.0</v>
      </c>
      <c r="B4758" s="4">
        <v>14785.0</v>
      </c>
      <c r="C4758" s="5">
        <f t="shared" si="1987"/>
        <v>40095</v>
      </c>
      <c r="D4758" s="4" t="s">
        <v>30</v>
      </c>
      <c r="E4758" s="4">
        <v>25.0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</v>
      </c>
      <c r="U4758" s="5">
        <f>C4758+1</f>
        <v>40096</v>
      </c>
    </row>
    <row r="4759" ht="12.75" customHeight="1">
      <c r="A4759" s="4">
        <v>2079.0</v>
      </c>
      <c r="B4759" s="4">
        <v>14855.0</v>
      </c>
      <c r="C4759" s="5">
        <f t="shared" ref="C4759:C4761" si="1988">DATE(2012,12,31)-976</f>
        <v>40298</v>
      </c>
      <c r="D4759" s="4" t="s">
        <v>45</v>
      </c>
      <c r="E4759" s="4">
        <v>44.0</v>
      </c>
      <c r="F4759" s="4">
        <v>174.9</v>
      </c>
      <c r="G4759" s="4">
        <v>0.06</v>
      </c>
      <c r="H4759" s="4" t="s">
        <v>56</v>
      </c>
      <c r="I4759" s="6">
        <v>-150.903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9">C4759+2</f>
        <v>40300</v>
      </c>
    </row>
    <row r="4760" ht="12.75" customHeight="1">
      <c r="A4760" s="4">
        <v>2080.0</v>
      </c>
      <c r="B4760" s="4">
        <v>14855.0</v>
      </c>
      <c r="C4760" s="5">
        <f t="shared" si="1988"/>
        <v>40298</v>
      </c>
      <c r="D4760" s="4" t="s">
        <v>45</v>
      </c>
      <c r="E4760" s="4">
        <v>48.0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9"/>
        <v>40300</v>
      </c>
    </row>
    <row r="4761" ht="12.75" customHeight="1">
      <c r="A4761" s="4">
        <v>2081.0</v>
      </c>
      <c r="B4761" s="4">
        <v>14855.0</v>
      </c>
      <c r="C4761" s="5">
        <f t="shared" si="1988"/>
        <v>40298</v>
      </c>
      <c r="D4761" s="4" t="s">
        <v>45</v>
      </c>
      <c r="E4761" s="4">
        <v>19.0</v>
      </c>
      <c r="F4761" s="4">
        <v>2557.51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9"/>
        <v>40300</v>
      </c>
    </row>
    <row r="4762" ht="12.75" customHeight="1">
      <c r="A4762" s="4">
        <v>2105.0</v>
      </c>
      <c r="B4762" s="4">
        <v>15045.0</v>
      </c>
      <c r="C4762" s="5">
        <f>DATE(2012,12,31)-864</f>
        <v>40410</v>
      </c>
      <c r="D4762" s="4" t="s">
        <v>45</v>
      </c>
      <c r="E4762" s="4">
        <v>11.0</v>
      </c>
      <c r="F4762" s="4">
        <v>1378.72</v>
      </c>
      <c r="G4762" s="4">
        <v>0.07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9"/>
        <v>40412</v>
      </c>
    </row>
    <row r="4763" ht="12.75" customHeight="1">
      <c r="A4763" s="4">
        <v>2266.0</v>
      </c>
      <c r="B4763" s="4">
        <v>16289.0</v>
      </c>
      <c r="C4763" s="5">
        <f>DATE(2012,12,31)-898</f>
        <v>40376</v>
      </c>
      <c r="D4763" s="4" t="s">
        <v>30</v>
      </c>
      <c r="E4763" s="4">
        <v>49.0</v>
      </c>
      <c r="F4763" s="4">
        <v>5610.612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0.58</v>
      </c>
      <c r="U4763" s="5">
        <f t="shared" si="1989"/>
        <v>40378</v>
      </c>
    </row>
    <row r="4764" ht="12.75" customHeight="1">
      <c r="A4764" s="4">
        <v>2718.0</v>
      </c>
      <c r="B4764" s="4">
        <v>19621.0</v>
      </c>
      <c r="C4764" s="5">
        <f t="shared" ref="C4764:C4765" si="1990">DATE(2012,12,31)-481</f>
        <v>40793</v>
      </c>
      <c r="D4764" s="4" t="s">
        <v>78</v>
      </c>
      <c r="E4764" s="4">
        <v>20.0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1">C4764+1</f>
        <v>40794</v>
      </c>
    </row>
    <row r="4765" ht="12.75" customHeight="1">
      <c r="A4765" s="4">
        <v>2719.0</v>
      </c>
      <c r="B4765" s="4">
        <v>19621.0</v>
      </c>
      <c r="C4765" s="5">
        <f t="shared" si="1990"/>
        <v>40793</v>
      </c>
      <c r="D4765" s="4" t="s">
        <v>78</v>
      </c>
      <c r="E4765" s="4">
        <v>15.0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1"/>
        <v>40794</v>
      </c>
    </row>
    <row r="4766" ht="12.75" customHeight="1">
      <c r="A4766" s="4">
        <v>2771.0</v>
      </c>
      <c r="B4766" s="4">
        <v>20036.0</v>
      </c>
      <c r="C4766" s="5">
        <f t="shared" ref="C4766:C4767" si="1992">DATE(2012,12,31)-757</f>
        <v>40517</v>
      </c>
      <c r="D4766" s="4" t="s">
        <v>45</v>
      </c>
      <c r="E4766" s="4">
        <v>28.0</v>
      </c>
      <c r="F4766" s="4">
        <v>4371.92</v>
      </c>
      <c r="G4766" s="4">
        <v>0.03</v>
      </c>
      <c r="H4766" s="4" t="s">
        <v>31</v>
      </c>
      <c r="I4766" s="6">
        <v>-533.44</v>
      </c>
      <c r="J4766" s="4">
        <v>150.98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ht="12.75" customHeight="1">
      <c r="A4767" s="4">
        <v>2772.0</v>
      </c>
      <c r="B4767" s="4">
        <v>20036.0</v>
      </c>
      <c r="C4767" s="5">
        <f t="shared" si="1992"/>
        <v>40517</v>
      </c>
      <c r="D4767" s="4" t="s">
        <v>45</v>
      </c>
      <c r="E4767" s="4">
        <v>21.0</v>
      </c>
      <c r="F4767" s="4">
        <v>1745.118</v>
      </c>
      <c r="G4767" s="4">
        <v>0.03</v>
      </c>
      <c r="H4767" s="4" t="s">
        <v>22</v>
      </c>
      <c r="I4767" s="6">
        <v>307.251</v>
      </c>
      <c r="J4767" s="4">
        <v>95.99</v>
      </c>
      <c r="K4767" s="4">
        <v>4.9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</v>
      </c>
      <c r="U4767" s="5">
        <f>C4767+2</f>
        <v>40519</v>
      </c>
    </row>
    <row r="4768" ht="12.75" customHeight="1">
      <c r="A4768" s="4">
        <v>2880.0</v>
      </c>
      <c r="B4768" s="4">
        <v>20773.0</v>
      </c>
      <c r="C4768" s="5">
        <f>DATE(2012,12,31)-1397</f>
        <v>39877</v>
      </c>
      <c r="D4768" s="4" t="s">
        <v>45</v>
      </c>
      <c r="E4768" s="4">
        <v>44.0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ht="12.75" customHeight="1">
      <c r="A4769" s="4">
        <v>2909.0</v>
      </c>
      <c r="B4769" s="4">
        <v>20967.0</v>
      </c>
      <c r="C4769" s="5">
        <f t="shared" ref="C4769:C4770" si="1993">DATE(2012,12,31)-657</f>
        <v>40617</v>
      </c>
      <c r="D4769" s="4" t="s">
        <v>30</v>
      </c>
      <c r="E4769" s="4">
        <v>50.0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ht="12.75" customHeight="1">
      <c r="A4770" s="4">
        <v>2910.0</v>
      </c>
      <c r="B4770" s="4">
        <v>20967.0</v>
      </c>
      <c r="C4770" s="5">
        <f t="shared" si="1993"/>
        <v>40617</v>
      </c>
      <c r="D4770" s="4" t="s">
        <v>30</v>
      </c>
      <c r="E4770" s="4">
        <v>6.0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0.57</v>
      </c>
      <c r="U4770" s="5">
        <f>C4770+1</f>
        <v>40618</v>
      </c>
    </row>
    <row r="4771" ht="12.75" customHeight="1">
      <c r="A4771" s="4">
        <v>2974.0</v>
      </c>
      <c r="B4771" s="4">
        <v>21478.0</v>
      </c>
      <c r="C4771" s="5">
        <f t="shared" ref="C4771:C4772" si="1994">DATE(2012,12,31)-304</f>
        <v>40970</v>
      </c>
      <c r="D4771" s="4" t="s">
        <v>21</v>
      </c>
      <c r="E4771" s="4">
        <v>16.0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ht="12.75" customHeight="1">
      <c r="A4772" s="4">
        <v>2975.0</v>
      </c>
      <c r="B4772" s="4">
        <v>21478.0</v>
      </c>
      <c r="C4772" s="5">
        <f t="shared" si="1994"/>
        <v>40970</v>
      </c>
      <c r="D4772" s="4" t="s">
        <v>21</v>
      </c>
      <c r="E4772" s="4">
        <v>33.0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ht="12.75" customHeight="1">
      <c r="A4773" s="4">
        <v>3000.0</v>
      </c>
      <c r="B4773" s="4">
        <v>21633.0</v>
      </c>
      <c r="C4773" s="5">
        <f>DATE(2012,12,31)-1375</f>
        <v>39899</v>
      </c>
      <c r="D4773" s="4" t="s">
        <v>63</v>
      </c>
      <c r="E4773" s="4">
        <v>29.0</v>
      </c>
      <c r="F4773" s="4">
        <v>547.82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5">C4773+1</f>
        <v>39900</v>
      </c>
    </row>
    <row r="4774" ht="12.75" customHeight="1">
      <c r="A4774" s="4">
        <v>3015.0</v>
      </c>
      <c r="B4774" s="4">
        <v>21696.0</v>
      </c>
      <c r="C4774" s="5">
        <f>DATE(2012,12,31)-802</f>
        <v>40472</v>
      </c>
      <c r="D4774" s="4" t="s">
        <v>63</v>
      </c>
      <c r="E4774" s="4">
        <v>14.0</v>
      </c>
      <c r="F4774" s="4">
        <v>278.27</v>
      </c>
      <c r="G4774" s="4">
        <v>0.02</v>
      </c>
      <c r="H4774" s="4" t="s">
        <v>22</v>
      </c>
      <c r="I4774" s="6">
        <v>-51.911</v>
      </c>
      <c r="J4774" s="4">
        <v>19.35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5"/>
        <v>40473</v>
      </c>
    </row>
    <row r="4775" ht="12.75" customHeight="1">
      <c r="A4775" s="4">
        <v>3184.0</v>
      </c>
      <c r="B4775" s="4">
        <v>22851.0</v>
      </c>
      <c r="C4775" s="5">
        <f t="shared" ref="C4775:C4777" si="1996">DATE(2012,12,31)-1401</f>
        <v>39873</v>
      </c>
      <c r="D4775" s="4" t="s">
        <v>78</v>
      </c>
      <c r="E4775" s="4">
        <v>25.0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5"/>
        <v>39874</v>
      </c>
    </row>
    <row r="4776" ht="12.75" customHeight="1">
      <c r="A4776" s="4">
        <v>3185.0</v>
      </c>
      <c r="B4776" s="4">
        <v>22851.0</v>
      </c>
      <c r="C4776" s="5">
        <f t="shared" si="1996"/>
        <v>39873</v>
      </c>
      <c r="D4776" s="4" t="s">
        <v>78</v>
      </c>
      <c r="E4776" s="4">
        <v>13.0</v>
      </c>
      <c r="F4776" s="4">
        <v>32.37</v>
      </c>
      <c r="G4776" s="4">
        <v>0.0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ht="12.75" customHeight="1">
      <c r="A4777" s="4">
        <v>3186.0</v>
      </c>
      <c r="B4777" s="4">
        <v>22851.0</v>
      </c>
      <c r="C4777" s="5">
        <f t="shared" si="1996"/>
        <v>39873</v>
      </c>
      <c r="D4777" s="4" t="s">
        <v>78</v>
      </c>
      <c r="E4777" s="4">
        <v>38.0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</v>
      </c>
      <c r="U4777" s="5">
        <f t="shared" ref="U4777:U4779" si="1997">C4777+1</f>
        <v>39874</v>
      </c>
    </row>
    <row r="4778" ht="12.75" customHeight="1">
      <c r="A4778" s="4">
        <v>3295.0</v>
      </c>
      <c r="B4778" s="4">
        <v>23557.0</v>
      </c>
      <c r="C4778" s="5">
        <f>DATE(2012,12,31)-580</f>
        <v>40694</v>
      </c>
      <c r="D4778" s="4" t="s">
        <v>45</v>
      </c>
      <c r="E4778" s="4">
        <v>7.0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136.98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7"/>
        <v>40695</v>
      </c>
    </row>
    <row r="4779" ht="12.75" customHeight="1">
      <c r="A4779" s="4">
        <v>3443.0</v>
      </c>
      <c r="B4779" s="4">
        <v>24577.0</v>
      </c>
      <c r="C4779" s="5">
        <f>DATE(2012,12,31)-1036</f>
        <v>40238</v>
      </c>
      <c r="D4779" s="4" t="s">
        <v>63</v>
      </c>
      <c r="E4779" s="4">
        <v>8.0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7"/>
        <v>40239</v>
      </c>
    </row>
    <row r="4780" ht="12.75" customHeight="1">
      <c r="A4780" s="4">
        <v>3504.0</v>
      </c>
      <c r="B4780" s="4">
        <v>24961.0</v>
      </c>
      <c r="C4780" s="5">
        <f>DATE(2012,12,31)-1070</f>
        <v>40204</v>
      </c>
      <c r="D4780" s="4" t="s">
        <v>21</v>
      </c>
      <c r="E4780" s="4">
        <v>8.0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ht="12.75" customHeight="1">
      <c r="A4781" s="4">
        <v>3507.0</v>
      </c>
      <c r="B4781" s="4">
        <v>24966.0</v>
      </c>
      <c r="C4781" s="5">
        <f>DATE(2012,12,31)-380</f>
        <v>40894</v>
      </c>
      <c r="D4781" s="4" t="s">
        <v>63</v>
      </c>
      <c r="E4781" s="4">
        <v>34.0</v>
      </c>
      <c r="F4781" s="4">
        <v>4152.12</v>
      </c>
      <c r="G4781" s="4">
        <v>0.0</v>
      </c>
      <c r="H4781" s="4" t="s">
        <v>22</v>
      </c>
      <c r="I4781" s="6">
        <v>817.98</v>
      </c>
      <c r="J4781" s="4">
        <v>120.33</v>
      </c>
      <c r="K4781" s="4">
        <v>19.99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8">C4781+1</f>
        <v>40895</v>
      </c>
    </row>
    <row r="4782" ht="12.75" customHeight="1">
      <c r="A4782" s="4">
        <v>3838.0</v>
      </c>
      <c r="B4782" s="4">
        <v>27363.0</v>
      </c>
      <c r="C4782" s="5">
        <f>DATE(2012,12,31)-440</f>
        <v>40834</v>
      </c>
      <c r="D4782" s="4" t="s">
        <v>63</v>
      </c>
      <c r="E4782" s="4">
        <v>16.0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20.24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8"/>
        <v>40835</v>
      </c>
    </row>
    <row r="4783" ht="12.75" customHeight="1">
      <c r="A4783" s="4">
        <v>4074.0</v>
      </c>
      <c r="B4783" s="4">
        <v>29028.0</v>
      </c>
      <c r="C4783" s="5">
        <f>DATE(2012,12,31)-695</f>
        <v>40579</v>
      </c>
      <c r="D4783" s="4" t="s">
        <v>78</v>
      </c>
      <c r="E4783" s="4">
        <v>43.0</v>
      </c>
      <c r="F4783" s="4">
        <v>17131.36</v>
      </c>
      <c r="G4783" s="4">
        <v>0.08</v>
      </c>
      <c r="H4783" s="4" t="s">
        <v>31</v>
      </c>
      <c r="I4783" s="6">
        <v>4722.77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ht="12.75" customHeight="1">
      <c r="A4784" s="4">
        <v>4089.0</v>
      </c>
      <c r="B4784" s="4">
        <v>29156.0</v>
      </c>
      <c r="C4784" s="5">
        <f>DATE(2012,12,31)-1041</f>
        <v>40233</v>
      </c>
      <c r="D4784" s="4" t="s">
        <v>21</v>
      </c>
      <c r="E4784" s="4">
        <v>10.0</v>
      </c>
      <c r="F4784" s="4">
        <v>208.77</v>
      </c>
      <c r="G4784" s="4">
        <v>0.07</v>
      </c>
      <c r="H4784" s="4" t="s">
        <v>22</v>
      </c>
      <c r="I4784" s="6">
        <v>-76.58</v>
      </c>
      <c r="J4784" s="4">
        <v>20.97</v>
      </c>
      <c r="K4784" s="4">
        <v>4.0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ht="12.75" customHeight="1">
      <c r="A4785" s="4">
        <v>4115.0</v>
      </c>
      <c r="B4785" s="4">
        <v>29282.0</v>
      </c>
      <c r="C4785" s="5">
        <f>DATE(2012,12,31)-33</f>
        <v>41241</v>
      </c>
      <c r="D4785" s="4" t="s">
        <v>63</v>
      </c>
      <c r="E4785" s="4">
        <v>4.0</v>
      </c>
      <c r="F4785" s="4">
        <v>34.27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9.54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ht="12.75" customHeight="1">
      <c r="A4786" s="4">
        <v>4214.0</v>
      </c>
      <c r="B4786" s="4">
        <v>29957.0</v>
      </c>
      <c r="C4786" s="5">
        <f>DATE(2012,12,31)-1024</f>
        <v>40250</v>
      </c>
      <c r="D4786" s="4" t="s">
        <v>78</v>
      </c>
      <c r="E4786" s="4">
        <v>28.0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0.58</v>
      </c>
      <c r="U4786" s="5">
        <f>C4786+1</f>
        <v>40251</v>
      </c>
    </row>
    <row r="4787" ht="12.75" customHeight="1">
      <c r="A4787" s="4">
        <v>4231.0</v>
      </c>
      <c r="B4787" s="4">
        <v>30053.0</v>
      </c>
      <c r="C4787" s="5">
        <f>DATE(2012,12,31)-1429</f>
        <v>39845</v>
      </c>
      <c r="D4787" s="4" t="s">
        <v>78</v>
      </c>
      <c r="E4787" s="4">
        <v>41.0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9">C4787+2</f>
        <v>39847</v>
      </c>
    </row>
    <row r="4788" ht="12.75" customHeight="1">
      <c r="A4788" s="4">
        <v>4233.0</v>
      </c>
      <c r="B4788" s="4">
        <v>30081.0</v>
      </c>
      <c r="C4788" s="5">
        <f>DATE(2012,12,31)-380</f>
        <v>40894</v>
      </c>
      <c r="D4788" s="4" t="s">
        <v>30</v>
      </c>
      <c r="E4788" s="4">
        <v>26.0</v>
      </c>
      <c r="F4788" s="4">
        <v>213.49</v>
      </c>
      <c r="G4788" s="4">
        <v>0.05</v>
      </c>
      <c r="H4788" s="4" t="s">
        <v>22</v>
      </c>
      <c r="I4788" s="6">
        <v>-136.4475</v>
      </c>
      <c r="J4788" s="4">
        <v>8.04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9"/>
        <v>40896</v>
      </c>
    </row>
    <row r="4789" ht="12.75" customHeight="1">
      <c r="A4789" s="4">
        <v>4246.0</v>
      </c>
      <c r="B4789" s="4">
        <v>30214.0</v>
      </c>
      <c r="C4789" s="5">
        <f>DATE(2012,12,31)-1184</f>
        <v>40090</v>
      </c>
      <c r="D4789" s="4" t="s">
        <v>21</v>
      </c>
      <c r="E4789" s="4">
        <v>38.0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ht="12.75" customHeight="1">
      <c r="A4790" s="4">
        <v>4280.0</v>
      </c>
      <c r="B4790" s="4">
        <v>30497.0</v>
      </c>
      <c r="C4790" s="5">
        <f t="shared" ref="C4790:C4791" si="2000">DATE(2012,12,31)-694</f>
        <v>40580</v>
      </c>
      <c r="D4790" s="4" t="s">
        <v>78</v>
      </c>
      <c r="E4790" s="4">
        <v>34.0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1">C4790+2</f>
        <v>40582</v>
      </c>
    </row>
    <row r="4791" ht="12.75" customHeight="1">
      <c r="A4791" s="4">
        <v>4281.0</v>
      </c>
      <c r="B4791" s="4">
        <v>30497.0</v>
      </c>
      <c r="C4791" s="5">
        <f t="shared" si="2000"/>
        <v>40580</v>
      </c>
      <c r="D4791" s="4" t="s">
        <v>78</v>
      </c>
      <c r="E4791" s="4">
        <v>31.0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1"/>
        <v>40582</v>
      </c>
    </row>
    <row r="4792" ht="12.75" customHeight="1">
      <c r="A4792" s="4">
        <v>4343.0</v>
      </c>
      <c r="B4792" s="4">
        <v>30917.0</v>
      </c>
      <c r="C4792" s="5">
        <f t="shared" ref="C4792:C4793" si="2002">DATE(2012,12,31)-791</f>
        <v>40483</v>
      </c>
      <c r="D4792" s="4" t="s">
        <v>21</v>
      </c>
      <c r="E4792" s="4">
        <v>11.0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1"/>
        <v>40485</v>
      </c>
    </row>
    <row r="4793" ht="12.75" customHeight="1">
      <c r="A4793" s="4">
        <v>4344.0</v>
      </c>
      <c r="B4793" s="4">
        <v>30917.0</v>
      </c>
      <c r="C4793" s="5">
        <f t="shared" si="2002"/>
        <v>40483</v>
      </c>
      <c r="D4793" s="4" t="s">
        <v>21</v>
      </c>
      <c r="E4793" s="4">
        <v>8.0</v>
      </c>
      <c r="F4793" s="4">
        <v>753.8</v>
      </c>
      <c r="G4793" s="4">
        <v>0.06</v>
      </c>
      <c r="H4793" s="4" t="s">
        <v>22</v>
      </c>
      <c r="I4793" s="6">
        <v>-32.3031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ht="12.75" customHeight="1">
      <c r="A4794" s="4">
        <v>4444.0</v>
      </c>
      <c r="B4794" s="4">
        <v>31681.0</v>
      </c>
      <c r="C4794" s="5">
        <f>DATE(2012,12,31)-54</f>
        <v>41220</v>
      </c>
      <c r="D4794" s="4" t="s">
        <v>45</v>
      </c>
      <c r="E4794" s="4">
        <v>38.0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ht="12.75" customHeight="1">
      <c r="A4795" s="4">
        <v>4456.0</v>
      </c>
      <c r="B4795" s="4">
        <v>31777.0</v>
      </c>
      <c r="C4795" s="5">
        <f t="shared" ref="C4795:C4796" si="2003">DATE(2012,12,31)-439</f>
        <v>40835</v>
      </c>
      <c r="D4795" s="4" t="s">
        <v>45</v>
      </c>
      <c r="E4795" s="4">
        <v>32.0</v>
      </c>
      <c r="F4795" s="4">
        <v>6483.42</v>
      </c>
      <c r="G4795" s="4">
        <v>0.07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0.58</v>
      </c>
      <c r="U4795" s="5">
        <f>C4795+2</f>
        <v>40837</v>
      </c>
    </row>
    <row r="4796" ht="12.75" customHeight="1">
      <c r="A4796" s="4">
        <v>4457.0</v>
      </c>
      <c r="B4796" s="4">
        <v>31777.0</v>
      </c>
      <c r="C4796" s="5">
        <f t="shared" si="2003"/>
        <v>40835</v>
      </c>
      <c r="D4796" s="4" t="s">
        <v>45</v>
      </c>
      <c r="E4796" s="4">
        <v>10.0</v>
      </c>
      <c r="F4796" s="4">
        <v>137.77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ht="12.75" customHeight="1">
      <c r="A4797" s="4">
        <v>4596.0</v>
      </c>
      <c r="B4797" s="4">
        <v>32710.0</v>
      </c>
      <c r="C4797" s="5">
        <f>DATE(2012,12,31)-1141</f>
        <v>40133</v>
      </c>
      <c r="D4797" s="4" t="s">
        <v>30</v>
      </c>
      <c r="E4797" s="4">
        <v>43.0</v>
      </c>
      <c r="F4797" s="4">
        <v>540.33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0.57</v>
      </c>
      <c r="U4797" s="5">
        <f t="shared" ref="U4797:U4798" si="2004">C4797+1</f>
        <v>40134</v>
      </c>
    </row>
    <row r="4798" ht="12.75" customHeight="1">
      <c r="A4798" s="4">
        <v>4644.0</v>
      </c>
      <c r="B4798" s="4">
        <v>33060.0</v>
      </c>
      <c r="C4798" s="5">
        <f>DATE(2012,12,31)-1046</f>
        <v>40228</v>
      </c>
      <c r="D4798" s="4" t="s">
        <v>30</v>
      </c>
      <c r="E4798" s="4">
        <v>3.0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4"/>
        <v>40229</v>
      </c>
    </row>
    <row r="4799" ht="12.75" customHeight="1">
      <c r="A4799" s="4">
        <v>4675.0</v>
      </c>
      <c r="B4799" s="4">
        <v>33254.0</v>
      </c>
      <c r="C4799" s="5">
        <f>DATE(2012,12,31)-424</f>
        <v>40850</v>
      </c>
      <c r="D4799" s="4" t="s">
        <v>45</v>
      </c>
      <c r="E4799" s="4">
        <v>11.0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39.98</v>
      </c>
      <c r="K4799" s="4">
        <v>9.2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5">C4799+2</f>
        <v>40852</v>
      </c>
    </row>
    <row r="4800" ht="12.75" customHeight="1">
      <c r="A4800" s="4">
        <v>4720.0</v>
      </c>
      <c r="B4800" s="4">
        <v>33605.0</v>
      </c>
      <c r="C4800" s="5">
        <f>DATE(2012,12,31)-272</f>
        <v>41002</v>
      </c>
      <c r="D4800" s="4" t="s">
        <v>78</v>
      </c>
      <c r="E4800" s="4">
        <v>42.0</v>
      </c>
      <c r="F4800" s="4">
        <v>153.01</v>
      </c>
      <c r="G4800" s="4">
        <v>0.04</v>
      </c>
      <c r="H4800" s="4" t="s">
        <v>22</v>
      </c>
      <c r="I4800" s="6">
        <v>-218.5345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5"/>
        <v>41004</v>
      </c>
    </row>
    <row r="4801" ht="12.75" customHeight="1">
      <c r="A4801" s="4">
        <v>4807.0</v>
      </c>
      <c r="B4801" s="4">
        <v>34180.0</v>
      </c>
      <c r="C4801" s="5">
        <f>DATE(2012,12,31)-485</f>
        <v>40789</v>
      </c>
      <c r="D4801" s="4" t="s">
        <v>30</v>
      </c>
      <c r="E4801" s="4">
        <v>2.0</v>
      </c>
      <c r="F4801" s="4">
        <v>27.0</v>
      </c>
      <c r="G4801" s="4">
        <v>0.02</v>
      </c>
      <c r="H4801" s="4" t="s">
        <v>56</v>
      </c>
      <c r="I4801" s="6">
        <v>-4.9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ht="12.75" customHeight="1">
      <c r="A4802" s="4">
        <v>4939.0</v>
      </c>
      <c r="B4802" s="4">
        <v>35137.0</v>
      </c>
      <c r="C4802" s="5">
        <f t="shared" ref="C4802:C4803" si="2006">DATE(2012,12,31)-898</f>
        <v>40376</v>
      </c>
      <c r="D4802" s="4" t="s">
        <v>30</v>
      </c>
      <c r="E4802" s="4">
        <v>41.0</v>
      </c>
      <c r="F4802" s="4">
        <v>225.06</v>
      </c>
      <c r="G4802" s="4">
        <v>0.05</v>
      </c>
      <c r="H4802" s="4" t="s">
        <v>56</v>
      </c>
      <c r="I4802" s="6">
        <v>7.3015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ht="12.75" customHeight="1">
      <c r="A4803" s="4">
        <v>4940.0</v>
      </c>
      <c r="B4803" s="4">
        <v>35137.0</v>
      </c>
      <c r="C4803" s="5">
        <f t="shared" si="2006"/>
        <v>40376</v>
      </c>
      <c r="D4803" s="4" t="s">
        <v>30</v>
      </c>
      <c r="E4803" s="4">
        <v>47.0</v>
      </c>
      <c r="F4803" s="4">
        <v>1041.78</v>
      </c>
      <c r="G4803" s="4">
        <v>0.1</v>
      </c>
      <c r="H4803" s="4" t="s">
        <v>22</v>
      </c>
      <c r="I4803" s="6">
        <v>283.79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ht="12.75" customHeight="1">
      <c r="A4804" s="4">
        <v>5185.0</v>
      </c>
      <c r="B4804" s="4">
        <v>36838.0</v>
      </c>
      <c r="C4804" s="5">
        <f>DATE(2012,12,31)-1363</f>
        <v>39911</v>
      </c>
      <c r="D4804" s="4" t="s">
        <v>21</v>
      </c>
      <c r="E4804" s="4">
        <v>3.0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ht="12.75" customHeight="1">
      <c r="A4805" s="4">
        <v>5232.0</v>
      </c>
      <c r="B4805" s="4">
        <v>37252.0</v>
      </c>
      <c r="C4805" s="5">
        <f t="shared" ref="C4805:C4808" si="2007">DATE(2012,12,31)-408</f>
        <v>40866</v>
      </c>
      <c r="D4805" s="4" t="s">
        <v>21</v>
      </c>
      <c r="E4805" s="4">
        <v>21.0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ht="12.75" customHeight="1">
      <c r="A4806" s="4">
        <v>5233.0</v>
      </c>
      <c r="B4806" s="4">
        <v>37252.0</v>
      </c>
      <c r="C4806" s="5">
        <f t="shared" si="2007"/>
        <v>40866</v>
      </c>
      <c r="D4806" s="4" t="s">
        <v>21</v>
      </c>
      <c r="E4806" s="4">
        <v>1.0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ht="12.75" customHeight="1">
      <c r="A4807" s="4">
        <v>5234.0</v>
      </c>
      <c r="B4807" s="4">
        <v>37252.0</v>
      </c>
      <c r="C4807" s="5">
        <f t="shared" si="2007"/>
        <v>40866</v>
      </c>
      <c r="D4807" s="4" t="s">
        <v>21</v>
      </c>
      <c r="E4807" s="4">
        <v>50.0</v>
      </c>
      <c r="F4807" s="4">
        <v>2337.03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19.99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ht="12.75" customHeight="1">
      <c r="A4808" s="4">
        <v>5235.0</v>
      </c>
      <c r="B4808" s="4">
        <v>37252.0</v>
      </c>
      <c r="C4808" s="5">
        <f t="shared" si="2007"/>
        <v>40866</v>
      </c>
      <c r="D4808" s="4" t="s">
        <v>21</v>
      </c>
      <c r="E4808" s="4">
        <v>34.0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ht="12.75" customHeight="1">
      <c r="A4809" s="4">
        <v>5496.0</v>
      </c>
      <c r="B4809" s="4">
        <v>38979.0</v>
      </c>
      <c r="C4809" s="5">
        <f t="shared" ref="C4809:C4811" si="2008">DATE(2012,12,31)-1039</f>
        <v>40235</v>
      </c>
      <c r="D4809" s="4" t="s">
        <v>21</v>
      </c>
      <c r="E4809" s="4">
        <v>48.0</v>
      </c>
      <c r="F4809" s="4">
        <v>3355.1</v>
      </c>
      <c r="G4809" s="4">
        <v>0.07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ht="12.75" customHeight="1">
      <c r="A4810" s="4">
        <v>5497.0</v>
      </c>
      <c r="B4810" s="4">
        <v>38979.0</v>
      </c>
      <c r="C4810" s="5">
        <f t="shared" si="2008"/>
        <v>40235</v>
      </c>
      <c r="D4810" s="4" t="s">
        <v>21</v>
      </c>
      <c r="E4810" s="4">
        <v>34.0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9">C4810+5</f>
        <v>40240</v>
      </c>
    </row>
    <row r="4811" ht="12.75" customHeight="1">
      <c r="A4811" s="4">
        <v>5498.0</v>
      </c>
      <c r="B4811" s="4">
        <v>38979.0</v>
      </c>
      <c r="C4811" s="5">
        <f t="shared" si="2008"/>
        <v>40235</v>
      </c>
      <c r="D4811" s="4" t="s">
        <v>21</v>
      </c>
      <c r="E4811" s="4">
        <v>31.0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9"/>
        <v>40240</v>
      </c>
    </row>
    <row r="4812" ht="12.75" customHeight="1">
      <c r="A4812" s="4">
        <v>5588.0</v>
      </c>
      <c r="B4812" s="4">
        <v>39619.0</v>
      </c>
      <c r="C4812" s="5">
        <f>DATE(2012,12,31)-362</f>
        <v>40912</v>
      </c>
      <c r="D4812" s="4" t="s">
        <v>21</v>
      </c>
      <c r="E4812" s="4">
        <v>15.0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0.57</v>
      </c>
      <c r="U4812" s="5">
        <f>C4812+4</f>
        <v>40916</v>
      </c>
    </row>
    <row r="4813" ht="12.75" customHeight="1">
      <c r="A4813" s="4">
        <v>5670.0</v>
      </c>
      <c r="B4813" s="4">
        <v>40101.0</v>
      </c>
      <c r="C4813" s="5">
        <f>DATE(2012,12,31)-1430</f>
        <v>39844</v>
      </c>
      <c r="D4813" s="4" t="s">
        <v>21</v>
      </c>
      <c r="E4813" s="4">
        <v>46.0</v>
      </c>
      <c r="F4813" s="4">
        <v>2188.06</v>
      </c>
      <c r="G4813" s="4">
        <v>0.1</v>
      </c>
      <c r="H4813" s="4" t="s">
        <v>56</v>
      </c>
      <c r="I4813" s="6">
        <v>33.77</v>
      </c>
      <c r="J4813" s="4">
        <v>49.99</v>
      </c>
      <c r="K4813" s="4">
        <v>19.99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ht="12.75" customHeight="1">
      <c r="A4814" s="4">
        <v>5852.0</v>
      </c>
      <c r="B4814" s="4">
        <v>41542.0</v>
      </c>
      <c r="C4814" s="5">
        <f>DATE(2012,12,31)-1192</f>
        <v>40082</v>
      </c>
      <c r="D4814" s="4" t="s">
        <v>30</v>
      </c>
      <c r="E4814" s="4">
        <v>47.0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ht="12.75" customHeight="1">
      <c r="A4815" s="4">
        <v>6010.0</v>
      </c>
      <c r="B4815" s="4">
        <v>42565.0</v>
      </c>
      <c r="C4815" s="5">
        <f>DATE(2012,12,31)-831</f>
        <v>40443</v>
      </c>
      <c r="D4815" s="4" t="s">
        <v>21</v>
      </c>
      <c r="E4815" s="4">
        <v>33.0</v>
      </c>
      <c r="F4815" s="4">
        <v>283.8</v>
      </c>
      <c r="G4815" s="4">
        <v>0.04</v>
      </c>
      <c r="H4815" s="4" t="s">
        <v>22</v>
      </c>
      <c r="I4815" s="6">
        <v>47.5235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ht="12.75" customHeight="1">
      <c r="A4816" s="4">
        <v>6041.0</v>
      </c>
      <c r="B4816" s="4">
        <v>42823.0</v>
      </c>
      <c r="C4816" s="5">
        <f>DATE(2012,12,31)-920</f>
        <v>40354</v>
      </c>
      <c r="D4816" s="4" t="s">
        <v>63</v>
      </c>
      <c r="E4816" s="4">
        <v>8.0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ht="12.75" customHeight="1">
      <c r="A4817" s="4">
        <v>6131.0</v>
      </c>
      <c r="B4817" s="4">
        <v>43398.0</v>
      </c>
      <c r="C4817" s="5">
        <f>DATE(2012,12,31)-617</f>
        <v>40657</v>
      </c>
      <c r="D4817" s="4" t="s">
        <v>45</v>
      </c>
      <c r="E4817" s="4">
        <v>10.0</v>
      </c>
      <c r="F4817" s="4">
        <v>1600.85</v>
      </c>
      <c r="G4817" s="4">
        <v>0.07</v>
      </c>
      <c r="H4817" s="4" t="s">
        <v>31</v>
      </c>
      <c r="I4817" s="6">
        <v>-193.97</v>
      </c>
      <c r="J4817" s="4">
        <v>159.31</v>
      </c>
      <c r="K4817" s="4">
        <v>60.0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</v>
      </c>
      <c r="U4817" s="5">
        <f>C4817+1</f>
        <v>40658</v>
      </c>
    </row>
    <row r="4818" ht="12.75" customHeight="1">
      <c r="A4818" s="4">
        <v>6212.0</v>
      </c>
      <c r="B4818" s="4">
        <v>44002.0</v>
      </c>
      <c r="C4818" s="5">
        <f t="shared" ref="C4818:C4819" si="2010">DATE(2012,12,31)-1423</f>
        <v>39851</v>
      </c>
      <c r="D4818" s="4" t="s">
        <v>63</v>
      </c>
      <c r="E4818" s="4">
        <v>46.0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ht="12.75" customHeight="1">
      <c r="A4819" s="4">
        <v>6213.0</v>
      </c>
      <c r="B4819" s="4">
        <v>44002.0</v>
      </c>
      <c r="C4819" s="5">
        <f t="shared" si="2010"/>
        <v>39851</v>
      </c>
      <c r="D4819" s="4" t="s">
        <v>63</v>
      </c>
      <c r="E4819" s="4">
        <v>14.0</v>
      </c>
      <c r="F4819" s="4">
        <v>261.85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ht="12.75" customHeight="1">
      <c r="A4820" s="4">
        <v>6236.0</v>
      </c>
      <c r="B4820" s="4">
        <v>44196.0</v>
      </c>
      <c r="C4820" s="5">
        <f>DATE(2012,12,31)-1227</f>
        <v>40047</v>
      </c>
      <c r="D4820" s="4" t="s">
        <v>45</v>
      </c>
      <c r="E4820" s="4">
        <v>10.0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1">C4820+2</f>
        <v>40049</v>
      </c>
    </row>
    <row r="4821" ht="12.75" customHeight="1">
      <c r="A4821" s="4">
        <v>6267.0</v>
      </c>
      <c r="B4821" s="4">
        <v>44359.0</v>
      </c>
      <c r="C4821" s="5">
        <f>DATE(2012,12,31)-763</f>
        <v>40511</v>
      </c>
      <c r="D4821" s="4" t="s">
        <v>30</v>
      </c>
      <c r="E4821" s="4">
        <v>19.0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1"/>
        <v>40513</v>
      </c>
    </row>
    <row r="4822" ht="12.75" customHeight="1">
      <c r="A4822" s="4">
        <v>6334.0</v>
      </c>
      <c r="B4822" s="4">
        <v>44871.0</v>
      </c>
      <c r="C4822" s="5">
        <f>DATE(2012,12,31)-608</f>
        <v>40666</v>
      </c>
      <c r="D4822" s="4" t="s">
        <v>78</v>
      </c>
      <c r="E4822" s="4">
        <v>27.0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</v>
      </c>
      <c r="U4822" s="5">
        <f t="shared" si="2011"/>
        <v>40668</v>
      </c>
    </row>
    <row r="4823" ht="12.75" customHeight="1">
      <c r="A4823" s="4">
        <v>6475.0</v>
      </c>
      <c r="B4823" s="4">
        <v>46055.0</v>
      </c>
      <c r="C4823" s="5">
        <f>DATE(2012,12,31)-212</f>
        <v>41062</v>
      </c>
      <c r="D4823" s="4" t="s">
        <v>63</v>
      </c>
      <c r="E4823" s="4">
        <v>25.0</v>
      </c>
      <c r="F4823" s="4">
        <v>1291.2</v>
      </c>
      <c r="G4823" s="4">
        <v>0.04</v>
      </c>
      <c r="H4823" s="4" t="s">
        <v>22</v>
      </c>
      <c r="I4823" s="6">
        <v>-5.59999999999998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1"/>
        <v>41064</v>
      </c>
    </row>
    <row r="4824" ht="12.75" customHeight="1">
      <c r="A4824" s="4">
        <v>6556.0</v>
      </c>
      <c r="B4824" s="4">
        <v>46624.0</v>
      </c>
      <c r="C4824" s="5">
        <f t="shared" ref="C4824:C4825" si="2012">DATE(2012,12,31)-980</f>
        <v>40294</v>
      </c>
      <c r="D4824" s="4" t="s">
        <v>45</v>
      </c>
      <c r="E4824" s="4">
        <v>28.0</v>
      </c>
      <c r="F4824" s="4">
        <v>110.2</v>
      </c>
      <c r="G4824" s="4">
        <v>0.07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ht="12.75" customHeight="1">
      <c r="A4825" s="4">
        <v>6557.0</v>
      </c>
      <c r="B4825" s="4">
        <v>46624.0</v>
      </c>
      <c r="C4825" s="5">
        <f t="shared" si="2012"/>
        <v>40294</v>
      </c>
      <c r="D4825" s="4" t="s">
        <v>45</v>
      </c>
      <c r="E4825" s="4">
        <v>12.0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3">C4825+2</f>
        <v>40296</v>
      </c>
    </row>
    <row r="4826" ht="12.75" customHeight="1">
      <c r="A4826" s="4">
        <v>6618.0</v>
      </c>
      <c r="B4826" s="4">
        <v>47079.0</v>
      </c>
      <c r="C4826" s="5">
        <f>DATE(2012,12,31)-381</f>
        <v>40893</v>
      </c>
      <c r="D4826" s="4" t="s">
        <v>78</v>
      </c>
      <c r="E4826" s="4">
        <v>34.0</v>
      </c>
      <c r="F4826" s="4">
        <v>1069.85</v>
      </c>
      <c r="G4826" s="4">
        <v>0.07</v>
      </c>
      <c r="H4826" s="4" t="s">
        <v>31</v>
      </c>
      <c r="I4826" s="6">
        <v>-1179.39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3"/>
        <v>40895</v>
      </c>
    </row>
    <row r="4827" ht="12.75" customHeight="1">
      <c r="A4827" s="4">
        <v>6674.0</v>
      </c>
      <c r="B4827" s="4">
        <v>47494.0</v>
      </c>
      <c r="C4827" s="5">
        <f t="shared" ref="C4827:C4828" si="2014">DATE(2012,12,31)-1279</f>
        <v>39995</v>
      </c>
      <c r="D4827" s="4" t="s">
        <v>30</v>
      </c>
      <c r="E4827" s="4">
        <v>42.0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</v>
      </c>
      <c r="U4827" s="5">
        <f>C4827+1</f>
        <v>39996</v>
      </c>
    </row>
    <row r="4828" ht="12.75" customHeight="1">
      <c r="A4828" s="4">
        <v>6675.0</v>
      </c>
      <c r="B4828" s="4">
        <v>47494.0</v>
      </c>
      <c r="C4828" s="5">
        <f t="shared" si="2014"/>
        <v>39995</v>
      </c>
      <c r="D4828" s="4" t="s">
        <v>30</v>
      </c>
      <c r="E4828" s="4">
        <v>9.0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ht="12.75" customHeight="1">
      <c r="A4829" s="4">
        <v>6694.0</v>
      </c>
      <c r="B4829" s="4">
        <v>47622.0</v>
      </c>
      <c r="C4829" s="5">
        <f>DATE(2012,12,31)-110</f>
        <v>41164</v>
      </c>
      <c r="D4829" s="4" t="s">
        <v>45</v>
      </c>
      <c r="E4829" s="4">
        <v>41.0</v>
      </c>
      <c r="F4829" s="4">
        <v>8188.19</v>
      </c>
      <c r="G4829" s="4">
        <v>0.05</v>
      </c>
      <c r="H4829" s="4" t="s">
        <v>22</v>
      </c>
      <c r="I4829" s="6">
        <v>3702.0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ht="12.75" customHeight="1">
      <c r="A4830" s="4">
        <v>6731.0</v>
      </c>
      <c r="B4830" s="4">
        <v>47938.0</v>
      </c>
      <c r="C4830" s="5">
        <f>DATE(2012,12,31)-1286</f>
        <v>39988</v>
      </c>
      <c r="D4830" s="4" t="s">
        <v>21</v>
      </c>
      <c r="E4830" s="4">
        <v>17.0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ht="12.75" customHeight="1">
      <c r="A4831" s="4">
        <v>6744.0</v>
      </c>
      <c r="B4831" s="4">
        <v>48032.0</v>
      </c>
      <c r="C4831" s="5">
        <f t="shared" ref="C4831:C4832" si="2015">DATE(2012,12,31)-858</f>
        <v>40416</v>
      </c>
      <c r="D4831" s="4" t="s">
        <v>30</v>
      </c>
      <c r="E4831" s="4">
        <v>42.0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0.58</v>
      </c>
      <c r="U4831" s="5">
        <f t="shared" ref="U4831:U4832" si="2016">C4831+1</f>
        <v>40417</v>
      </c>
    </row>
    <row r="4832" ht="12.75" customHeight="1">
      <c r="A4832" s="4">
        <v>6745.0</v>
      </c>
      <c r="B4832" s="4">
        <v>48032.0</v>
      </c>
      <c r="C4832" s="5">
        <f t="shared" si="2015"/>
        <v>40416</v>
      </c>
      <c r="D4832" s="4" t="s">
        <v>30</v>
      </c>
      <c r="E4832" s="4">
        <v>29.0</v>
      </c>
      <c r="F4832" s="4">
        <v>412.86</v>
      </c>
      <c r="G4832" s="4">
        <v>0.07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6"/>
        <v>40417</v>
      </c>
    </row>
    <row r="4833" ht="12.75" customHeight="1">
      <c r="A4833" s="4">
        <v>6884.0</v>
      </c>
      <c r="B4833" s="4">
        <v>49062.0</v>
      </c>
      <c r="C4833" s="5">
        <f>DATE(2012,12,31)-264</f>
        <v>41010</v>
      </c>
      <c r="D4833" s="4" t="s">
        <v>21</v>
      </c>
      <c r="E4833" s="4">
        <v>33.0</v>
      </c>
      <c r="F4833" s="4">
        <v>103.32</v>
      </c>
      <c r="G4833" s="4">
        <v>0.0</v>
      </c>
      <c r="H4833" s="4" t="s">
        <v>22</v>
      </c>
      <c r="I4833" s="6">
        <v>-25.68</v>
      </c>
      <c r="J4833" s="4">
        <v>2.98</v>
      </c>
      <c r="K4833" s="4">
        <v>2.03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0.57</v>
      </c>
      <c r="U4833" s="5">
        <f>C4833+7</f>
        <v>41017</v>
      </c>
    </row>
    <row r="4834" ht="12.75" customHeight="1">
      <c r="A4834" s="4">
        <v>6941.0</v>
      </c>
      <c r="B4834" s="4">
        <v>49541.0</v>
      </c>
      <c r="C4834" s="5">
        <f>DATE(2012,12,31)-1445</f>
        <v>39829</v>
      </c>
      <c r="D4834" s="4" t="s">
        <v>63</v>
      </c>
      <c r="E4834" s="4">
        <v>35.0</v>
      </c>
      <c r="F4834" s="4">
        <v>503.75</v>
      </c>
      <c r="G4834" s="4">
        <v>0.0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0.57</v>
      </c>
      <c r="U4834" s="5">
        <f>C4834+1</f>
        <v>39830</v>
      </c>
    </row>
    <row r="4835" ht="12.75" customHeight="1">
      <c r="A4835" s="4">
        <v>6970.0</v>
      </c>
      <c r="B4835" s="4">
        <v>49799.0</v>
      </c>
      <c r="C4835" s="5">
        <f t="shared" ref="C4835:C4836" si="2017">DATE(2012,12,31)-1225</f>
        <v>40049</v>
      </c>
      <c r="D4835" s="4" t="s">
        <v>30</v>
      </c>
      <c r="E4835" s="4">
        <v>4.0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ht="12.75" customHeight="1">
      <c r="A4836" s="4">
        <v>6971.0</v>
      </c>
      <c r="B4836" s="4">
        <v>49799.0</v>
      </c>
      <c r="C4836" s="5">
        <f t="shared" si="2017"/>
        <v>40049</v>
      </c>
      <c r="D4836" s="4" t="s">
        <v>30</v>
      </c>
      <c r="E4836" s="4">
        <v>12.0</v>
      </c>
      <c r="F4836" s="4">
        <v>2119.0415</v>
      </c>
      <c r="G4836" s="4">
        <v>0.0</v>
      </c>
      <c r="H4836" s="4" t="s">
        <v>22</v>
      </c>
      <c r="I4836" s="6">
        <v>-6.567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8">C4836+1</f>
        <v>40050</v>
      </c>
    </row>
    <row r="4837" ht="12.75" customHeight="1">
      <c r="A4837" s="4">
        <v>6973.0</v>
      </c>
      <c r="B4837" s="4">
        <v>49828.0</v>
      </c>
      <c r="C4837" s="5">
        <f>DATE(2012,12,31)-489</f>
        <v>40785</v>
      </c>
      <c r="D4837" s="4" t="s">
        <v>63</v>
      </c>
      <c r="E4837" s="4">
        <v>39.0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8"/>
        <v>40786</v>
      </c>
    </row>
    <row r="4838" ht="12.75" customHeight="1">
      <c r="A4838" s="4">
        <v>7014.0</v>
      </c>
      <c r="B4838" s="4">
        <v>50054.0</v>
      </c>
      <c r="C4838" s="5">
        <f t="shared" ref="C4838:C4839" si="2019">DATE(2012,12,31)-847</f>
        <v>40427</v>
      </c>
      <c r="D4838" s="4" t="s">
        <v>45</v>
      </c>
      <c r="E4838" s="4">
        <v>50.0</v>
      </c>
      <c r="F4838" s="4">
        <v>5369.46</v>
      </c>
      <c r="G4838" s="4">
        <v>0.0</v>
      </c>
      <c r="H4838" s="4" t="s">
        <v>22</v>
      </c>
      <c r="I4838" s="6">
        <v>1370.26</v>
      </c>
      <c r="J4838" s="4">
        <v>99.99</v>
      </c>
      <c r="K4838" s="4">
        <v>19.99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20">C4838+2</f>
        <v>40429</v>
      </c>
    </row>
    <row r="4839" ht="12.75" customHeight="1">
      <c r="A4839" s="4">
        <v>7015.0</v>
      </c>
      <c r="B4839" s="4">
        <v>50054.0</v>
      </c>
      <c r="C4839" s="5">
        <f t="shared" si="2019"/>
        <v>40427</v>
      </c>
      <c r="D4839" s="4" t="s">
        <v>45</v>
      </c>
      <c r="E4839" s="4">
        <v>41.0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20"/>
        <v>40429</v>
      </c>
    </row>
    <row r="4840" ht="12.75" customHeight="1">
      <c r="A4840" s="4">
        <v>7058.0</v>
      </c>
      <c r="B4840" s="4">
        <v>50370.0</v>
      </c>
      <c r="C4840" s="5">
        <f>DATE(2012,12,31)-55</f>
        <v>41219</v>
      </c>
      <c r="D4840" s="4" t="s">
        <v>78</v>
      </c>
      <c r="E4840" s="4">
        <v>25.0</v>
      </c>
      <c r="F4840" s="4">
        <v>122.05</v>
      </c>
      <c r="G4840" s="4">
        <v>0.0</v>
      </c>
      <c r="H4840" s="4" t="s">
        <v>56</v>
      </c>
      <c r="I4840" s="6">
        <v>-67.59700000000001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ht="12.75" customHeight="1">
      <c r="A4841" s="4">
        <v>7150.0</v>
      </c>
      <c r="B4841" s="4">
        <v>51009.0</v>
      </c>
      <c r="C4841" s="5">
        <f>DATE(2012,12,31)-422</f>
        <v>40852</v>
      </c>
      <c r="D4841" s="4" t="s">
        <v>45</v>
      </c>
      <c r="E4841" s="4">
        <v>10.0</v>
      </c>
      <c r="F4841" s="4">
        <v>48.0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1">C4841+2</f>
        <v>40854</v>
      </c>
    </row>
    <row r="4842" ht="12.75" customHeight="1">
      <c r="A4842" s="4">
        <v>7698.0</v>
      </c>
      <c r="B4842" s="4">
        <v>55200.0</v>
      </c>
      <c r="C4842" s="5">
        <f t="shared" ref="C4842:C4843" si="2022">DATE(2012,12,31)-856</f>
        <v>40418</v>
      </c>
      <c r="D4842" s="4" t="s">
        <v>63</v>
      </c>
      <c r="E4842" s="4">
        <v>33.0</v>
      </c>
      <c r="F4842" s="4">
        <v>505.08</v>
      </c>
      <c r="G4842" s="4">
        <v>0.01</v>
      </c>
      <c r="H4842" s="4" t="s">
        <v>22</v>
      </c>
      <c r="I4842" s="6">
        <v>-56.9135</v>
      </c>
      <c r="J4842" s="4">
        <v>15.15</v>
      </c>
      <c r="K4842" s="4">
        <v>10.13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1"/>
        <v>40420</v>
      </c>
    </row>
    <row r="4843" ht="12.75" customHeight="1">
      <c r="A4843" s="4">
        <v>7699.0</v>
      </c>
      <c r="B4843" s="4">
        <v>55200.0</v>
      </c>
      <c r="C4843" s="5">
        <f t="shared" si="2022"/>
        <v>40418</v>
      </c>
      <c r="D4843" s="4" t="s">
        <v>63</v>
      </c>
      <c r="E4843" s="4">
        <v>4.0</v>
      </c>
      <c r="F4843" s="4">
        <v>649.2384999999999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0.58</v>
      </c>
      <c r="U4843" s="5">
        <f t="shared" si="2021"/>
        <v>40420</v>
      </c>
    </row>
    <row r="4844" ht="12.75" customHeight="1">
      <c r="A4844" s="4">
        <v>7799.0</v>
      </c>
      <c r="B4844" s="4">
        <v>55808.0</v>
      </c>
      <c r="C4844" s="5">
        <f t="shared" ref="C4844:C4845" si="2023">DATE(2012,12,31)-686</f>
        <v>40588</v>
      </c>
      <c r="D4844" s="4" t="s">
        <v>45</v>
      </c>
      <c r="E4844" s="4">
        <v>6.0</v>
      </c>
      <c r="F4844" s="4">
        <v>830.28</v>
      </c>
      <c r="G4844" s="4">
        <v>0.0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1"/>
        <v>40590</v>
      </c>
    </row>
    <row r="4845" ht="12.75" customHeight="1">
      <c r="A4845" s="4">
        <v>7800.0</v>
      </c>
      <c r="B4845" s="4">
        <v>55808.0</v>
      </c>
      <c r="C4845" s="5">
        <f t="shared" si="2023"/>
        <v>40588</v>
      </c>
      <c r="D4845" s="4" t="s">
        <v>45</v>
      </c>
      <c r="E4845" s="4">
        <v>45.0</v>
      </c>
      <c r="F4845" s="4">
        <v>837.386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4.81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0.58</v>
      </c>
      <c r="U4845" s="5">
        <f t="shared" si="2021"/>
        <v>40590</v>
      </c>
    </row>
    <row r="4846" ht="12.75" customHeight="1">
      <c r="A4846" s="4">
        <v>7823.0</v>
      </c>
      <c r="B4846" s="4">
        <v>55937.0</v>
      </c>
      <c r="C4846" s="5">
        <f t="shared" ref="C4846:C4847" si="2024">DATE(2012,12,31)-1435</f>
        <v>39839</v>
      </c>
      <c r="D4846" s="4" t="s">
        <v>63</v>
      </c>
      <c r="E4846" s="4">
        <v>10.0</v>
      </c>
      <c r="F4846" s="4">
        <v>392.77</v>
      </c>
      <c r="G4846" s="4">
        <v>0.09</v>
      </c>
      <c r="H4846" s="4" t="s">
        <v>22</v>
      </c>
      <c r="I4846" s="6">
        <v>-146.2</v>
      </c>
      <c r="J4846" s="4">
        <v>39.98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1"/>
        <v>39841</v>
      </c>
    </row>
    <row r="4847" ht="12.75" customHeight="1">
      <c r="A4847" s="4">
        <v>7824.0</v>
      </c>
      <c r="B4847" s="4">
        <v>55937.0</v>
      </c>
      <c r="C4847" s="5">
        <f t="shared" si="2024"/>
        <v>39839</v>
      </c>
      <c r="D4847" s="4" t="s">
        <v>63</v>
      </c>
      <c r="E4847" s="4">
        <v>24.0</v>
      </c>
      <c r="F4847" s="4">
        <v>7332.088000000001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1"/>
        <v>39841</v>
      </c>
    </row>
    <row r="4848" ht="12.75" customHeight="1">
      <c r="A4848" s="4">
        <v>7854.0</v>
      </c>
      <c r="B4848" s="4">
        <v>56161.0</v>
      </c>
      <c r="C4848" s="5">
        <f>DATE(2012,12,31)-261</f>
        <v>41013</v>
      </c>
      <c r="D4848" s="4" t="s">
        <v>30</v>
      </c>
      <c r="E4848" s="4">
        <v>38.0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</v>
      </c>
      <c r="U4848" s="5">
        <f t="shared" si="2021"/>
        <v>41015</v>
      </c>
    </row>
    <row r="4849" ht="12.75" customHeight="1">
      <c r="A4849" s="4">
        <v>8050.0</v>
      </c>
      <c r="B4849" s="4">
        <v>57477.0</v>
      </c>
      <c r="C4849" s="5">
        <f t="shared" ref="C4849:C4850" si="2025">DATE(2012,12,31)-827</f>
        <v>40447</v>
      </c>
      <c r="D4849" s="4" t="s">
        <v>30</v>
      </c>
      <c r="E4849" s="4">
        <v>50.0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0.58</v>
      </c>
      <c r="U4849" s="5">
        <f t="shared" si="2021"/>
        <v>40449</v>
      </c>
    </row>
    <row r="4850" ht="12.75" customHeight="1">
      <c r="A4850" s="4">
        <v>8051.0</v>
      </c>
      <c r="B4850" s="4">
        <v>57477.0</v>
      </c>
      <c r="C4850" s="5">
        <f t="shared" si="2025"/>
        <v>40447</v>
      </c>
      <c r="D4850" s="4" t="s">
        <v>30</v>
      </c>
      <c r="E4850" s="4">
        <v>45.0</v>
      </c>
      <c r="F4850" s="4">
        <v>3086.5115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ht="12.75" customHeight="1">
      <c r="A4851" s="4">
        <v>8255.0</v>
      </c>
      <c r="B4851" s="4">
        <v>59044.0</v>
      </c>
      <c r="C4851" s="5">
        <f>DATE(2012,12,31)-530</f>
        <v>40744</v>
      </c>
      <c r="D4851" s="4" t="s">
        <v>78</v>
      </c>
      <c r="E4851" s="4">
        <v>6.0</v>
      </c>
      <c r="F4851" s="4">
        <v>20.19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ht="12.75" customHeight="1">
      <c r="A4852" s="4">
        <v>8286.0</v>
      </c>
      <c r="B4852" s="4">
        <v>59204.0</v>
      </c>
      <c r="C4852" s="5">
        <f>DATE(2012,12,31)-306</f>
        <v>40968</v>
      </c>
      <c r="D4852" s="4" t="s">
        <v>63</v>
      </c>
      <c r="E4852" s="4">
        <v>25.0</v>
      </c>
      <c r="F4852" s="4">
        <v>151.75</v>
      </c>
      <c r="G4852" s="4">
        <v>0.04</v>
      </c>
      <c r="H4852" s="4" t="s">
        <v>22</v>
      </c>
      <c r="I4852" s="6">
        <v>-66.24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ht="12.75" customHeight="1">
      <c r="A4853" s="4">
        <v>8393.0</v>
      </c>
      <c r="B4853" s="4">
        <v>59969.0</v>
      </c>
      <c r="C4853" s="5">
        <f t="shared" ref="C4853:C4854" si="2026">DATE(2012,12,31)-355</f>
        <v>40919</v>
      </c>
      <c r="D4853" s="4" t="s">
        <v>30</v>
      </c>
      <c r="E4853" s="4">
        <v>42.0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ht="12.75" customHeight="1">
      <c r="A4854" s="4">
        <v>8394.0</v>
      </c>
      <c r="B4854" s="4">
        <v>59969.0</v>
      </c>
      <c r="C4854" s="5">
        <f t="shared" si="2026"/>
        <v>40919</v>
      </c>
      <c r="D4854" s="4" t="s">
        <v>30</v>
      </c>
      <c r="E4854" s="4">
        <v>16.0</v>
      </c>
      <c r="F4854" s="4">
        <v>275.01</v>
      </c>
      <c r="G4854" s="4">
        <v>0.0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ht="12.75" customHeight="1">
      <c r="A4855" s="4">
        <v>26.0</v>
      </c>
      <c r="B4855" s="4">
        <v>166.0</v>
      </c>
      <c r="C4855" s="5">
        <f>DATE(2012,12,31)-477</f>
        <v>40797</v>
      </c>
      <c r="D4855" s="4" t="s">
        <v>30</v>
      </c>
      <c r="E4855" s="4">
        <v>10.0</v>
      </c>
      <c r="F4855" s="4">
        <v>567.9359999999999</v>
      </c>
      <c r="G4855" s="4">
        <v>0.02</v>
      </c>
      <c r="H4855" s="4" t="s">
        <v>56</v>
      </c>
      <c r="I4855" s="6">
        <v>-126.09299999999999</v>
      </c>
      <c r="J4855" s="4">
        <v>65.99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</v>
      </c>
      <c r="U4855" s="5">
        <f t="shared" ref="U4855:U4857" si="2027">C4855+2</f>
        <v>40799</v>
      </c>
    </row>
    <row r="4856" ht="12.75" customHeight="1">
      <c r="A4856" s="4">
        <v>31.0</v>
      </c>
      <c r="B4856" s="4">
        <v>197.0</v>
      </c>
      <c r="C4856" s="5">
        <f>DATE(2012,12,31)-635</f>
        <v>40639</v>
      </c>
      <c r="D4856" s="4" t="s">
        <v>30</v>
      </c>
      <c r="E4856" s="4">
        <v>23.0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7"/>
        <v>40641</v>
      </c>
    </row>
    <row r="4857" ht="12.75" customHeight="1">
      <c r="A4857" s="4">
        <v>41.0</v>
      </c>
      <c r="B4857" s="4">
        <v>231.0</v>
      </c>
      <c r="C4857" s="5">
        <f>DATE(2012,12,31)-1190</f>
        <v>40084</v>
      </c>
      <c r="D4857" s="4" t="s">
        <v>30</v>
      </c>
      <c r="E4857" s="4">
        <v>2.0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19.99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0.57</v>
      </c>
      <c r="U4857" s="5">
        <f t="shared" si="2027"/>
        <v>40086</v>
      </c>
    </row>
    <row r="4858" ht="12.75" customHeight="1">
      <c r="A4858" s="4">
        <v>81.0</v>
      </c>
      <c r="B4858" s="4">
        <v>487.0</v>
      </c>
      <c r="C4858" s="5">
        <f>DATE(2012,12,31)-136</f>
        <v>41138</v>
      </c>
      <c r="D4858" s="4" t="s">
        <v>78</v>
      </c>
      <c r="E4858" s="4">
        <v>19.0</v>
      </c>
      <c r="F4858" s="4">
        <v>210.4</v>
      </c>
      <c r="G4858" s="4">
        <v>0.07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ht="12.75" customHeight="1">
      <c r="A4859" s="4">
        <v>109.0</v>
      </c>
      <c r="B4859" s="4">
        <v>710.0</v>
      </c>
      <c r="C4859" s="5">
        <f t="shared" ref="C4859:C4861" si="2028">DATE(2012,12,31)-1095</f>
        <v>40179</v>
      </c>
      <c r="D4859" s="4" t="s">
        <v>21</v>
      </c>
      <c r="E4859" s="4">
        <v>42.0</v>
      </c>
      <c r="F4859" s="4">
        <v>161.77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ht="12.75" customHeight="1">
      <c r="A4860" s="4">
        <v>110.0</v>
      </c>
      <c r="B4860" s="4">
        <v>710.0</v>
      </c>
      <c r="C4860" s="5">
        <f t="shared" si="2028"/>
        <v>40179</v>
      </c>
      <c r="D4860" s="4" t="s">
        <v>21</v>
      </c>
      <c r="E4860" s="4">
        <v>11.0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ht="12.75" customHeight="1">
      <c r="A4861" s="4">
        <v>111.0</v>
      </c>
      <c r="B4861" s="4">
        <v>710.0</v>
      </c>
      <c r="C4861" s="5">
        <f t="shared" si="2028"/>
        <v>40179</v>
      </c>
      <c r="D4861" s="4" t="s">
        <v>21</v>
      </c>
      <c r="E4861" s="4">
        <v>29.0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145.45</v>
      </c>
      <c r="K4861" s="4">
        <v>17.85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</v>
      </c>
      <c r="U4861" s="5">
        <f>C4861+4</f>
        <v>40183</v>
      </c>
    </row>
    <row r="4862" ht="12.75" customHeight="1">
      <c r="A4862" s="4">
        <v>123.0</v>
      </c>
      <c r="B4862" s="4">
        <v>801.0</v>
      </c>
      <c r="C4862" s="5">
        <f>DATE(2012,12,31)-318</f>
        <v>40956</v>
      </c>
      <c r="D4862" s="4" t="s">
        <v>78</v>
      </c>
      <c r="E4862" s="4">
        <v>20.0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0.58</v>
      </c>
      <c r="U4862" s="5">
        <f>C4862+3</f>
        <v>40959</v>
      </c>
    </row>
    <row r="4863" ht="12.75" customHeight="1">
      <c r="A4863" s="4">
        <v>136.0</v>
      </c>
      <c r="B4863" s="4">
        <v>870.0</v>
      </c>
      <c r="C4863" s="5">
        <f>DATE(2012,12,31)-926</f>
        <v>40348</v>
      </c>
      <c r="D4863" s="4" t="s">
        <v>45</v>
      </c>
      <c r="E4863" s="4">
        <v>23.0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9">C4863+0</f>
        <v>40348</v>
      </c>
    </row>
    <row r="4864" ht="12.75" customHeight="1">
      <c r="A4864" s="4">
        <v>189.0</v>
      </c>
      <c r="B4864" s="4">
        <v>1253.0</v>
      </c>
      <c r="C4864" s="5">
        <f>DATE(2012,12,31)-1071</f>
        <v>40203</v>
      </c>
      <c r="D4864" s="4" t="s">
        <v>78</v>
      </c>
      <c r="E4864" s="4">
        <v>15.0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9"/>
        <v>40203</v>
      </c>
    </row>
    <row r="4865" ht="12.75" customHeight="1">
      <c r="A4865" s="4">
        <v>232.0</v>
      </c>
      <c r="B4865" s="4">
        <v>1542.0</v>
      </c>
      <c r="C4865" s="5">
        <f t="shared" ref="C4865:C4866" si="2030">DATE(2012,12,31)-839</f>
        <v>40435</v>
      </c>
      <c r="D4865" s="4" t="s">
        <v>63</v>
      </c>
      <c r="E4865" s="4">
        <v>47.0</v>
      </c>
      <c r="F4865" s="4">
        <v>2150.25</v>
      </c>
      <c r="G4865" s="4">
        <v>0.06</v>
      </c>
      <c r="H4865" s="4" t="s">
        <v>22</v>
      </c>
      <c r="I4865" s="6">
        <v>586.93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</v>
      </c>
      <c r="U4865" s="5">
        <f t="shared" ref="U4865:U4867" si="2031">C4865+2</f>
        <v>40437</v>
      </c>
    </row>
    <row r="4866" ht="12.75" customHeight="1">
      <c r="A4866" s="4">
        <v>233.0</v>
      </c>
      <c r="B4866" s="4">
        <v>1542.0</v>
      </c>
      <c r="C4866" s="5">
        <f t="shared" si="2030"/>
        <v>40435</v>
      </c>
      <c r="D4866" s="4" t="s">
        <v>63</v>
      </c>
      <c r="E4866" s="4">
        <v>13.0</v>
      </c>
      <c r="F4866" s="4">
        <v>448.0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0.58</v>
      </c>
      <c r="U4866" s="5">
        <f t="shared" si="2031"/>
        <v>40437</v>
      </c>
    </row>
    <row r="4867" ht="12.75" customHeight="1">
      <c r="A4867" s="4">
        <v>356.0</v>
      </c>
      <c r="B4867" s="4">
        <v>2497.0</v>
      </c>
      <c r="C4867" s="5">
        <f>DATE(2012,12,31)-127</f>
        <v>41147</v>
      </c>
      <c r="D4867" s="4" t="s">
        <v>78</v>
      </c>
      <c r="E4867" s="4">
        <v>21.0</v>
      </c>
      <c r="F4867" s="4">
        <v>3629.1175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</v>
      </c>
      <c r="U4867" s="5">
        <f t="shared" si="2031"/>
        <v>41149</v>
      </c>
    </row>
    <row r="4868" ht="12.75" customHeight="1">
      <c r="A4868" s="4">
        <v>380.0</v>
      </c>
      <c r="B4868" s="4">
        <v>2630.0</v>
      </c>
      <c r="C4868" s="5">
        <f>DATE(2012,12,31)-69</f>
        <v>41205</v>
      </c>
      <c r="D4868" s="4" t="s">
        <v>21</v>
      </c>
      <c r="E4868" s="4">
        <v>31.0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ht="12.75" customHeight="1">
      <c r="A4869" s="4">
        <v>384.0</v>
      </c>
      <c r="B4869" s="4">
        <v>2657.0</v>
      </c>
      <c r="C4869" s="5">
        <f t="shared" ref="C4869:C4870" si="2032">DATE(2012,12,31)-442</f>
        <v>40832</v>
      </c>
      <c r="D4869" s="4" t="s">
        <v>30</v>
      </c>
      <c r="E4869" s="4">
        <v>30.0</v>
      </c>
      <c r="F4869" s="4">
        <v>8316.76</v>
      </c>
      <c r="G4869" s="4">
        <v>0.05</v>
      </c>
      <c r="H4869" s="4" t="s">
        <v>31</v>
      </c>
      <c r="I4869" s="6">
        <v>2108.8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ht="12.75" customHeight="1">
      <c r="A4870" s="4">
        <v>385.0</v>
      </c>
      <c r="B4870" s="4">
        <v>2657.0</v>
      </c>
      <c r="C4870" s="5">
        <f t="shared" si="2032"/>
        <v>40832</v>
      </c>
      <c r="D4870" s="4" t="s">
        <v>30</v>
      </c>
      <c r="E4870" s="4">
        <v>37.0</v>
      </c>
      <c r="F4870" s="4">
        <v>2143.2155</v>
      </c>
      <c r="G4870" s="4">
        <v>0.02</v>
      </c>
      <c r="H4870" s="4" t="s">
        <v>22</v>
      </c>
      <c r="I4870" s="6">
        <v>464.355</v>
      </c>
      <c r="J4870" s="4">
        <v>65.99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</v>
      </c>
      <c r="U4870" s="5">
        <f t="shared" ref="U4870:U4872" si="2033">C4870+1</f>
        <v>40833</v>
      </c>
    </row>
    <row r="4871" ht="12.75" customHeight="1">
      <c r="A4871" s="4">
        <v>389.0</v>
      </c>
      <c r="B4871" s="4">
        <v>2688.0</v>
      </c>
      <c r="C4871" s="5">
        <f t="shared" ref="C4871:C4873" si="2034">DATE(2012,12,31)-343</f>
        <v>40931</v>
      </c>
      <c r="D4871" s="4" t="s">
        <v>30</v>
      </c>
      <c r="E4871" s="4">
        <v>31.0</v>
      </c>
      <c r="F4871" s="4">
        <v>2080.035</v>
      </c>
      <c r="G4871" s="4">
        <v>0.1</v>
      </c>
      <c r="H4871" s="4" t="s">
        <v>22</v>
      </c>
      <c r="I4871" s="6">
        <v>844.9019999999999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3"/>
        <v>40932</v>
      </c>
    </row>
    <row r="4872" ht="12.75" customHeight="1">
      <c r="A4872" s="4">
        <v>390.0</v>
      </c>
      <c r="B4872" s="4">
        <v>2688.0</v>
      </c>
      <c r="C4872" s="5">
        <f t="shared" si="2034"/>
        <v>40931</v>
      </c>
      <c r="D4872" s="4" t="s">
        <v>30</v>
      </c>
      <c r="E4872" s="4">
        <v>7.0</v>
      </c>
      <c r="F4872" s="4">
        <v>145.42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3"/>
        <v>40932</v>
      </c>
    </row>
    <row r="4873" ht="12.75" customHeight="1">
      <c r="A4873" s="4">
        <v>391.0</v>
      </c>
      <c r="B4873" s="4">
        <v>2688.0</v>
      </c>
      <c r="C4873" s="5">
        <f t="shared" si="2034"/>
        <v>40931</v>
      </c>
      <c r="D4873" s="4" t="s">
        <v>30</v>
      </c>
      <c r="E4873" s="4">
        <v>11.0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</v>
      </c>
      <c r="U4873" s="5">
        <f>C4873+2</f>
        <v>40933</v>
      </c>
    </row>
    <row r="4874" ht="12.75" customHeight="1">
      <c r="A4874" s="4">
        <v>416.0</v>
      </c>
      <c r="B4874" s="4">
        <v>2816.0</v>
      </c>
      <c r="C4874" s="5">
        <f>DATE(2012,12,31)-1199</f>
        <v>40075</v>
      </c>
      <c r="D4874" s="4" t="s">
        <v>30</v>
      </c>
      <c r="E4874" s="4">
        <v>35.0</v>
      </c>
      <c r="F4874" s="4">
        <v>787.56</v>
      </c>
      <c r="G4874" s="4">
        <v>0.0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</v>
      </c>
      <c r="U4874" s="5">
        <f>C4874+1</f>
        <v>40076</v>
      </c>
    </row>
    <row r="4875" ht="12.75" customHeight="1">
      <c r="A4875" s="4">
        <v>419.0</v>
      </c>
      <c r="B4875" s="4">
        <v>2818.0</v>
      </c>
      <c r="C4875" s="5">
        <f t="shared" ref="C4875:C4877" si="2035">DATE(2012,12,31)-1116</f>
        <v>40158</v>
      </c>
      <c r="D4875" s="4" t="s">
        <v>63</v>
      </c>
      <c r="E4875" s="4">
        <v>37.0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ht="12.75" customHeight="1">
      <c r="A4876" s="4">
        <v>420.0</v>
      </c>
      <c r="B4876" s="4">
        <v>2818.0</v>
      </c>
      <c r="C4876" s="5">
        <f t="shared" si="2035"/>
        <v>40158</v>
      </c>
      <c r="D4876" s="4" t="s">
        <v>63</v>
      </c>
      <c r="E4876" s="4">
        <v>39.0</v>
      </c>
      <c r="F4876" s="4">
        <v>593.21</v>
      </c>
      <c r="G4876" s="4">
        <v>0.0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6">C4876+1</f>
        <v>40159</v>
      </c>
    </row>
    <row r="4877" ht="12.75" customHeight="1">
      <c r="A4877" s="4">
        <v>421.0</v>
      </c>
      <c r="B4877" s="4">
        <v>2818.0</v>
      </c>
      <c r="C4877" s="5">
        <f t="shared" si="2035"/>
        <v>40158</v>
      </c>
      <c r="D4877" s="4" t="s">
        <v>63</v>
      </c>
      <c r="E4877" s="4">
        <v>2.0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6"/>
        <v>40159</v>
      </c>
    </row>
    <row r="4878" ht="12.75" customHeight="1">
      <c r="A4878" s="4">
        <v>447.0</v>
      </c>
      <c r="B4878" s="4">
        <v>3040.0</v>
      </c>
      <c r="C4878" s="5">
        <f>DATE(2012,12,31)-995</f>
        <v>40279</v>
      </c>
      <c r="D4878" s="4" t="s">
        <v>63</v>
      </c>
      <c r="E4878" s="4">
        <v>13.0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6"/>
        <v>40280</v>
      </c>
    </row>
    <row r="4879" ht="12.75" customHeight="1">
      <c r="A4879" s="4">
        <v>457.0</v>
      </c>
      <c r="B4879" s="4">
        <v>3108.0</v>
      </c>
      <c r="C4879" s="5">
        <f>DATE(2012,12,31)-880</f>
        <v>40394</v>
      </c>
      <c r="D4879" s="4" t="s">
        <v>78</v>
      </c>
      <c r="E4879" s="4">
        <v>36.0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1.0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6"/>
        <v>40395</v>
      </c>
    </row>
    <row r="4880" ht="12.75" customHeight="1">
      <c r="A4880" s="4">
        <v>499.0</v>
      </c>
      <c r="B4880" s="4">
        <v>3459.0</v>
      </c>
      <c r="C4880" s="5">
        <f>DATE(2012,12,31)-1253</f>
        <v>40021</v>
      </c>
      <c r="D4880" s="4" t="s">
        <v>45</v>
      </c>
      <c r="E4880" s="4">
        <v>24.0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0.57</v>
      </c>
      <c r="U4880" s="5">
        <f>C4880+2</f>
        <v>40023</v>
      </c>
    </row>
    <row r="4881" ht="12.75" customHeight="1">
      <c r="A4881" s="4">
        <v>504.0</v>
      </c>
      <c r="B4881" s="4">
        <v>3488.0</v>
      </c>
      <c r="C4881" s="5">
        <f t="shared" ref="C4881:C4882" si="2037">DATE(2012,12,31)-724</f>
        <v>40550</v>
      </c>
      <c r="D4881" s="4" t="s">
        <v>63</v>
      </c>
      <c r="E4881" s="4">
        <v>39.0</v>
      </c>
      <c r="F4881" s="4">
        <v>4669.19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ht="12.75" customHeight="1">
      <c r="A4882" s="4">
        <v>505.0</v>
      </c>
      <c r="B4882" s="4">
        <v>3488.0</v>
      </c>
      <c r="C4882" s="5">
        <f t="shared" si="2037"/>
        <v>40550</v>
      </c>
      <c r="D4882" s="4" t="s">
        <v>63</v>
      </c>
      <c r="E4882" s="4">
        <v>6.0</v>
      </c>
      <c r="F4882" s="4">
        <v>133.4</v>
      </c>
      <c r="G4882" s="4">
        <v>0.02</v>
      </c>
      <c r="H4882" s="4" t="s">
        <v>22</v>
      </c>
      <c r="I4882" s="6">
        <v>-0.3100000000000023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</v>
      </c>
      <c r="U4882" s="5">
        <f>C4882+1</f>
        <v>40551</v>
      </c>
    </row>
    <row r="4883" ht="12.75" customHeight="1">
      <c r="A4883" s="4">
        <v>506.0</v>
      </c>
      <c r="B4883" s="4">
        <v>3492.0</v>
      </c>
      <c r="C4883" s="5">
        <f t="shared" ref="C4883:C4885" si="2038">DATE(2012,12,31)-1134</f>
        <v>40140</v>
      </c>
      <c r="D4883" s="4" t="s">
        <v>21</v>
      </c>
      <c r="E4883" s="4">
        <v>35.0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19.99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ht="12.75" customHeight="1">
      <c r="A4884" s="4">
        <v>507.0</v>
      </c>
      <c r="B4884" s="4">
        <v>3492.0</v>
      </c>
      <c r="C4884" s="5">
        <f t="shared" si="2038"/>
        <v>40140</v>
      </c>
      <c r="D4884" s="4" t="s">
        <v>21</v>
      </c>
      <c r="E4884" s="4">
        <v>49.0</v>
      </c>
      <c r="F4884" s="4">
        <v>6177.53</v>
      </c>
      <c r="G4884" s="4">
        <v>0.1</v>
      </c>
      <c r="H4884" s="4" t="s">
        <v>31</v>
      </c>
      <c r="I4884" s="6">
        <v>-1195.12</v>
      </c>
      <c r="J4884" s="4">
        <v>130.98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9">C4884+0</f>
        <v>40140</v>
      </c>
    </row>
    <row r="4885" ht="12.75" customHeight="1">
      <c r="A4885" s="4">
        <v>508.0</v>
      </c>
      <c r="B4885" s="4">
        <v>3492.0</v>
      </c>
      <c r="C4885" s="5">
        <f t="shared" si="2038"/>
        <v>40140</v>
      </c>
      <c r="D4885" s="4" t="s">
        <v>21</v>
      </c>
      <c r="E4885" s="4">
        <v>33.0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9"/>
        <v>40140</v>
      </c>
    </row>
    <row r="4886" ht="12.75" customHeight="1">
      <c r="A4886" s="4">
        <v>516.0</v>
      </c>
      <c r="B4886" s="4">
        <v>3553.0</v>
      </c>
      <c r="C4886" s="5">
        <f>DATE(2012,12,31)-1324</f>
        <v>39950</v>
      </c>
      <c r="D4886" s="4" t="s">
        <v>63</v>
      </c>
      <c r="E4886" s="4">
        <v>7.0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0.58</v>
      </c>
      <c r="U4886" s="5">
        <f>C4886+1</f>
        <v>39951</v>
      </c>
    </row>
    <row r="4887" ht="12.75" customHeight="1">
      <c r="A4887" s="4">
        <v>533.0</v>
      </c>
      <c r="B4887" s="4">
        <v>3622.0</v>
      </c>
      <c r="C4887" s="5">
        <f>DATE(2012,12,31)-401</f>
        <v>40873</v>
      </c>
      <c r="D4887" s="4" t="s">
        <v>21</v>
      </c>
      <c r="E4887" s="4">
        <v>16.0</v>
      </c>
      <c r="F4887" s="4">
        <v>76.6</v>
      </c>
      <c r="G4887" s="4">
        <v>0.01</v>
      </c>
      <c r="H4887" s="4" t="s">
        <v>22</v>
      </c>
      <c r="I4887" s="6">
        <v>-48.507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ht="12.75" customHeight="1">
      <c r="A4888" s="4">
        <v>563.0</v>
      </c>
      <c r="B4888" s="4">
        <v>3810.0</v>
      </c>
      <c r="C4888" s="5">
        <f t="shared" ref="C4888:C4889" si="2040">DATE(2012,12,31)-106</f>
        <v>41168</v>
      </c>
      <c r="D4888" s="4" t="s">
        <v>78</v>
      </c>
      <c r="E4888" s="4">
        <v>40.0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</v>
      </c>
      <c r="K4888" s="4">
        <v>49.0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1">C4888+2</f>
        <v>41170</v>
      </c>
    </row>
    <row r="4889" ht="12.75" customHeight="1">
      <c r="A4889" s="4">
        <v>564.0</v>
      </c>
      <c r="B4889" s="4">
        <v>3810.0</v>
      </c>
      <c r="C4889" s="5">
        <f t="shared" si="2040"/>
        <v>41168</v>
      </c>
      <c r="D4889" s="4" t="s">
        <v>78</v>
      </c>
      <c r="E4889" s="4">
        <v>25.0</v>
      </c>
      <c r="F4889" s="4">
        <v>78.26</v>
      </c>
      <c r="G4889" s="4">
        <v>0.04</v>
      </c>
      <c r="H4889" s="4" t="s">
        <v>56</v>
      </c>
      <c r="I4889" s="6">
        <v>35.09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1"/>
        <v>41170</v>
      </c>
    </row>
    <row r="4890" ht="12.75" customHeight="1">
      <c r="A4890" s="4">
        <v>635.0</v>
      </c>
      <c r="B4890" s="4">
        <v>4451.0</v>
      </c>
      <c r="C4890" s="5">
        <f>DATE(2012,12,31)-1188</f>
        <v>40086</v>
      </c>
      <c r="D4890" s="4" t="s">
        <v>78</v>
      </c>
      <c r="E4890" s="4">
        <v>47.0</v>
      </c>
      <c r="F4890" s="4">
        <v>992.95</v>
      </c>
      <c r="G4890" s="4">
        <v>0.04</v>
      </c>
      <c r="H4890" s="4" t="s">
        <v>22</v>
      </c>
      <c r="I4890" s="6">
        <v>-65.21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ht="12.75" customHeight="1">
      <c r="A4891" s="4">
        <v>642.0</v>
      </c>
      <c r="B4891" s="4">
        <v>4516.0</v>
      </c>
      <c r="C4891" s="5">
        <f>DATE(2012,12,31)-1374</f>
        <v>39900</v>
      </c>
      <c r="D4891" s="4" t="s">
        <v>63</v>
      </c>
      <c r="E4891" s="4">
        <v>42.0</v>
      </c>
      <c r="F4891" s="4">
        <v>294.78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ht="12.75" customHeight="1">
      <c r="A4892" s="4">
        <v>646.0</v>
      </c>
      <c r="B4892" s="4">
        <v>4578.0</v>
      </c>
      <c r="C4892" s="5">
        <f t="shared" ref="C4892:C4894" si="2042">DATE(2012,12,31)-110</f>
        <v>41164</v>
      </c>
      <c r="D4892" s="4" t="s">
        <v>21</v>
      </c>
      <c r="E4892" s="4">
        <v>45.0</v>
      </c>
      <c r="F4892" s="4">
        <v>282.71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ht="12.75" customHeight="1">
      <c r="A4893" s="4">
        <v>647.0</v>
      </c>
      <c r="B4893" s="4">
        <v>4578.0</v>
      </c>
      <c r="C4893" s="5">
        <f t="shared" si="2042"/>
        <v>41164</v>
      </c>
      <c r="D4893" s="4" t="s">
        <v>21</v>
      </c>
      <c r="E4893" s="4">
        <v>48.0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3">C4893+7</f>
        <v>41171</v>
      </c>
    </row>
    <row r="4894" ht="12.75" customHeight="1">
      <c r="A4894" s="4">
        <v>648.0</v>
      </c>
      <c r="B4894" s="4">
        <v>4578.0</v>
      </c>
      <c r="C4894" s="5">
        <f t="shared" si="2042"/>
        <v>41164</v>
      </c>
      <c r="D4894" s="4" t="s">
        <v>21</v>
      </c>
      <c r="E4894" s="4">
        <v>15.0</v>
      </c>
      <c r="F4894" s="4">
        <v>294.66</v>
      </c>
      <c r="G4894" s="4">
        <v>0.07</v>
      </c>
      <c r="H4894" s="4" t="s">
        <v>22</v>
      </c>
      <c r="I4894" s="6">
        <v>86.33</v>
      </c>
      <c r="J4894" s="4">
        <v>20.24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3"/>
        <v>41171</v>
      </c>
    </row>
    <row r="4895" ht="12.75" customHeight="1">
      <c r="A4895" s="4">
        <v>655.0</v>
      </c>
      <c r="B4895" s="4">
        <v>4611.0</v>
      </c>
      <c r="C4895" s="5">
        <f>DATE(2012,12,31)-1087</f>
        <v>40187</v>
      </c>
      <c r="D4895" s="4" t="s">
        <v>30</v>
      </c>
      <c r="E4895" s="4">
        <v>32.0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ht="12.75" customHeight="1">
      <c r="A4896" s="4">
        <v>731.0</v>
      </c>
      <c r="B4896" s="4">
        <v>5281.0</v>
      </c>
      <c r="C4896" s="5">
        <f t="shared" ref="C4896:C4897" si="2044">DATE(2012,12,31)-426</f>
        <v>40848</v>
      </c>
      <c r="D4896" s="4" t="s">
        <v>30</v>
      </c>
      <c r="E4896" s="4">
        <v>36.0</v>
      </c>
      <c r="F4896" s="4">
        <v>4733.7</v>
      </c>
      <c r="G4896" s="4">
        <v>0.0</v>
      </c>
      <c r="H4896" s="4" t="s">
        <v>31</v>
      </c>
      <c r="I4896" s="6">
        <v>624.36</v>
      </c>
      <c r="J4896" s="4">
        <v>120.98</v>
      </c>
      <c r="K4896" s="4">
        <v>30.0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5">C4896+1</f>
        <v>40849</v>
      </c>
    </row>
    <row r="4897" ht="12.75" customHeight="1">
      <c r="A4897" s="4">
        <v>732.0</v>
      </c>
      <c r="B4897" s="4">
        <v>5281.0</v>
      </c>
      <c r="C4897" s="5">
        <f t="shared" si="2044"/>
        <v>40848</v>
      </c>
      <c r="D4897" s="4" t="s">
        <v>30</v>
      </c>
      <c r="E4897" s="4">
        <v>14.0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5"/>
        <v>40849</v>
      </c>
    </row>
    <row r="4898" ht="12.75" customHeight="1">
      <c r="A4898" s="4">
        <v>787.0</v>
      </c>
      <c r="B4898" s="4">
        <v>5635.0</v>
      </c>
      <c r="C4898" s="5">
        <f t="shared" ref="C4898:C4899" si="2046">DATE(2012,12,31)-138</f>
        <v>41136</v>
      </c>
      <c r="D4898" s="4" t="s">
        <v>63</v>
      </c>
      <c r="E4898" s="4">
        <v>17.0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7">C4898+2</f>
        <v>41138</v>
      </c>
    </row>
    <row r="4899" ht="12.75" customHeight="1">
      <c r="A4899" s="4">
        <v>788.0</v>
      </c>
      <c r="B4899" s="4">
        <v>5635.0</v>
      </c>
      <c r="C4899" s="5">
        <f t="shared" si="2046"/>
        <v>41136</v>
      </c>
      <c r="D4899" s="4" t="s">
        <v>63</v>
      </c>
      <c r="E4899" s="4">
        <v>50.0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</v>
      </c>
      <c r="U4899" s="5">
        <f t="shared" si="2047"/>
        <v>41138</v>
      </c>
    </row>
    <row r="4900" ht="12.75" customHeight="1">
      <c r="A4900" s="4">
        <v>791.0</v>
      </c>
      <c r="B4900" s="4">
        <v>5696.0</v>
      </c>
      <c r="C4900" s="5">
        <f t="shared" ref="C4900:C4902" si="2048">DATE(2012,12,31)-608</f>
        <v>40666</v>
      </c>
      <c r="D4900" s="4" t="s">
        <v>78</v>
      </c>
      <c r="E4900" s="4">
        <v>4.0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19.99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7"/>
        <v>40668</v>
      </c>
    </row>
    <row r="4901" ht="12.75" customHeight="1">
      <c r="A4901" s="4">
        <v>792.0</v>
      </c>
      <c r="B4901" s="4">
        <v>5696.0</v>
      </c>
      <c r="C4901" s="5">
        <f t="shared" si="2048"/>
        <v>40666</v>
      </c>
      <c r="D4901" s="4" t="s">
        <v>78</v>
      </c>
      <c r="E4901" s="4">
        <v>40.0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7"/>
        <v>40668</v>
      </c>
    </row>
    <row r="4902" ht="12.75" customHeight="1">
      <c r="A4902" s="4">
        <v>793.0</v>
      </c>
      <c r="B4902" s="4">
        <v>5696.0</v>
      </c>
      <c r="C4902" s="5">
        <f t="shared" si="2048"/>
        <v>40666</v>
      </c>
      <c r="D4902" s="4" t="s">
        <v>78</v>
      </c>
      <c r="E4902" s="4">
        <v>31.0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7"/>
        <v>40668</v>
      </c>
    </row>
    <row r="4903" ht="12.75" customHeight="1">
      <c r="A4903" s="4">
        <v>820.0</v>
      </c>
      <c r="B4903" s="4">
        <v>5921.0</v>
      </c>
      <c r="C4903" s="5">
        <f>DATE(2012,12,31)-1365</f>
        <v>39909</v>
      </c>
      <c r="D4903" s="4" t="s">
        <v>21</v>
      </c>
      <c r="E4903" s="4">
        <v>27.0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0.57</v>
      </c>
      <c r="U4903" s="5">
        <f>C4903+7</f>
        <v>39916</v>
      </c>
    </row>
    <row r="4904" ht="12.75" customHeight="1">
      <c r="A4904" s="4">
        <v>868.0</v>
      </c>
      <c r="B4904" s="4">
        <v>6241.0</v>
      </c>
      <c r="C4904" s="5">
        <f t="shared" ref="C4904:C4905" si="2049">DATE(2012,12,31)-1098</f>
        <v>40176</v>
      </c>
      <c r="D4904" s="4" t="s">
        <v>21</v>
      </c>
      <c r="E4904" s="4">
        <v>24.0</v>
      </c>
      <c r="F4904" s="4">
        <v>133.94</v>
      </c>
      <c r="G4904" s="4">
        <v>0.08</v>
      </c>
      <c r="H4904" s="4" t="s">
        <v>56</v>
      </c>
      <c r="I4904" s="6">
        <v>45.0</v>
      </c>
      <c r="J4904" s="4">
        <v>5.84</v>
      </c>
      <c r="K4904" s="4">
        <v>1.0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ht="12.75" customHeight="1">
      <c r="A4905" s="4">
        <v>869.0</v>
      </c>
      <c r="B4905" s="4">
        <v>6241.0</v>
      </c>
      <c r="C4905" s="5">
        <f t="shared" si="2049"/>
        <v>40176</v>
      </c>
      <c r="D4905" s="4" t="s">
        <v>21</v>
      </c>
      <c r="E4905" s="4">
        <v>29.0</v>
      </c>
      <c r="F4905" s="4">
        <v>5433.0895</v>
      </c>
      <c r="G4905" s="4">
        <v>0.0</v>
      </c>
      <c r="H4905" s="4" t="s">
        <v>22</v>
      </c>
      <c r="I4905" s="6">
        <v>1365.282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ht="12.75" customHeight="1">
      <c r="A4906" s="4">
        <v>892.0</v>
      </c>
      <c r="B4906" s="4">
        <v>6406.0</v>
      </c>
      <c r="C4906" s="5">
        <f>DATE(2012,12,31)-1235</f>
        <v>40039</v>
      </c>
      <c r="D4906" s="4" t="s">
        <v>78</v>
      </c>
      <c r="E4906" s="4">
        <v>43.0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</v>
      </c>
      <c r="U4906" s="5">
        <f t="shared" ref="U4906:U4909" si="2050">C4906+2</f>
        <v>40041</v>
      </c>
    </row>
    <row r="4907" ht="12.75" customHeight="1">
      <c r="A4907" s="4">
        <v>920.0</v>
      </c>
      <c r="B4907" s="4">
        <v>6625.0</v>
      </c>
      <c r="C4907" s="5">
        <f>DATE(2012,12,31)-869</f>
        <v>40405</v>
      </c>
      <c r="D4907" s="4" t="s">
        <v>30</v>
      </c>
      <c r="E4907" s="4">
        <v>23.0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50"/>
        <v>40407</v>
      </c>
    </row>
    <row r="4908" ht="12.75" customHeight="1">
      <c r="A4908" s="4">
        <v>947.0</v>
      </c>
      <c r="B4908" s="4">
        <v>6854.0</v>
      </c>
      <c r="C4908" s="5">
        <f t="shared" ref="C4908:C4909" si="2051">DATE(2012,12,31)-1455</f>
        <v>39819</v>
      </c>
      <c r="D4908" s="4" t="s">
        <v>63</v>
      </c>
      <c r="E4908" s="4">
        <v>1.0</v>
      </c>
      <c r="F4908" s="4">
        <v>22.13</v>
      </c>
      <c r="G4908" s="4">
        <v>0.07</v>
      </c>
      <c r="H4908" s="4" t="s">
        <v>56</v>
      </c>
      <c r="I4908" s="6">
        <v>-2.392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50"/>
        <v>39821</v>
      </c>
    </row>
    <row r="4909" ht="12.75" customHeight="1">
      <c r="A4909" s="4">
        <v>948.0</v>
      </c>
      <c r="B4909" s="4">
        <v>6854.0</v>
      </c>
      <c r="C4909" s="5">
        <f t="shared" si="2051"/>
        <v>39819</v>
      </c>
      <c r="D4909" s="4" t="s">
        <v>63</v>
      </c>
      <c r="E4909" s="4">
        <v>19.0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50"/>
        <v>39821</v>
      </c>
    </row>
    <row r="4910" ht="12.75" customHeight="1">
      <c r="A4910" s="4">
        <v>1006.0</v>
      </c>
      <c r="B4910" s="4">
        <v>7335.0</v>
      </c>
      <c r="C4910" s="5">
        <f>DATE(2012,12,31)-947</f>
        <v>40327</v>
      </c>
      <c r="D4910" s="4" t="s">
        <v>21</v>
      </c>
      <c r="E4910" s="4">
        <v>43.0</v>
      </c>
      <c r="F4910" s="4">
        <v>3681.7495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</v>
      </c>
      <c r="U4910" s="5">
        <f>C4910+5</f>
        <v>40332</v>
      </c>
    </row>
    <row r="4911" ht="12.75" customHeight="1">
      <c r="A4911" s="4">
        <v>1019.0</v>
      </c>
      <c r="B4911" s="4">
        <v>7457.0</v>
      </c>
      <c r="C4911" s="5">
        <f t="shared" ref="C4911:C4912" si="2052">DATE(2012,12,31)-823</f>
        <v>40451</v>
      </c>
      <c r="D4911" s="4" t="s">
        <v>45</v>
      </c>
      <c r="E4911" s="4">
        <v>36.0</v>
      </c>
      <c r="F4911" s="4">
        <v>2300.45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19.99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ht="12.75" customHeight="1">
      <c r="A4912" s="4">
        <v>1020.0</v>
      </c>
      <c r="B4912" s="4">
        <v>7457.0</v>
      </c>
      <c r="C4912" s="5">
        <f t="shared" si="2052"/>
        <v>40451</v>
      </c>
      <c r="D4912" s="4" t="s">
        <v>45</v>
      </c>
      <c r="E4912" s="4">
        <v>46.0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</v>
      </c>
      <c r="U4912" s="5">
        <f>C4912+2</f>
        <v>40453</v>
      </c>
    </row>
    <row r="4913" ht="12.75" customHeight="1">
      <c r="A4913" s="4">
        <v>1044.0</v>
      </c>
      <c r="B4913" s="4">
        <v>7653.0</v>
      </c>
      <c r="C4913" s="5">
        <f>DATE(2012,12,31)-308</f>
        <v>40966</v>
      </c>
      <c r="D4913" s="4" t="s">
        <v>63</v>
      </c>
      <c r="E4913" s="4">
        <v>32.0</v>
      </c>
      <c r="F4913" s="4">
        <v>1425.06</v>
      </c>
      <c r="G4913" s="4">
        <v>0.1</v>
      </c>
      <c r="H4913" s="4" t="s">
        <v>22</v>
      </c>
      <c r="I4913" s="6">
        <v>597.31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ht="12.75" customHeight="1">
      <c r="A4914" s="4">
        <v>1055.0</v>
      </c>
      <c r="B4914" s="4">
        <v>7783.0</v>
      </c>
      <c r="C4914" s="5">
        <f>DATE(2012,12,31)-354</f>
        <v>40920</v>
      </c>
      <c r="D4914" s="4" t="s">
        <v>63</v>
      </c>
      <c r="E4914" s="4">
        <v>3.0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ht="12.75" customHeight="1">
      <c r="A4915" s="4">
        <v>1072.0</v>
      </c>
      <c r="B4915" s="4">
        <v>7905.0</v>
      </c>
      <c r="C4915" s="5">
        <f>DATE(2012,12,31)-1307</f>
        <v>39967</v>
      </c>
      <c r="D4915" s="4" t="s">
        <v>21</v>
      </c>
      <c r="E4915" s="4">
        <v>46.0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259.71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ht="12.75" customHeight="1">
      <c r="A4916" s="4">
        <v>1098.0</v>
      </c>
      <c r="B4916" s="4">
        <v>8064.0</v>
      </c>
      <c r="C4916" s="5">
        <f>DATE(2012,12,31)-599</f>
        <v>40675</v>
      </c>
      <c r="D4916" s="4" t="s">
        <v>30</v>
      </c>
      <c r="E4916" s="4">
        <v>44.0</v>
      </c>
      <c r="F4916" s="4">
        <v>10445.95</v>
      </c>
      <c r="G4916" s="4">
        <v>0.07</v>
      </c>
      <c r="H4916" s="4" t="s">
        <v>31</v>
      </c>
      <c r="I4916" s="6">
        <v>1069.61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0.57</v>
      </c>
      <c r="U4916" s="5">
        <f>C4916+1</f>
        <v>40676</v>
      </c>
    </row>
    <row r="4917" ht="12.75" customHeight="1">
      <c r="A4917" s="4">
        <v>1105.0</v>
      </c>
      <c r="B4917" s="4">
        <v>8130.0</v>
      </c>
      <c r="C4917" s="5">
        <f>DATE(2012,12,31)-232</f>
        <v>41042</v>
      </c>
      <c r="D4917" s="4" t="s">
        <v>78</v>
      </c>
      <c r="E4917" s="4">
        <v>15.0</v>
      </c>
      <c r="F4917" s="4">
        <v>66.33</v>
      </c>
      <c r="G4917" s="4">
        <v>0.03</v>
      </c>
      <c r="H4917" s="4" t="s">
        <v>22</v>
      </c>
      <c r="I4917" s="6">
        <v>-47.2305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ht="12.75" customHeight="1">
      <c r="A4918" s="4">
        <v>1138.0</v>
      </c>
      <c r="B4918" s="4">
        <v>8294.0</v>
      </c>
      <c r="C4918" s="5">
        <f>DATE(2012,12,31)-194</f>
        <v>41080</v>
      </c>
      <c r="D4918" s="4" t="s">
        <v>63</v>
      </c>
      <c r="E4918" s="4">
        <v>28.0</v>
      </c>
      <c r="F4918" s="4">
        <v>197.57399999999998</v>
      </c>
      <c r="G4918" s="4">
        <v>0.05</v>
      </c>
      <c r="H4918" s="4" t="s">
        <v>22</v>
      </c>
      <c r="I4918" s="6">
        <v>-90.838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3">C4918+1</f>
        <v>41081</v>
      </c>
    </row>
    <row r="4919" ht="12.75" customHeight="1">
      <c r="A4919" s="4">
        <v>1148.0</v>
      </c>
      <c r="B4919" s="4">
        <v>8384.0</v>
      </c>
      <c r="C4919" s="5">
        <f>DATE(2012,12,31)-971</f>
        <v>40303</v>
      </c>
      <c r="D4919" s="4" t="s">
        <v>30</v>
      </c>
      <c r="E4919" s="4">
        <v>37.0</v>
      </c>
      <c r="F4919" s="4">
        <v>4935.72</v>
      </c>
      <c r="G4919" s="4">
        <v>0.07</v>
      </c>
      <c r="H4919" s="4" t="s">
        <v>31</v>
      </c>
      <c r="I4919" s="6">
        <v>-698.09</v>
      </c>
      <c r="J4919" s="4">
        <v>140.98</v>
      </c>
      <c r="K4919" s="4">
        <v>36.09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3"/>
        <v>40304</v>
      </c>
    </row>
    <row r="4920" ht="12.75" customHeight="1">
      <c r="A4920" s="4">
        <v>1175.0</v>
      </c>
      <c r="B4920" s="4">
        <v>8580.0</v>
      </c>
      <c r="C4920" s="5">
        <f t="shared" ref="C4920:C4921" si="2054">DATE(2012,12,31)-650</f>
        <v>40624</v>
      </c>
      <c r="D4920" s="4" t="s">
        <v>30</v>
      </c>
      <c r="E4920" s="4">
        <v>12.0</v>
      </c>
      <c r="F4920" s="4">
        <v>151.49</v>
      </c>
      <c r="G4920" s="4">
        <v>0.0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ht="12.75" customHeight="1">
      <c r="A4921" s="4">
        <v>1176.0</v>
      </c>
      <c r="B4921" s="4">
        <v>8580.0</v>
      </c>
      <c r="C4921" s="5">
        <f t="shared" si="2054"/>
        <v>40624</v>
      </c>
      <c r="D4921" s="4" t="s">
        <v>30</v>
      </c>
      <c r="E4921" s="4">
        <v>37.0</v>
      </c>
      <c r="F4921" s="4">
        <v>308.22</v>
      </c>
      <c r="G4921" s="4">
        <v>0.0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0.58</v>
      </c>
      <c r="U4921" s="5">
        <f>C4921+1</f>
        <v>40625</v>
      </c>
    </row>
    <row r="4922" ht="12.75" customHeight="1">
      <c r="A4922" s="4">
        <v>1182.0</v>
      </c>
      <c r="B4922" s="4">
        <v>8646.0</v>
      </c>
      <c r="C4922" s="5">
        <f t="shared" ref="C4922:C4925" si="2055">DATE(2012,12,31)-1362</f>
        <v>39912</v>
      </c>
      <c r="D4922" s="4" t="s">
        <v>30</v>
      </c>
      <c r="E4922" s="4">
        <v>8.0</v>
      </c>
      <c r="F4922" s="4">
        <v>85.85</v>
      </c>
      <c r="G4922" s="4">
        <v>0.03</v>
      </c>
      <c r="H4922" s="4" t="s">
        <v>22</v>
      </c>
      <c r="I4922" s="6">
        <v>-327.65</v>
      </c>
      <c r="J4922" s="4">
        <v>4.48</v>
      </c>
      <c r="K4922" s="4">
        <v>49.0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6">C4922+2</f>
        <v>39914</v>
      </c>
    </row>
    <row r="4923" ht="12.75" customHeight="1">
      <c r="A4923" s="4">
        <v>1183.0</v>
      </c>
      <c r="B4923" s="4">
        <v>8646.0</v>
      </c>
      <c r="C4923" s="5">
        <f t="shared" si="2055"/>
        <v>39912</v>
      </c>
      <c r="D4923" s="4" t="s">
        <v>30</v>
      </c>
      <c r="E4923" s="4">
        <v>41.0</v>
      </c>
      <c r="F4923" s="4">
        <v>14377.78</v>
      </c>
      <c r="G4923" s="4">
        <v>0.06</v>
      </c>
      <c r="H4923" s="4" t="s">
        <v>31</v>
      </c>
      <c r="I4923" s="6">
        <v>4161.98</v>
      </c>
      <c r="J4923" s="4">
        <v>350.99</v>
      </c>
      <c r="K4923" s="4">
        <v>39.0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</v>
      </c>
      <c r="U4923" s="5">
        <f t="shared" si="2056"/>
        <v>39914</v>
      </c>
    </row>
    <row r="4924" ht="12.75" customHeight="1">
      <c r="A4924" s="4">
        <v>1184.0</v>
      </c>
      <c r="B4924" s="4">
        <v>8646.0</v>
      </c>
      <c r="C4924" s="5">
        <f t="shared" si="2055"/>
        <v>39912</v>
      </c>
      <c r="D4924" s="4" t="s">
        <v>30</v>
      </c>
      <c r="E4924" s="4">
        <v>26.0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6"/>
        <v>39914</v>
      </c>
    </row>
    <row r="4925" ht="12.75" customHeight="1">
      <c r="A4925" s="4">
        <v>1185.0</v>
      </c>
      <c r="B4925" s="4">
        <v>8646.0</v>
      </c>
      <c r="C4925" s="5">
        <f t="shared" si="2055"/>
        <v>39912</v>
      </c>
      <c r="D4925" s="4" t="s">
        <v>30</v>
      </c>
      <c r="E4925" s="4">
        <v>29.0</v>
      </c>
      <c r="F4925" s="4">
        <v>9558.65</v>
      </c>
      <c r="G4925" s="4">
        <v>0.09</v>
      </c>
      <c r="H4925" s="4" t="s">
        <v>31</v>
      </c>
      <c r="I4925" s="6">
        <v>2154.07</v>
      </c>
      <c r="J4925" s="4">
        <v>349.45</v>
      </c>
      <c r="K4925" s="4">
        <v>60.0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ht="12.75" customHeight="1">
      <c r="A4926" s="4">
        <v>1224.0</v>
      </c>
      <c r="B4926" s="4">
        <v>8993.0</v>
      </c>
      <c r="C4926" s="5">
        <f>DATE(2012,12,31)-583</f>
        <v>40691</v>
      </c>
      <c r="D4926" s="4" t="s">
        <v>63</v>
      </c>
      <c r="E4926" s="4">
        <v>41.0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ht="12.75" customHeight="1">
      <c r="A4927" s="4">
        <v>1231.0</v>
      </c>
      <c r="B4927" s="4">
        <v>8996.0</v>
      </c>
      <c r="C4927" s="5">
        <f>DATE(2012,12,31)-578</f>
        <v>40696</v>
      </c>
      <c r="D4927" s="4" t="s">
        <v>21</v>
      </c>
      <c r="E4927" s="4">
        <v>13.0</v>
      </c>
      <c r="F4927" s="4">
        <v>772.2675</v>
      </c>
      <c r="G4927" s="4">
        <v>0.02</v>
      </c>
      <c r="H4927" s="4" t="s">
        <v>22</v>
      </c>
      <c r="I4927" s="6">
        <v>-48.851</v>
      </c>
      <c r="J4927" s="4">
        <v>65.99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7">C4927+4</f>
        <v>40700</v>
      </c>
    </row>
    <row r="4928" ht="12.75" customHeight="1">
      <c r="A4928" s="4">
        <v>1234.0</v>
      </c>
      <c r="B4928" s="4">
        <v>8998.0</v>
      </c>
      <c r="C4928" s="5">
        <f t="shared" ref="C4928:C4930" si="2058">DATE(2012,12,31)-1093</f>
        <v>40181</v>
      </c>
      <c r="D4928" s="4" t="s">
        <v>21</v>
      </c>
      <c r="E4928" s="4">
        <v>37.0</v>
      </c>
      <c r="F4928" s="4">
        <v>1767.88</v>
      </c>
      <c r="G4928" s="4">
        <v>0.07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0.58</v>
      </c>
      <c r="U4928" s="5">
        <f t="shared" si="2057"/>
        <v>40185</v>
      </c>
    </row>
    <row r="4929" ht="12.75" customHeight="1">
      <c r="A4929" s="4">
        <v>1235.0</v>
      </c>
      <c r="B4929" s="4">
        <v>8998.0</v>
      </c>
      <c r="C4929" s="5">
        <f t="shared" si="2058"/>
        <v>40181</v>
      </c>
      <c r="D4929" s="4" t="s">
        <v>21</v>
      </c>
      <c r="E4929" s="4">
        <v>12.0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ht="12.75" customHeight="1">
      <c r="A4930" s="4">
        <v>1236.0</v>
      </c>
      <c r="B4930" s="4">
        <v>8998.0</v>
      </c>
      <c r="C4930" s="5">
        <f t="shared" si="2058"/>
        <v>40181</v>
      </c>
      <c r="D4930" s="4" t="s">
        <v>21</v>
      </c>
      <c r="E4930" s="4">
        <v>13.0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0.57</v>
      </c>
      <c r="U4930" s="5">
        <f>C4930+5</f>
        <v>40186</v>
      </c>
    </row>
    <row r="4931" ht="12.75" customHeight="1">
      <c r="A4931" s="4">
        <v>1256.0</v>
      </c>
      <c r="B4931" s="4">
        <v>9124.0</v>
      </c>
      <c r="C4931" s="5">
        <f t="shared" ref="C4931:C4932" si="2059">DATE(2012,12,31)-442</f>
        <v>40832</v>
      </c>
      <c r="D4931" s="4" t="s">
        <v>21</v>
      </c>
      <c r="E4931" s="4">
        <v>17.0</v>
      </c>
      <c r="F4931" s="4">
        <v>2637.78</v>
      </c>
      <c r="G4931" s="4">
        <v>0.04</v>
      </c>
      <c r="H4931" s="4" t="s">
        <v>22</v>
      </c>
      <c r="I4931" s="6">
        <v>-0.839999999999975</v>
      </c>
      <c r="J4931" s="4">
        <v>152.48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ht="12.75" customHeight="1">
      <c r="A4932" s="4">
        <v>1257.0</v>
      </c>
      <c r="B4932" s="4">
        <v>9124.0</v>
      </c>
      <c r="C4932" s="5">
        <f t="shared" si="2059"/>
        <v>40832</v>
      </c>
      <c r="D4932" s="4" t="s">
        <v>21</v>
      </c>
      <c r="E4932" s="4">
        <v>29.0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ht="12.75" customHeight="1">
      <c r="A4933" s="4">
        <v>1260.0</v>
      </c>
      <c r="B4933" s="4">
        <v>9152.0</v>
      </c>
      <c r="C4933" s="5">
        <f>DATE(2012,12,31)-864</f>
        <v>40410</v>
      </c>
      <c r="D4933" s="4" t="s">
        <v>45</v>
      </c>
      <c r="E4933" s="4">
        <v>43.0</v>
      </c>
      <c r="F4933" s="4">
        <v>292.808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ht="12.75" customHeight="1">
      <c r="A4934" s="4">
        <v>1281.0</v>
      </c>
      <c r="B4934" s="4">
        <v>9312.0</v>
      </c>
      <c r="C4934" s="5">
        <f>DATE(2012,12,31)-227</f>
        <v>41047</v>
      </c>
      <c r="D4934" s="4" t="s">
        <v>45</v>
      </c>
      <c r="E4934" s="4">
        <v>43.0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60">C4934+1</f>
        <v>41048</v>
      </c>
    </row>
    <row r="4935" ht="12.75" customHeight="1">
      <c r="A4935" s="4">
        <v>1330.0</v>
      </c>
      <c r="B4935" s="4">
        <v>9700.0</v>
      </c>
      <c r="C4935" s="5">
        <f>DATE(2012,12,31)-511</f>
        <v>40763</v>
      </c>
      <c r="D4935" s="4" t="s">
        <v>78</v>
      </c>
      <c r="E4935" s="4">
        <v>35.0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60"/>
        <v>40764</v>
      </c>
    </row>
    <row r="4936" ht="12.75" customHeight="1">
      <c r="A4936" s="4">
        <v>1345.0</v>
      </c>
      <c r="B4936" s="4">
        <v>9826.0</v>
      </c>
      <c r="C4936" s="5">
        <f>DATE(2012,12,31)-284</f>
        <v>40990</v>
      </c>
      <c r="D4936" s="4" t="s">
        <v>63</v>
      </c>
      <c r="E4936" s="4">
        <v>7.0</v>
      </c>
      <c r="F4936" s="4">
        <v>131.61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ht="12.75" customHeight="1">
      <c r="A4937" s="4">
        <v>1374.0</v>
      </c>
      <c r="B4937" s="4">
        <v>9954.0</v>
      </c>
      <c r="C4937" s="5">
        <f t="shared" ref="C4937:C4939" si="2061">DATE(2012,12,31)-1291</f>
        <v>39983</v>
      </c>
      <c r="D4937" s="4" t="s">
        <v>45</v>
      </c>
      <c r="E4937" s="4">
        <v>36.0</v>
      </c>
      <c r="F4937" s="4">
        <v>10122.72</v>
      </c>
      <c r="G4937" s="4">
        <v>0.07</v>
      </c>
      <c r="H4937" s="4" t="s">
        <v>31</v>
      </c>
      <c r="I4937" s="6">
        <v>-381.16</v>
      </c>
      <c r="J4937" s="4">
        <v>280.98</v>
      </c>
      <c r="K4937" s="4">
        <v>57.0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ht="12.75" customHeight="1">
      <c r="A4938" s="4">
        <v>1375.0</v>
      </c>
      <c r="B4938" s="4">
        <v>9954.0</v>
      </c>
      <c r="C4938" s="5">
        <f t="shared" si="2061"/>
        <v>39983</v>
      </c>
      <c r="D4938" s="4" t="s">
        <v>45</v>
      </c>
      <c r="E4938" s="4">
        <v>39.0</v>
      </c>
      <c r="F4938" s="4">
        <v>203.6</v>
      </c>
      <c r="G4938" s="4">
        <v>0.0</v>
      </c>
      <c r="H4938" s="4" t="s">
        <v>22</v>
      </c>
      <c r="I4938" s="6">
        <v>-166.44</v>
      </c>
      <c r="J4938" s="4">
        <v>4.98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2">C4938+2</f>
        <v>39985</v>
      </c>
    </row>
    <row r="4939" ht="12.75" customHeight="1">
      <c r="A4939" s="4">
        <v>1376.0</v>
      </c>
      <c r="B4939" s="4">
        <v>9954.0</v>
      </c>
      <c r="C4939" s="5">
        <f t="shared" si="2061"/>
        <v>39983</v>
      </c>
      <c r="D4939" s="4" t="s">
        <v>45</v>
      </c>
      <c r="E4939" s="4">
        <v>30.0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2"/>
        <v>39985</v>
      </c>
    </row>
    <row r="4940" ht="12.75" customHeight="1">
      <c r="A4940" s="4">
        <v>1391.0</v>
      </c>
      <c r="B4940" s="4">
        <v>10081.0</v>
      </c>
      <c r="C4940" s="5">
        <f>DATE(2012,12,31)-877</f>
        <v>40397</v>
      </c>
      <c r="D4940" s="4" t="s">
        <v>45</v>
      </c>
      <c r="E4940" s="4">
        <v>49.0</v>
      </c>
      <c r="F4940" s="4">
        <v>1058.43</v>
      </c>
      <c r="G4940" s="4">
        <v>0.02</v>
      </c>
      <c r="H4940" s="4" t="s">
        <v>22</v>
      </c>
      <c r="I4940" s="6">
        <v>245.0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ht="12.75" customHeight="1">
      <c r="A4941" s="4">
        <v>1415.0</v>
      </c>
      <c r="B4941" s="4">
        <v>10272.0</v>
      </c>
      <c r="C4941" s="5">
        <f t="shared" ref="C4941:C4942" si="2063">DATE(2012,12,31)-1444</f>
        <v>39830</v>
      </c>
      <c r="D4941" s="4" t="s">
        <v>63</v>
      </c>
      <c r="E4941" s="4">
        <v>3.0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19.99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ht="12.75" customHeight="1">
      <c r="A4942" s="4">
        <v>1416.0</v>
      </c>
      <c r="B4942" s="4">
        <v>10272.0</v>
      </c>
      <c r="C4942" s="5">
        <f t="shared" si="2063"/>
        <v>39830</v>
      </c>
      <c r="D4942" s="4" t="s">
        <v>63</v>
      </c>
      <c r="E4942" s="4">
        <v>26.0</v>
      </c>
      <c r="F4942" s="4">
        <v>566.39</v>
      </c>
      <c r="G4942" s="4">
        <v>0.06</v>
      </c>
      <c r="H4942" s="4" t="s">
        <v>22</v>
      </c>
      <c r="I4942" s="6">
        <v>76.43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ht="12.75" customHeight="1">
      <c r="A4943" s="4">
        <v>1461.0</v>
      </c>
      <c r="B4943" s="4">
        <v>10530.0</v>
      </c>
      <c r="C4943" s="5">
        <f>DATE(2012,12,31)-1434</f>
        <v>39840</v>
      </c>
      <c r="D4943" s="4" t="s">
        <v>63</v>
      </c>
      <c r="E4943" s="4">
        <v>4.0</v>
      </c>
      <c r="F4943" s="4">
        <v>377.21299999999997</v>
      </c>
      <c r="G4943" s="4">
        <v>0.02</v>
      </c>
      <c r="H4943" s="4" t="s">
        <v>22</v>
      </c>
      <c r="I4943" s="6">
        <v>-411.653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0.57</v>
      </c>
      <c r="U4943" s="5">
        <f>C4943+2</f>
        <v>39842</v>
      </c>
    </row>
    <row r="4944" ht="12.75" customHeight="1">
      <c r="A4944" s="4">
        <v>1563.0</v>
      </c>
      <c r="B4944" s="4">
        <v>11270.0</v>
      </c>
      <c r="C4944" s="5">
        <f>DATE(2012,12,31)-550</f>
        <v>40724</v>
      </c>
      <c r="D4944" s="4" t="s">
        <v>30</v>
      </c>
      <c r="E4944" s="4">
        <v>15.0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ht="12.75" customHeight="1">
      <c r="A4945" s="4">
        <v>1587.0</v>
      </c>
      <c r="B4945" s="4">
        <v>11431.0</v>
      </c>
      <c r="C4945" s="5">
        <f t="shared" ref="C4945:C4946" si="2064">DATE(2012,12,31)-152</f>
        <v>41122</v>
      </c>
      <c r="D4945" s="4" t="s">
        <v>30</v>
      </c>
      <c r="E4945" s="4">
        <v>5.0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ht="12.75" customHeight="1">
      <c r="A4946" s="4">
        <v>1588.0</v>
      </c>
      <c r="B4946" s="4">
        <v>11431.0</v>
      </c>
      <c r="C4946" s="5">
        <f t="shared" si="2064"/>
        <v>41122</v>
      </c>
      <c r="D4946" s="4" t="s">
        <v>30</v>
      </c>
      <c r="E4946" s="4">
        <v>8.0</v>
      </c>
      <c r="F4946" s="4">
        <v>1273.266</v>
      </c>
      <c r="G4946" s="4">
        <v>0.1</v>
      </c>
      <c r="H4946" s="4" t="s">
        <v>22</v>
      </c>
      <c r="I4946" s="6">
        <v>-615.67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0.58</v>
      </c>
      <c r="U4946" s="5">
        <f>C4946+1</f>
        <v>41123</v>
      </c>
    </row>
    <row r="4947" ht="12.75" customHeight="1">
      <c r="A4947" s="4">
        <v>1634.0</v>
      </c>
      <c r="B4947" s="4">
        <v>11815.0</v>
      </c>
      <c r="C4947" s="5">
        <f>DATE(2012,12,31)-476</f>
        <v>40798</v>
      </c>
      <c r="D4947" s="4" t="s">
        <v>21</v>
      </c>
      <c r="E4947" s="4">
        <v>22.0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</v>
      </c>
      <c r="U4947" s="5">
        <f t="shared" ref="U4947:U4948" si="2065">C4947+2</f>
        <v>40800</v>
      </c>
    </row>
    <row r="4948" ht="12.75" customHeight="1">
      <c r="A4948" s="4">
        <v>1677.0</v>
      </c>
      <c r="B4948" s="4">
        <v>12097.0</v>
      </c>
      <c r="C4948" s="5">
        <f t="shared" ref="C4948:C4949" si="2066">DATE(2012,12,31)-783</f>
        <v>40491</v>
      </c>
      <c r="D4948" s="4" t="s">
        <v>78</v>
      </c>
      <c r="E4948" s="4">
        <v>9.0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5"/>
        <v>40493</v>
      </c>
    </row>
    <row r="4949" ht="12.75" customHeight="1">
      <c r="A4949" s="4">
        <v>1678.0</v>
      </c>
      <c r="B4949" s="4">
        <v>12097.0</v>
      </c>
      <c r="C4949" s="5">
        <f t="shared" si="2066"/>
        <v>40491</v>
      </c>
      <c r="D4949" s="4" t="s">
        <v>78</v>
      </c>
      <c r="E4949" s="4">
        <v>25.0</v>
      </c>
      <c r="F4949" s="4">
        <v>1831.5289999999998</v>
      </c>
      <c r="G4949" s="4">
        <v>0.0</v>
      </c>
      <c r="H4949" s="4" t="s">
        <v>56</v>
      </c>
      <c r="I4949" s="6">
        <v>-139.975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ht="12.75" customHeight="1">
      <c r="A4950" s="4">
        <v>1688.0</v>
      </c>
      <c r="B4950" s="4">
        <v>12196.0</v>
      </c>
      <c r="C4950" s="5">
        <f t="shared" ref="C4950:C4951" si="2067">DATE(2012,12,31)-943</f>
        <v>40331</v>
      </c>
      <c r="D4950" s="4" t="s">
        <v>45</v>
      </c>
      <c r="E4950" s="4">
        <v>32.0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ht="12.75" customHeight="1">
      <c r="A4951" s="4">
        <v>1689.0</v>
      </c>
      <c r="B4951" s="4">
        <v>12196.0</v>
      </c>
      <c r="C4951" s="5">
        <f t="shared" si="2067"/>
        <v>40331</v>
      </c>
      <c r="D4951" s="4" t="s">
        <v>45</v>
      </c>
      <c r="E4951" s="4">
        <v>25.0</v>
      </c>
      <c r="F4951" s="4">
        <v>10330.94</v>
      </c>
      <c r="G4951" s="4">
        <v>0.07</v>
      </c>
      <c r="H4951" s="4" t="s">
        <v>22</v>
      </c>
      <c r="I4951" s="6">
        <v>2914.56</v>
      </c>
      <c r="J4951" s="4">
        <v>419.19</v>
      </c>
      <c r="K4951" s="4">
        <v>19.99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0.58</v>
      </c>
      <c r="U4951" s="5">
        <f>C4951+0</f>
        <v>40331</v>
      </c>
    </row>
    <row r="4952" ht="12.75" customHeight="1">
      <c r="A4952" s="4">
        <v>1734.0</v>
      </c>
      <c r="B4952" s="4">
        <v>12451.0</v>
      </c>
      <c r="C4952" s="5">
        <f t="shared" ref="C4952:C4953" si="2068">DATE(2012,12,31)-987</f>
        <v>40287</v>
      </c>
      <c r="D4952" s="4" t="s">
        <v>21</v>
      </c>
      <c r="E4952" s="4">
        <v>26.0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130.98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9">C4952+2</f>
        <v>40289</v>
      </c>
    </row>
    <row r="4953" ht="12.75" customHeight="1">
      <c r="A4953" s="4">
        <v>1735.0</v>
      </c>
      <c r="B4953" s="4">
        <v>12451.0</v>
      </c>
      <c r="C4953" s="5">
        <f t="shared" si="2068"/>
        <v>40287</v>
      </c>
      <c r="D4953" s="4" t="s">
        <v>21</v>
      </c>
      <c r="E4953" s="4">
        <v>21.0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9"/>
        <v>40289</v>
      </c>
    </row>
    <row r="4954" ht="12.75" customHeight="1">
      <c r="A4954" s="4">
        <v>1742.0</v>
      </c>
      <c r="B4954" s="4">
        <v>12483.0</v>
      </c>
      <c r="C4954" s="5">
        <f t="shared" ref="C4954:C4956" si="2070">DATE(2012,12,31)-880</f>
        <v>40394</v>
      </c>
      <c r="D4954" s="4" t="s">
        <v>78</v>
      </c>
      <c r="E4954" s="4">
        <v>14.0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ht="12.75" customHeight="1">
      <c r="A4955" s="4">
        <v>1743.0</v>
      </c>
      <c r="B4955" s="4">
        <v>12483.0</v>
      </c>
      <c r="C4955" s="5">
        <f t="shared" si="2070"/>
        <v>40394</v>
      </c>
      <c r="D4955" s="4" t="s">
        <v>78</v>
      </c>
      <c r="E4955" s="4">
        <v>14.0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ht="12.75" customHeight="1">
      <c r="A4956" s="4">
        <v>1744.0</v>
      </c>
      <c r="B4956" s="4">
        <v>12483.0</v>
      </c>
      <c r="C4956" s="5">
        <f t="shared" si="2070"/>
        <v>40394</v>
      </c>
      <c r="D4956" s="4" t="s">
        <v>78</v>
      </c>
      <c r="E4956" s="4">
        <v>30.0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0.57</v>
      </c>
      <c r="U4956" s="5">
        <f>C4956+1</f>
        <v>40395</v>
      </c>
    </row>
    <row r="4957" ht="12.75" customHeight="1">
      <c r="A4957" s="4">
        <v>1794.0</v>
      </c>
      <c r="B4957" s="4">
        <v>12867.0</v>
      </c>
      <c r="C4957" s="5">
        <f>DATE(2012,12,31)-661</f>
        <v>40613</v>
      </c>
      <c r="D4957" s="4" t="s">
        <v>45</v>
      </c>
      <c r="E4957" s="4">
        <v>6.0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4.0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ht="12.75" customHeight="1">
      <c r="A4958" s="4">
        <v>1805.0</v>
      </c>
      <c r="B4958" s="4">
        <v>12903.0</v>
      </c>
      <c r="C4958" s="5">
        <f>DATE(2012,12,31)-1193</f>
        <v>40081</v>
      </c>
      <c r="D4958" s="4" t="s">
        <v>78</v>
      </c>
      <c r="E4958" s="4">
        <v>2.0</v>
      </c>
      <c r="F4958" s="4">
        <v>63.427</v>
      </c>
      <c r="G4958" s="4">
        <v>0.07</v>
      </c>
      <c r="H4958" s="4" t="s">
        <v>22</v>
      </c>
      <c r="I4958" s="6">
        <v>-191.785</v>
      </c>
      <c r="J4958" s="4">
        <v>35.99</v>
      </c>
      <c r="K4958" s="4">
        <v>5.0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ht="12.75" customHeight="1">
      <c r="A4959" s="4">
        <v>1881.0</v>
      </c>
      <c r="B4959" s="4">
        <v>13540.0</v>
      </c>
      <c r="C4959" s="5">
        <f t="shared" ref="C4959:C4961" si="2071">DATE(2012,12,31)-953</f>
        <v>40321</v>
      </c>
      <c r="D4959" s="4" t="s">
        <v>30</v>
      </c>
      <c r="E4959" s="4">
        <v>31.0</v>
      </c>
      <c r="F4959" s="4">
        <v>259.59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2">C4959+0</f>
        <v>40321</v>
      </c>
    </row>
    <row r="4960" ht="12.75" customHeight="1">
      <c r="A4960" s="4">
        <v>1882.0</v>
      </c>
      <c r="B4960" s="4">
        <v>13540.0</v>
      </c>
      <c r="C4960" s="5">
        <f t="shared" si="2071"/>
        <v>40321</v>
      </c>
      <c r="D4960" s="4" t="s">
        <v>30</v>
      </c>
      <c r="E4960" s="4">
        <v>16.0</v>
      </c>
      <c r="F4960" s="4">
        <v>34.93</v>
      </c>
      <c r="G4960" s="4">
        <v>0.04</v>
      </c>
      <c r="H4960" s="4" t="s">
        <v>22</v>
      </c>
      <c r="I4960" s="6">
        <v>-0.05000000000000071</v>
      </c>
      <c r="J4960" s="4">
        <v>2.18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2"/>
        <v>40321</v>
      </c>
    </row>
    <row r="4961" ht="12.75" customHeight="1">
      <c r="A4961" s="4">
        <v>1883.0</v>
      </c>
      <c r="B4961" s="4">
        <v>13540.0</v>
      </c>
      <c r="C4961" s="5">
        <f t="shared" si="2071"/>
        <v>40321</v>
      </c>
      <c r="D4961" s="4" t="s">
        <v>30</v>
      </c>
      <c r="E4961" s="4">
        <v>33.0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0.57</v>
      </c>
      <c r="U4961" s="5">
        <f t="shared" si="2072"/>
        <v>40321</v>
      </c>
    </row>
    <row r="4962" ht="12.75" customHeight="1">
      <c r="A4962" s="4">
        <v>1919.0</v>
      </c>
      <c r="B4962" s="4">
        <v>13762.0</v>
      </c>
      <c r="C4962" s="5">
        <f t="shared" ref="C4962:C4964" si="2073">DATE(2012,12,31)-924</f>
        <v>40350</v>
      </c>
      <c r="D4962" s="4" t="s">
        <v>63</v>
      </c>
      <c r="E4962" s="4">
        <v>8.0</v>
      </c>
      <c r="F4962" s="4">
        <v>55.0</v>
      </c>
      <c r="G4962" s="4">
        <v>0.05</v>
      </c>
      <c r="H4962" s="4" t="s">
        <v>22</v>
      </c>
      <c r="I4962" s="6">
        <v>-23.621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ht="12.75" customHeight="1">
      <c r="A4963" s="4">
        <v>1920.0</v>
      </c>
      <c r="B4963" s="4">
        <v>13762.0</v>
      </c>
      <c r="C4963" s="5">
        <f t="shared" si="2073"/>
        <v>40350</v>
      </c>
      <c r="D4963" s="4" t="s">
        <v>63</v>
      </c>
      <c r="E4963" s="4">
        <v>7.0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4">C4963+2</f>
        <v>40352</v>
      </c>
    </row>
    <row r="4964" ht="12.75" customHeight="1">
      <c r="A4964" s="4">
        <v>1921.0</v>
      </c>
      <c r="B4964" s="4">
        <v>13762.0</v>
      </c>
      <c r="C4964" s="5">
        <f t="shared" si="2073"/>
        <v>40350</v>
      </c>
      <c r="D4964" s="4" t="s">
        <v>63</v>
      </c>
      <c r="E4964" s="4">
        <v>37.0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4"/>
        <v>40352</v>
      </c>
    </row>
    <row r="4965" ht="12.75" customHeight="1">
      <c r="A4965" s="4">
        <v>2008.0</v>
      </c>
      <c r="B4965" s="4">
        <v>14336.0</v>
      </c>
      <c r="C4965" s="5">
        <f>DATE(2012,12,31)-1139</f>
        <v>40135</v>
      </c>
      <c r="D4965" s="4" t="s">
        <v>30</v>
      </c>
      <c r="E4965" s="4">
        <v>4.0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</v>
      </c>
      <c r="U4965" s="5">
        <f t="shared" ref="U4965:U4968" si="2075">C4965+1</f>
        <v>40136</v>
      </c>
    </row>
    <row r="4966" ht="12.75" customHeight="1">
      <c r="A4966" s="4">
        <v>2016.0</v>
      </c>
      <c r="B4966" s="4">
        <v>14400.0</v>
      </c>
      <c r="C4966" s="5">
        <f t="shared" ref="C4966:C4968" si="2076">DATE(2012,12,31)-1426</f>
        <v>39848</v>
      </c>
      <c r="D4966" s="4" t="s">
        <v>63</v>
      </c>
      <c r="E4966" s="4">
        <v>32.0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5"/>
        <v>39849</v>
      </c>
    </row>
    <row r="4967" ht="12.75" customHeight="1">
      <c r="A4967" s="4">
        <v>2017.0</v>
      </c>
      <c r="B4967" s="4">
        <v>14400.0</v>
      </c>
      <c r="C4967" s="5">
        <f t="shared" si="2076"/>
        <v>39848</v>
      </c>
      <c r="D4967" s="4" t="s">
        <v>63</v>
      </c>
      <c r="E4967" s="4">
        <v>35.0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5"/>
        <v>39849</v>
      </c>
    </row>
    <row r="4968" ht="12.75" customHeight="1">
      <c r="A4968" s="4">
        <v>2018.0</v>
      </c>
      <c r="B4968" s="4">
        <v>14400.0</v>
      </c>
      <c r="C4968" s="5">
        <f t="shared" si="2076"/>
        <v>39848</v>
      </c>
      <c r="D4968" s="4" t="s">
        <v>63</v>
      </c>
      <c r="E4968" s="4">
        <v>43.0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5"/>
        <v>39849</v>
      </c>
    </row>
    <row r="4969" ht="12.75" customHeight="1">
      <c r="A4969" s="4">
        <v>2033.0</v>
      </c>
      <c r="B4969" s="4">
        <v>14500.0</v>
      </c>
      <c r="C4969" s="5">
        <f t="shared" ref="C4969:C4970" si="2077">DATE(2012,12,31)-556</f>
        <v>40718</v>
      </c>
      <c r="D4969" s="4" t="s">
        <v>45</v>
      </c>
      <c r="E4969" s="4">
        <v>44.0</v>
      </c>
      <c r="F4969" s="4">
        <v>839.7</v>
      </c>
      <c r="G4969" s="4">
        <v>0.07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ht="12.75" customHeight="1">
      <c r="A4970" s="4">
        <v>2034.0</v>
      </c>
      <c r="B4970" s="4">
        <v>14500.0</v>
      </c>
      <c r="C4970" s="5">
        <f t="shared" si="2077"/>
        <v>40718</v>
      </c>
      <c r="D4970" s="4" t="s">
        <v>45</v>
      </c>
      <c r="E4970" s="4">
        <v>46.0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</v>
      </c>
      <c r="U4970" s="5">
        <f>C4970+1</f>
        <v>40719</v>
      </c>
    </row>
    <row r="4971" ht="12.75" customHeight="1">
      <c r="A4971" s="4">
        <v>2042.0</v>
      </c>
      <c r="B4971" s="4">
        <v>14534.0</v>
      </c>
      <c r="C4971" s="5">
        <f>DATE(2012,12,31)-897</f>
        <v>40377</v>
      </c>
      <c r="D4971" s="4" t="s">
        <v>63</v>
      </c>
      <c r="E4971" s="4">
        <v>46.0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4.0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ht="12.75" customHeight="1">
      <c r="A4972" s="4">
        <v>2084.0</v>
      </c>
      <c r="B4972" s="4">
        <v>14884.0</v>
      </c>
      <c r="C4972" s="5">
        <f>DATE(2012,12,31)-461</f>
        <v>40813</v>
      </c>
      <c r="D4972" s="4" t="s">
        <v>30</v>
      </c>
      <c r="E4972" s="4">
        <v>6.0</v>
      </c>
      <c r="F4972" s="4">
        <v>473.9855</v>
      </c>
      <c r="G4972" s="4">
        <v>0.06</v>
      </c>
      <c r="H4972" s="4" t="s">
        <v>22</v>
      </c>
      <c r="I4972" s="6">
        <v>-301.675</v>
      </c>
      <c r="J4972" s="4">
        <v>95.99</v>
      </c>
      <c r="K4972" s="4">
        <v>4.9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</v>
      </c>
      <c r="U4972" s="5">
        <f>C4972+2</f>
        <v>40815</v>
      </c>
    </row>
    <row r="4973" ht="12.75" customHeight="1">
      <c r="A4973" s="4">
        <v>2107.0</v>
      </c>
      <c r="B4973" s="4">
        <v>15075.0</v>
      </c>
      <c r="C4973" s="5">
        <f t="shared" ref="C4973:C4974" si="2078">DATE(2012,12,31)-1184</f>
        <v>40090</v>
      </c>
      <c r="D4973" s="4" t="s">
        <v>63</v>
      </c>
      <c r="E4973" s="4">
        <v>24.0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ht="12.75" customHeight="1">
      <c r="A4974" s="4">
        <v>2108.0</v>
      </c>
      <c r="B4974" s="4">
        <v>15075.0</v>
      </c>
      <c r="C4974" s="5">
        <f t="shared" si="2078"/>
        <v>40090</v>
      </c>
      <c r="D4974" s="4" t="s">
        <v>63</v>
      </c>
      <c r="E4974" s="4">
        <v>10.0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5.02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ht="12.75" customHeight="1">
      <c r="A4975" s="4">
        <v>2132.0</v>
      </c>
      <c r="B4975" s="4">
        <v>15234.0</v>
      </c>
      <c r="C4975" s="5">
        <f t="shared" ref="C4975:C4976" si="2079">DATE(2012,12,31)-1025</f>
        <v>40249</v>
      </c>
      <c r="D4975" s="4" t="s">
        <v>45</v>
      </c>
      <c r="E4975" s="4">
        <v>21.0</v>
      </c>
      <c r="F4975" s="4">
        <v>2185.9535</v>
      </c>
      <c r="G4975" s="4">
        <v>0.1</v>
      </c>
      <c r="H4975" s="4" t="s">
        <v>22</v>
      </c>
      <c r="I4975" s="6">
        <v>268.011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</v>
      </c>
      <c r="U4975" s="5">
        <f t="shared" ref="U4975:U4976" si="2080">C4975+1</f>
        <v>40250</v>
      </c>
    </row>
    <row r="4976" ht="12.75" customHeight="1">
      <c r="A4976" s="4">
        <v>2133.0</v>
      </c>
      <c r="B4976" s="4">
        <v>15234.0</v>
      </c>
      <c r="C4976" s="5">
        <f t="shared" si="2079"/>
        <v>40249</v>
      </c>
      <c r="D4976" s="4" t="s">
        <v>45</v>
      </c>
      <c r="E4976" s="4">
        <v>12.0</v>
      </c>
      <c r="F4976" s="4">
        <v>1323.5434999999998</v>
      </c>
      <c r="G4976" s="4">
        <v>0.0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0.57</v>
      </c>
      <c r="U4976" s="5">
        <f t="shared" si="2080"/>
        <v>40250</v>
      </c>
    </row>
    <row r="4977" ht="12.75" customHeight="1">
      <c r="A4977" s="4">
        <v>2138.0</v>
      </c>
      <c r="B4977" s="4">
        <v>15270.0</v>
      </c>
      <c r="C4977" s="5">
        <f>DATE(2012,12,31)-1430</f>
        <v>39844</v>
      </c>
      <c r="D4977" s="4" t="s">
        <v>45</v>
      </c>
      <c r="E4977" s="4">
        <v>36.0</v>
      </c>
      <c r="F4977" s="4">
        <v>257.91</v>
      </c>
      <c r="G4977" s="4">
        <v>0.0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1">C4977+2</f>
        <v>39846</v>
      </c>
    </row>
    <row r="4978" ht="12.75" customHeight="1">
      <c r="A4978" s="4">
        <v>2141.0</v>
      </c>
      <c r="B4978" s="4">
        <v>15296.0</v>
      </c>
      <c r="C4978" s="5">
        <f>DATE(2012,12,31)-146</f>
        <v>41128</v>
      </c>
      <c r="D4978" s="4" t="s">
        <v>45</v>
      </c>
      <c r="E4978" s="4">
        <v>38.0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</v>
      </c>
      <c r="K4978" s="4">
        <v>19.99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1"/>
        <v>41130</v>
      </c>
    </row>
    <row r="4979" ht="12.75" customHeight="1">
      <c r="A4979" s="4">
        <v>2147.0</v>
      </c>
      <c r="B4979" s="4">
        <v>15335.0</v>
      </c>
      <c r="C4979" s="5">
        <f>DATE(2012,12,31)-836</f>
        <v>40438</v>
      </c>
      <c r="D4979" s="4" t="s">
        <v>63</v>
      </c>
      <c r="E4979" s="4">
        <v>26.0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1"/>
        <v>40440</v>
      </c>
    </row>
    <row r="4980" ht="12.75" customHeight="1">
      <c r="A4980" s="4">
        <v>2179.0</v>
      </c>
      <c r="B4980" s="4">
        <v>15712.0</v>
      </c>
      <c r="C4980" s="5">
        <f>DATE(2012,12,31)-27</f>
        <v>41247</v>
      </c>
      <c r="D4980" s="4" t="s">
        <v>30</v>
      </c>
      <c r="E4980" s="4">
        <v>1.0</v>
      </c>
      <c r="F4980" s="4">
        <v>102.9</v>
      </c>
      <c r="G4980" s="4">
        <v>0.07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1"/>
        <v>41249</v>
      </c>
    </row>
    <row r="4981" ht="12.75" customHeight="1">
      <c r="A4981" s="4">
        <v>2205.0</v>
      </c>
      <c r="B4981" s="4">
        <v>15906.0</v>
      </c>
      <c r="C4981" s="5">
        <f>DATE(2012,12,31)-826</f>
        <v>40448</v>
      </c>
      <c r="D4981" s="4" t="s">
        <v>21</v>
      </c>
      <c r="E4981" s="4">
        <v>8.0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0.58</v>
      </c>
      <c r="U4981" s="5">
        <f t="shared" si="2081"/>
        <v>40450</v>
      </c>
    </row>
    <row r="4982" ht="12.75" customHeight="1">
      <c r="A4982" s="4">
        <v>2215.0</v>
      </c>
      <c r="B4982" s="4">
        <v>16005.0</v>
      </c>
      <c r="C4982" s="5">
        <f>DATE(2012,12,31)-7</f>
        <v>41267</v>
      </c>
      <c r="D4982" s="4" t="s">
        <v>45</v>
      </c>
      <c r="E4982" s="4">
        <v>7.0</v>
      </c>
      <c r="F4982" s="4">
        <v>51.03</v>
      </c>
      <c r="G4982" s="4">
        <v>0.09</v>
      </c>
      <c r="H4982" s="4" t="s">
        <v>22</v>
      </c>
      <c r="I4982" s="6">
        <v>-21.3785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1"/>
        <v>41269</v>
      </c>
    </row>
    <row r="4983" ht="12.75" customHeight="1">
      <c r="A4983" s="4">
        <v>2230.0</v>
      </c>
      <c r="B4983" s="4">
        <v>16103.0</v>
      </c>
      <c r="C4983" s="5">
        <f>DATE(2012,12,31)-169</f>
        <v>41105</v>
      </c>
      <c r="D4983" s="4" t="s">
        <v>45</v>
      </c>
      <c r="E4983" s="4">
        <v>22.0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4.1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1"/>
        <v>41107</v>
      </c>
    </row>
    <row r="4984" ht="12.75" customHeight="1">
      <c r="A4984" s="4">
        <v>2253.0</v>
      </c>
      <c r="B4984" s="4">
        <v>16225.0</v>
      </c>
      <c r="C4984" s="5">
        <f>DATE(2012,12,31)-1313</f>
        <v>39961</v>
      </c>
      <c r="D4984" s="4" t="s">
        <v>78</v>
      </c>
      <c r="E4984" s="4">
        <v>30.0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1"/>
        <v>39963</v>
      </c>
    </row>
    <row r="4985" ht="12.75" customHeight="1">
      <c r="A4985" s="4">
        <v>2265.0</v>
      </c>
      <c r="B4985" s="4">
        <v>16262.0</v>
      </c>
      <c r="C4985" s="5">
        <f>DATE(2012,12,31)-730</f>
        <v>40544</v>
      </c>
      <c r="D4985" s="4" t="s">
        <v>21</v>
      </c>
      <c r="E4985" s="4">
        <v>11.0</v>
      </c>
      <c r="F4985" s="4">
        <v>62.84</v>
      </c>
      <c r="G4985" s="4">
        <v>0.06</v>
      </c>
      <c r="H4985" s="4" t="s">
        <v>56</v>
      </c>
      <c r="I4985" s="6">
        <v>9.53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ht="12.75" customHeight="1">
      <c r="A4986" s="4">
        <v>2270.0</v>
      </c>
      <c r="B4986" s="4">
        <v>16321.0</v>
      </c>
      <c r="C4986" s="5">
        <f>DATE(2012,12,31)-1187</f>
        <v>40087</v>
      </c>
      <c r="D4986" s="4" t="s">
        <v>45</v>
      </c>
      <c r="E4986" s="4">
        <v>50.0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</v>
      </c>
      <c r="K4986" s="4">
        <v>19.99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</v>
      </c>
      <c r="U4986" s="5">
        <f>C4986+2</f>
        <v>40089</v>
      </c>
    </row>
    <row r="4987" ht="12.75" customHeight="1">
      <c r="A4987" s="4">
        <v>2315.0</v>
      </c>
      <c r="B4987" s="4">
        <v>16679.0</v>
      </c>
      <c r="C4987" s="5">
        <f>DATE(2012,12,31)-1149</f>
        <v>40125</v>
      </c>
      <c r="D4987" s="4" t="s">
        <v>21</v>
      </c>
      <c r="E4987" s="4">
        <v>29.0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</v>
      </c>
      <c r="U4987" s="5">
        <f>C4987+5</f>
        <v>40130</v>
      </c>
    </row>
    <row r="4988" ht="12.75" customHeight="1">
      <c r="A4988" s="4">
        <v>2328.0</v>
      </c>
      <c r="B4988" s="4">
        <v>16775.0</v>
      </c>
      <c r="C4988" s="5">
        <f>DATE(2012,12,31)-39</f>
        <v>41235</v>
      </c>
      <c r="D4988" s="4" t="s">
        <v>21</v>
      </c>
      <c r="E4988" s="4">
        <v>49.0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ht="12.75" customHeight="1">
      <c r="A4989" s="4">
        <v>2340.0</v>
      </c>
      <c r="B4989" s="4">
        <v>16834.0</v>
      </c>
      <c r="C4989" s="5">
        <f>DATE(2012,12,31)-800</f>
        <v>40474</v>
      </c>
      <c r="D4989" s="4" t="s">
        <v>21</v>
      </c>
      <c r="E4989" s="4">
        <v>33.0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ht="12.75" customHeight="1">
      <c r="A4990" s="4">
        <v>2341.0</v>
      </c>
      <c r="B4990" s="4">
        <v>16837.0</v>
      </c>
      <c r="C4990" s="5">
        <f>DATE(2012,12,31)-710</f>
        <v>40564</v>
      </c>
      <c r="D4990" s="4" t="s">
        <v>45</v>
      </c>
      <c r="E4990" s="4">
        <v>4.0</v>
      </c>
      <c r="F4990" s="4">
        <v>997.0</v>
      </c>
      <c r="G4990" s="4">
        <v>0.09</v>
      </c>
      <c r="H4990" s="4" t="s">
        <v>31</v>
      </c>
      <c r="I4990" s="6">
        <v>-307.96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</v>
      </c>
      <c r="U4990" s="5">
        <f t="shared" ref="U4990:U4992" si="2082">C4990+1</f>
        <v>40565</v>
      </c>
    </row>
    <row r="4991" ht="12.75" customHeight="1">
      <c r="A4991" s="4">
        <v>2343.0</v>
      </c>
      <c r="B4991" s="4">
        <v>16866.0</v>
      </c>
      <c r="C4991" s="5">
        <f>DATE(2012,12,31)-329</f>
        <v>40945</v>
      </c>
      <c r="D4991" s="4" t="s">
        <v>45</v>
      </c>
      <c r="E4991" s="4">
        <v>43.0</v>
      </c>
      <c r="F4991" s="4">
        <v>2357.9085</v>
      </c>
      <c r="G4991" s="4">
        <v>0.06</v>
      </c>
      <c r="H4991" s="4" t="s">
        <v>22</v>
      </c>
      <c r="I4991" s="6">
        <v>538.488</v>
      </c>
      <c r="J4991" s="4">
        <v>65.99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2"/>
        <v>40946</v>
      </c>
    </row>
    <row r="4992" ht="12.75" customHeight="1">
      <c r="A4992" s="4">
        <v>2360.0</v>
      </c>
      <c r="B4992" s="4">
        <v>17058.0</v>
      </c>
      <c r="C4992" s="5">
        <f>DATE(2012,12,31)-730</f>
        <v>40544</v>
      </c>
      <c r="D4992" s="4" t="s">
        <v>30</v>
      </c>
      <c r="E4992" s="4">
        <v>15.0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2"/>
        <v>40545</v>
      </c>
    </row>
    <row r="4993" ht="12.75" customHeight="1">
      <c r="A4993" s="4">
        <v>2413.0</v>
      </c>
      <c r="B4993" s="4">
        <v>17508.0</v>
      </c>
      <c r="C4993" s="5">
        <f>DATE(2012,12,31)-187</f>
        <v>41087</v>
      </c>
      <c r="D4993" s="4" t="s">
        <v>21</v>
      </c>
      <c r="E4993" s="4">
        <v>50.0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</v>
      </c>
      <c r="U4993" s="5">
        <f>C4993+2</f>
        <v>41089</v>
      </c>
    </row>
    <row r="4994" ht="12.75" customHeight="1">
      <c r="A4994" s="4">
        <v>2573.0</v>
      </c>
      <c r="B4994" s="4">
        <v>18592.0</v>
      </c>
      <c r="C4994" s="5">
        <f>DATE(2012,12,31)-92</f>
        <v>41182</v>
      </c>
      <c r="D4994" s="4" t="s">
        <v>78</v>
      </c>
      <c r="E4994" s="4">
        <v>2.0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0.57</v>
      </c>
      <c r="U4994" s="5">
        <f>C4994+1</f>
        <v>41183</v>
      </c>
    </row>
    <row r="4995" ht="12.75" customHeight="1">
      <c r="A4995" s="4">
        <v>2598.0</v>
      </c>
      <c r="B4995" s="4">
        <v>18757.0</v>
      </c>
      <c r="C4995" s="5">
        <f>DATE(2012,12,31)-223</f>
        <v>41051</v>
      </c>
      <c r="D4995" s="4" t="s">
        <v>21</v>
      </c>
      <c r="E4995" s="4">
        <v>43.0</v>
      </c>
      <c r="F4995" s="4">
        <v>319.96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ht="12.75" customHeight="1">
      <c r="A4996" s="4">
        <v>2609.0</v>
      </c>
      <c r="B4996" s="4">
        <v>18851.0</v>
      </c>
      <c r="C4996" s="5">
        <f>DATE(2012,12,31)-15</f>
        <v>41259</v>
      </c>
      <c r="D4996" s="4" t="s">
        <v>78</v>
      </c>
      <c r="E4996" s="4">
        <v>32.0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ht="12.75" customHeight="1">
      <c r="A4997" s="4">
        <v>2611.0</v>
      </c>
      <c r="B4997" s="4">
        <v>18853.0</v>
      </c>
      <c r="C4997" s="5">
        <f>DATE(2012,12,31)-1079</f>
        <v>40195</v>
      </c>
      <c r="D4997" s="4" t="s">
        <v>78</v>
      </c>
      <c r="E4997" s="4">
        <v>33.0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ht="12.75" customHeight="1">
      <c r="A4998" s="4">
        <v>2613.0</v>
      </c>
      <c r="B4998" s="4">
        <v>18884.0</v>
      </c>
      <c r="C4998" s="5">
        <f t="shared" ref="C4998:C4999" si="2083">DATE(2012,12,31)-556</f>
        <v>40718</v>
      </c>
      <c r="D4998" s="4" t="s">
        <v>45</v>
      </c>
      <c r="E4998" s="4">
        <v>5.0</v>
      </c>
      <c r="F4998" s="4">
        <v>131.27</v>
      </c>
      <c r="G4998" s="4">
        <v>0.1</v>
      </c>
      <c r="H4998" s="4" t="s">
        <v>31</v>
      </c>
      <c r="I4998" s="6">
        <v>-70.43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ht="12.75" customHeight="1">
      <c r="A4999" s="4">
        <v>2614.0</v>
      </c>
      <c r="B4999" s="4">
        <v>18884.0</v>
      </c>
      <c r="C4999" s="5">
        <f t="shared" si="2083"/>
        <v>40718</v>
      </c>
      <c r="D4999" s="4" t="s">
        <v>45</v>
      </c>
      <c r="E4999" s="4">
        <v>29.0</v>
      </c>
      <c r="F4999" s="4">
        <v>13571.7</v>
      </c>
      <c r="G4999" s="4">
        <v>0.0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ht="12.75" customHeight="1">
      <c r="A5000" s="4">
        <v>2669.0</v>
      </c>
      <c r="B5000" s="4">
        <v>19300.0</v>
      </c>
      <c r="C5000" s="5">
        <f>DATE(2012,12,31)-1111</f>
        <v>40163</v>
      </c>
      <c r="D5000" s="4" t="s">
        <v>78</v>
      </c>
      <c r="E5000" s="4">
        <v>10.0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ht="12.75" customHeight="1">
      <c r="A5001" s="4">
        <v>2673.0</v>
      </c>
      <c r="B5001" s="4">
        <v>19361.0</v>
      </c>
      <c r="C5001" s="5">
        <f t="shared" ref="C5001:C5002" si="2084">DATE(2012,12,31)-99</f>
        <v>41175</v>
      </c>
      <c r="D5001" s="4" t="s">
        <v>21</v>
      </c>
      <c r="E5001" s="4">
        <v>21.0</v>
      </c>
      <c r="F5001" s="4">
        <v>788.85</v>
      </c>
      <c r="G5001" s="4">
        <v>0.06</v>
      </c>
      <c r="H5001" s="4" t="s">
        <v>22</v>
      </c>
      <c r="I5001" s="6">
        <v>317.5345</v>
      </c>
      <c r="J5001" s="4">
        <v>37.7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ht="12.75" customHeight="1">
      <c r="A5002" s="4">
        <v>2674.0</v>
      </c>
      <c r="B5002" s="4">
        <v>19361.0</v>
      </c>
      <c r="C5002" s="5">
        <f t="shared" si="2084"/>
        <v>41175</v>
      </c>
      <c r="D5002" s="4" t="s">
        <v>21</v>
      </c>
      <c r="E5002" s="4">
        <v>43.0</v>
      </c>
      <c r="F5002" s="4">
        <v>364.59</v>
      </c>
      <c r="G5002" s="4">
        <v>0.07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ht="12.75" customHeight="1">
      <c r="A5003" s="4">
        <v>2706.0</v>
      </c>
      <c r="B5003" s="4">
        <v>19557.0</v>
      </c>
      <c r="C5003" s="5">
        <f t="shared" ref="C5003:C5004" si="2085">DATE(2012,12,31)-428</f>
        <v>40846</v>
      </c>
      <c r="D5003" s="4" t="s">
        <v>21</v>
      </c>
      <c r="E5003" s="4">
        <v>26.0</v>
      </c>
      <c r="F5003" s="4">
        <v>66.6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ht="12.75" customHeight="1">
      <c r="A5004" s="4">
        <v>2707.0</v>
      </c>
      <c r="B5004" s="4">
        <v>19557.0</v>
      </c>
      <c r="C5004" s="5">
        <f t="shared" si="2085"/>
        <v>40846</v>
      </c>
      <c r="D5004" s="4" t="s">
        <v>21</v>
      </c>
      <c r="E5004" s="4">
        <v>9.0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5.1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ht="12.75" customHeight="1">
      <c r="A5005" s="4">
        <v>2713.0</v>
      </c>
      <c r="B5005" s="4">
        <v>19586.0</v>
      </c>
      <c r="C5005" s="5">
        <f>DATE(2012,12,31)-60</f>
        <v>41214</v>
      </c>
      <c r="D5005" s="4" t="s">
        <v>45</v>
      </c>
      <c r="E5005" s="4">
        <v>36.0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</v>
      </c>
      <c r="U5005" s="5">
        <f>C5005+2</f>
        <v>41216</v>
      </c>
    </row>
    <row r="5006" ht="12.75" customHeight="1">
      <c r="A5006" s="4">
        <v>2732.0</v>
      </c>
      <c r="B5006" s="4">
        <v>19718.0</v>
      </c>
      <c r="C5006" s="5">
        <f>DATE(2012,12,31)-190</f>
        <v>41084</v>
      </c>
      <c r="D5006" s="4" t="s">
        <v>21</v>
      </c>
      <c r="E5006" s="4">
        <v>6.0</v>
      </c>
      <c r="F5006" s="4">
        <v>89.75</v>
      </c>
      <c r="G5006" s="4">
        <v>0.03</v>
      </c>
      <c r="H5006" s="4" t="s">
        <v>22</v>
      </c>
      <c r="I5006" s="6">
        <v>-38.2887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ht="12.75" customHeight="1">
      <c r="A5007" s="4">
        <v>2733.0</v>
      </c>
      <c r="B5007" s="4">
        <v>19744.0</v>
      </c>
      <c r="C5007" s="5">
        <f>DATE(2012,12,31)-1023</f>
        <v>40251</v>
      </c>
      <c r="D5007" s="4" t="s">
        <v>63</v>
      </c>
      <c r="E5007" s="4">
        <v>41.0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0.58</v>
      </c>
      <c r="U5007" s="5">
        <f t="shared" ref="U5007:U5008" si="2086">C5007+2</f>
        <v>40253</v>
      </c>
    </row>
    <row r="5008" ht="12.75" customHeight="1">
      <c r="A5008" s="4">
        <v>2781.0</v>
      </c>
      <c r="B5008" s="4">
        <v>20069.0</v>
      </c>
      <c r="C5008" s="5">
        <f>DATE(2012,12,31)-1192</f>
        <v>40082</v>
      </c>
      <c r="D5008" s="4" t="s">
        <v>78</v>
      </c>
      <c r="E5008" s="4">
        <v>6.0</v>
      </c>
      <c r="F5008" s="4">
        <v>247.15</v>
      </c>
      <c r="G5008" s="4">
        <v>0.07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0.57</v>
      </c>
      <c r="U5008" s="5">
        <f t="shared" si="2086"/>
        <v>40084</v>
      </c>
    </row>
    <row r="5009" ht="12.75" customHeight="1">
      <c r="A5009" s="4">
        <v>2787.0</v>
      </c>
      <c r="B5009" s="4">
        <v>20103.0</v>
      </c>
      <c r="C5009" s="5">
        <f t="shared" ref="C5009:C5010" si="2087">DATE(2012,12,31)-1054</f>
        <v>40220</v>
      </c>
      <c r="D5009" s="4" t="s">
        <v>63</v>
      </c>
      <c r="E5009" s="4">
        <v>30.0</v>
      </c>
      <c r="F5009" s="4">
        <v>314.93</v>
      </c>
      <c r="G5009" s="4">
        <v>0.0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ht="12.75" customHeight="1">
      <c r="A5010" s="4">
        <v>2788.0</v>
      </c>
      <c r="B5010" s="4">
        <v>20103.0</v>
      </c>
      <c r="C5010" s="5">
        <f t="shared" si="2087"/>
        <v>40220</v>
      </c>
      <c r="D5010" s="4" t="s">
        <v>63</v>
      </c>
      <c r="E5010" s="4">
        <v>25.0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ht="12.75" customHeight="1">
      <c r="A5011" s="4">
        <v>2794.0</v>
      </c>
      <c r="B5011" s="4">
        <v>20135.0</v>
      </c>
      <c r="C5011" s="5">
        <f t="shared" ref="C5011:C5012" si="2088">DATE(2012,12,31)-1280</f>
        <v>39994</v>
      </c>
      <c r="D5011" s="4" t="s">
        <v>78</v>
      </c>
      <c r="E5011" s="4">
        <v>44.0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ht="12.75" customHeight="1">
      <c r="A5012" s="4">
        <v>2795.0</v>
      </c>
      <c r="B5012" s="4">
        <v>20135.0</v>
      </c>
      <c r="C5012" s="5">
        <f t="shared" si="2088"/>
        <v>39994</v>
      </c>
      <c r="D5012" s="4" t="s">
        <v>78</v>
      </c>
      <c r="E5012" s="4">
        <v>28.0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60.0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ht="12.75" customHeight="1">
      <c r="A5013" s="4">
        <v>2798.0</v>
      </c>
      <c r="B5013" s="4">
        <v>20166.0</v>
      </c>
      <c r="C5013" s="5">
        <f>DATE(2012,12,31)-1398</f>
        <v>39876</v>
      </c>
      <c r="D5013" s="4" t="s">
        <v>21</v>
      </c>
      <c r="E5013" s="4">
        <v>6.0</v>
      </c>
      <c r="F5013" s="4">
        <v>973.862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</v>
      </c>
      <c r="U5013" s="5">
        <f>C5013+4</f>
        <v>39880</v>
      </c>
    </row>
    <row r="5014" ht="12.75" customHeight="1">
      <c r="A5014" s="4">
        <v>2799.0</v>
      </c>
      <c r="B5014" s="4">
        <v>20192.0</v>
      </c>
      <c r="C5014" s="5">
        <f>DATE(2012,12,31)-817</f>
        <v>40457</v>
      </c>
      <c r="D5014" s="4" t="s">
        <v>21</v>
      </c>
      <c r="E5014" s="4">
        <v>35.0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</v>
      </c>
      <c r="U5014" s="5">
        <f t="shared" ref="U5014:U5015" si="2089">C5014+7</f>
        <v>40464</v>
      </c>
    </row>
    <row r="5015" ht="12.75" customHeight="1">
      <c r="A5015" s="4">
        <v>2804.0</v>
      </c>
      <c r="B5015" s="4">
        <v>20229.0</v>
      </c>
      <c r="C5015" s="5">
        <f>DATE(2012,12,31)-1158</f>
        <v>40116</v>
      </c>
      <c r="D5015" s="4" t="s">
        <v>21</v>
      </c>
      <c r="E5015" s="4">
        <v>47.0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9"/>
        <v>40123</v>
      </c>
    </row>
    <row r="5016" ht="12.75" customHeight="1">
      <c r="A5016" s="4">
        <v>2906.0</v>
      </c>
      <c r="B5016" s="4">
        <v>20966.0</v>
      </c>
      <c r="C5016" s="5">
        <f t="shared" ref="C5016:C5018" si="2090">DATE(2012,12,31)-835</f>
        <v>40439</v>
      </c>
      <c r="D5016" s="4" t="s">
        <v>21</v>
      </c>
      <c r="E5016" s="4">
        <v>10.0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1">C5016+4</f>
        <v>40443</v>
      </c>
    </row>
    <row r="5017" ht="12.75" customHeight="1">
      <c r="A5017" s="4">
        <v>2907.0</v>
      </c>
      <c r="B5017" s="4">
        <v>20966.0</v>
      </c>
      <c r="C5017" s="5">
        <f t="shared" si="2090"/>
        <v>40439</v>
      </c>
      <c r="D5017" s="4" t="s">
        <v>21</v>
      </c>
      <c r="E5017" s="4">
        <v>35.0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1"/>
        <v>40443</v>
      </c>
    </row>
    <row r="5018" ht="12.75" customHeight="1">
      <c r="A5018" s="4">
        <v>2908.0</v>
      </c>
      <c r="B5018" s="4">
        <v>20966.0</v>
      </c>
      <c r="C5018" s="5">
        <f t="shared" si="2090"/>
        <v>40439</v>
      </c>
      <c r="D5018" s="4" t="s">
        <v>21</v>
      </c>
      <c r="E5018" s="4">
        <v>22.0</v>
      </c>
      <c r="F5018" s="4">
        <v>1194.06</v>
      </c>
      <c r="G5018" s="4">
        <v>0.04</v>
      </c>
      <c r="H5018" s="4" t="s">
        <v>22</v>
      </c>
      <c r="I5018" s="6">
        <v>326.97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ht="12.75" customHeight="1">
      <c r="A5019" s="4">
        <v>2916.0</v>
      </c>
      <c r="B5019" s="4">
        <v>21063.0</v>
      </c>
      <c r="C5019" s="5">
        <f t="shared" ref="C5019:C5020" si="2092">DATE(2012,12,31)-626</f>
        <v>40648</v>
      </c>
      <c r="D5019" s="4" t="s">
        <v>21</v>
      </c>
      <c r="E5019" s="4">
        <v>49.0</v>
      </c>
      <c r="F5019" s="4">
        <v>377.02</v>
      </c>
      <c r="G5019" s="4">
        <v>0.0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ht="12.75" customHeight="1">
      <c r="A5020" s="4">
        <v>2917.0</v>
      </c>
      <c r="B5020" s="4">
        <v>21063.0</v>
      </c>
      <c r="C5020" s="5">
        <f t="shared" si="2092"/>
        <v>40648</v>
      </c>
      <c r="D5020" s="4" t="s">
        <v>21</v>
      </c>
      <c r="E5020" s="4">
        <v>48.0</v>
      </c>
      <c r="F5020" s="4">
        <v>7339.24</v>
      </c>
      <c r="G5020" s="4">
        <v>0.0</v>
      </c>
      <c r="H5020" s="4" t="s">
        <v>31</v>
      </c>
      <c r="I5020" s="6">
        <v>-279.74</v>
      </c>
      <c r="J5020" s="4">
        <v>145.98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ht="12.75" customHeight="1">
      <c r="A5021" s="4">
        <v>2958.0</v>
      </c>
      <c r="B5021" s="4">
        <v>21412.0</v>
      </c>
      <c r="C5021" s="5">
        <f t="shared" ref="C5021:C5022" si="2093">DATE(2012,12,31)-537</f>
        <v>40737</v>
      </c>
      <c r="D5021" s="4" t="s">
        <v>45</v>
      </c>
      <c r="E5021" s="4">
        <v>38.0</v>
      </c>
      <c r="F5021" s="4">
        <v>137.07</v>
      </c>
      <c r="G5021" s="4">
        <v>0.09</v>
      </c>
      <c r="H5021" s="4" t="s">
        <v>22</v>
      </c>
      <c r="I5021" s="6">
        <v>-199.295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ht="12.75" customHeight="1">
      <c r="A5022" s="4">
        <v>2959.0</v>
      </c>
      <c r="B5022" s="4">
        <v>21412.0</v>
      </c>
      <c r="C5022" s="5">
        <f t="shared" si="2093"/>
        <v>40737</v>
      </c>
      <c r="D5022" s="4" t="s">
        <v>45</v>
      </c>
      <c r="E5022" s="4">
        <v>28.0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ht="12.75" customHeight="1">
      <c r="A5023" s="4">
        <v>2964.0</v>
      </c>
      <c r="B5023" s="4">
        <v>21442.0</v>
      </c>
      <c r="C5023" s="5">
        <f t="shared" ref="C5023:C5024" si="2094">DATE(2012,12,31)-1102</f>
        <v>40172</v>
      </c>
      <c r="D5023" s="4" t="s">
        <v>21</v>
      </c>
      <c r="E5023" s="4">
        <v>48.0</v>
      </c>
      <c r="F5023" s="4">
        <v>2962.96</v>
      </c>
      <c r="G5023" s="4">
        <v>0.02</v>
      </c>
      <c r="H5023" s="4" t="s">
        <v>31</v>
      </c>
      <c r="I5023" s="6">
        <v>-612.94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5">C5023+7</f>
        <v>40179</v>
      </c>
    </row>
    <row r="5024" ht="12.75" customHeight="1">
      <c r="A5024" s="4">
        <v>2965.0</v>
      </c>
      <c r="B5024" s="4">
        <v>21442.0</v>
      </c>
      <c r="C5024" s="5">
        <f t="shared" si="2094"/>
        <v>40172</v>
      </c>
      <c r="D5024" s="4" t="s">
        <v>21</v>
      </c>
      <c r="E5024" s="4">
        <v>48.0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5"/>
        <v>40179</v>
      </c>
    </row>
    <row r="5025" ht="12.75" customHeight="1">
      <c r="A5025" s="4">
        <v>2966.0</v>
      </c>
      <c r="B5025" s="4">
        <v>21444.0</v>
      </c>
      <c r="C5025" s="5">
        <f>DATE(2012,12,31)-626</f>
        <v>40648</v>
      </c>
      <c r="D5025" s="4" t="s">
        <v>63</v>
      </c>
      <c r="E5025" s="4">
        <v>17.0</v>
      </c>
      <c r="F5025" s="4">
        <v>34.16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0.57</v>
      </c>
      <c r="U5025" s="5">
        <f>C5025+1</f>
        <v>40649</v>
      </c>
    </row>
    <row r="5026" ht="12.75" customHeight="1">
      <c r="A5026" s="4">
        <v>3046.0</v>
      </c>
      <c r="B5026" s="4">
        <v>21861.0</v>
      </c>
      <c r="C5026" s="5">
        <f>DATE(2012,12,31)-1231</f>
        <v>40043</v>
      </c>
      <c r="D5026" s="4" t="s">
        <v>78</v>
      </c>
      <c r="E5026" s="4">
        <v>5.0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6">C5026+2</f>
        <v>40045</v>
      </c>
    </row>
    <row r="5027" ht="12.75" customHeight="1">
      <c r="A5027" s="4">
        <v>3064.0</v>
      </c>
      <c r="B5027" s="4">
        <v>21956.0</v>
      </c>
      <c r="C5027" s="5">
        <f>DATE(2012,12,31)-699</f>
        <v>40575</v>
      </c>
      <c r="D5027" s="4" t="s">
        <v>30</v>
      </c>
      <c r="E5027" s="4">
        <v>2.0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65.99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</v>
      </c>
      <c r="U5027" s="5">
        <f t="shared" si="2096"/>
        <v>40577</v>
      </c>
    </row>
    <row r="5028" ht="12.75" customHeight="1">
      <c r="A5028" s="4">
        <v>3073.0</v>
      </c>
      <c r="B5028" s="4">
        <v>22051.0</v>
      </c>
      <c r="C5028" s="5">
        <f>DATE(2012,12,31)-367</f>
        <v>40907</v>
      </c>
      <c r="D5028" s="4" t="s">
        <v>45</v>
      </c>
      <c r="E5028" s="4">
        <v>39.0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6"/>
        <v>40909</v>
      </c>
    </row>
    <row r="5029" ht="12.75" customHeight="1">
      <c r="A5029" s="4">
        <v>3078.0</v>
      </c>
      <c r="B5029" s="4">
        <v>22085.0</v>
      </c>
      <c r="C5029" s="5">
        <f t="shared" ref="C5029:C5030" si="2097">DATE(2012,12,31)-297</f>
        <v>40977</v>
      </c>
      <c r="D5029" s="4" t="s">
        <v>21</v>
      </c>
      <c r="E5029" s="4">
        <v>41.0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6"/>
        <v>40979</v>
      </c>
    </row>
    <row r="5030" ht="12.75" customHeight="1">
      <c r="A5030" s="4">
        <v>3079.0</v>
      </c>
      <c r="B5030" s="4">
        <v>22085.0</v>
      </c>
      <c r="C5030" s="5">
        <f t="shared" si="2097"/>
        <v>40977</v>
      </c>
      <c r="D5030" s="4" t="s">
        <v>21</v>
      </c>
      <c r="E5030" s="4">
        <v>27.0</v>
      </c>
      <c r="F5030" s="4">
        <v>485.03</v>
      </c>
      <c r="G5030" s="4">
        <v>0.07</v>
      </c>
      <c r="H5030" s="4" t="s">
        <v>22</v>
      </c>
      <c r="I5030" s="6">
        <v>-88.02</v>
      </c>
      <c r="J5030" s="4">
        <v>17.7</v>
      </c>
      <c r="K5030" s="4">
        <v>9.47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ht="12.75" customHeight="1">
      <c r="A5031" s="4">
        <v>3080.0</v>
      </c>
      <c r="B5031" s="4">
        <v>22086.0</v>
      </c>
      <c r="C5031" s="5">
        <f>DATE(2012,12,31)-382</f>
        <v>40892</v>
      </c>
      <c r="D5031" s="4" t="s">
        <v>63</v>
      </c>
      <c r="E5031" s="4">
        <v>21.0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74.35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0.57</v>
      </c>
      <c r="U5031" s="5">
        <f>C5031+1</f>
        <v>40893</v>
      </c>
    </row>
    <row r="5032" ht="12.75" customHeight="1">
      <c r="A5032" s="4">
        <v>3084.0</v>
      </c>
      <c r="B5032" s="4">
        <v>22118.0</v>
      </c>
      <c r="C5032" s="5">
        <f>DATE(2012,12,31)-1443</f>
        <v>39831</v>
      </c>
      <c r="D5032" s="4" t="s">
        <v>30</v>
      </c>
      <c r="E5032" s="4">
        <v>50.0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ht="12.75" customHeight="1">
      <c r="A5033" s="4">
        <v>3107.0</v>
      </c>
      <c r="B5033" s="4">
        <v>22304.0</v>
      </c>
      <c r="C5033" s="5">
        <f>DATE(2012,12,31)-402</f>
        <v>40872</v>
      </c>
      <c r="D5033" s="4" t="s">
        <v>21</v>
      </c>
      <c r="E5033" s="4">
        <v>24.0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</v>
      </c>
      <c r="U5033" s="5">
        <f>C5033+4</f>
        <v>40876</v>
      </c>
    </row>
    <row r="5034" ht="12.75" customHeight="1">
      <c r="A5034" s="4">
        <v>3199.0</v>
      </c>
      <c r="B5034" s="4">
        <v>22919.0</v>
      </c>
      <c r="C5034" s="5">
        <f>DATE(2012,12,31)-1263</f>
        <v>40011</v>
      </c>
      <c r="D5034" s="4" t="s">
        <v>78</v>
      </c>
      <c r="E5034" s="4">
        <v>21.0</v>
      </c>
      <c r="F5034" s="4">
        <v>98.77</v>
      </c>
      <c r="G5034" s="4">
        <v>0.07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ht="12.75" customHeight="1">
      <c r="A5035" s="4">
        <v>3209.0</v>
      </c>
      <c r="B5035" s="4">
        <v>23041.0</v>
      </c>
      <c r="C5035" s="5">
        <f t="shared" ref="C5035:C5037" si="2098">DATE(2012,12,31)-895</f>
        <v>40379</v>
      </c>
      <c r="D5035" s="4" t="s">
        <v>21</v>
      </c>
      <c r="E5035" s="4">
        <v>21.0</v>
      </c>
      <c r="F5035" s="4">
        <v>173.7</v>
      </c>
      <c r="G5035" s="4">
        <v>0.02</v>
      </c>
      <c r="H5035" s="4" t="s">
        <v>22</v>
      </c>
      <c r="I5035" s="6">
        <v>-31.5905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ht="12.75" customHeight="1">
      <c r="A5036" s="4">
        <v>3210.0</v>
      </c>
      <c r="B5036" s="4">
        <v>23041.0</v>
      </c>
      <c r="C5036" s="5">
        <f t="shared" si="2098"/>
        <v>40379</v>
      </c>
      <c r="D5036" s="4" t="s">
        <v>21</v>
      </c>
      <c r="E5036" s="4">
        <v>5.0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19.99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ht="12.75" customHeight="1">
      <c r="A5037" s="4">
        <v>3211.0</v>
      </c>
      <c r="B5037" s="4">
        <v>23041.0</v>
      </c>
      <c r="C5037" s="5">
        <f t="shared" si="2098"/>
        <v>40379</v>
      </c>
      <c r="D5037" s="4" t="s">
        <v>21</v>
      </c>
      <c r="E5037" s="4">
        <v>10.0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ht="12.75" customHeight="1">
      <c r="A5038" s="4">
        <v>3239.0</v>
      </c>
      <c r="B5038" s="4">
        <v>23232.0</v>
      </c>
      <c r="C5038" s="5">
        <f t="shared" ref="C5038:C5040" si="2099">DATE(2012,12,31)-990</f>
        <v>40284</v>
      </c>
      <c r="D5038" s="4" t="s">
        <v>30</v>
      </c>
      <c r="E5038" s="4">
        <v>15.0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39.98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100">C5038+1</f>
        <v>40285</v>
      </c>
    </row>
    <row r="5039" ht="12.75" customHeight="1">
      <c r="A5039" s="4">
        <v>3240.0</v>
      </c>
      <c r="B5039" s="4">
        <v>23232.0</v>
      </c>
      <c r="C5039" s="5">
        <f t="shared" si="2099"/>
        <v>40284</v>
      </c>
      <c r="D5039" s="4" t="s">
        <v>30</v>
      </c>
      <c r="E5039" s="4">
        <v>31.0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100"/>
        <v>40285</v>
      </c>
    </row>
    <row r="5040" ht="12.75" customHeight="1">
      <c r="A5040" s="4">
        <v>3241.0</v>
      </c>
      <c r="B5040" s="4">
        <v>23232.0</v>
      </c>
      <c r="C5040" s="5">
        <f t="shared" si="2099"/>
        <v>40284</v>
      </c>
      <c r="D5040" s="4" t="s">
        <v>30</v>
      </c>
      <c r="E5040" s="4">
        <v>20.0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ht="12.75" customHeight="1">
      <c r="A5041" s="4">
        <v>3248.0</v>
      </c>
      <c r="B5041" s="4">
        <v>23270.0</v>
      </c>
      <c r="C5041" s="5">
        <f t="shared" ref="C5041:C5042" si="2101">DATE(2012,12,31)-659</f>
        <v>40615</v>
      </c>
      <c r="D5041" s="4" t="s">
        <v>21</v>
      </c>
      <c r="E5041" s="4">
        <v>20.0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60.0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ht="12.75" customHeight="1">
      <c r="A5042" s="4">
        <v>3249.0</v>
      </c>
      <c r="B5042" s="4">
        <v>23270.0</v>
      </c>
      <c r="C5042" s="5">
        <f t="shared" si="2101"/>
        <v>40615</v>
      </c>
      <c r="D5042" s="4" t="s">
        <v>21</v>
      </c>
      <c r="E5042" s="4">
        <v>42.0</v>
      </c>
      <c r="F5042" s="4">
        <v>6659.7415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ht="12.75" customHeight="1">
      <c r="A5043" s="4">
        <v>3305.0</v>
      </c>
      <c r="B5043" s="4">
        <v>23618.0</v>
      </c>
      <c r="C5043" s="5">
        <f>DATE(2012,12,31)-34</f>
        <v>41240</v>
      </c>
      <c r="D5043" s="4" t="s">
        <v>63</v>
      </c>
      <c r="E5043" s="4">
        <v>45.0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65.99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</v>
      </c>
      <c r="U5043" s="5">
        <f t="shared" ref="U5043:U5046" si="2102">C5043+2</f>
        <v>41242</v>
      </c>
    </row>
    <row r="5044" ht="12.75" customHeight="1">
      <c r="A5044" s="4">
        <v>3358.0</v>
      </c>
      <c r="B5044" s="4">
        <v>24033.0</v>
      </c>
      <c r="C5044" s="5">
        <f>DATE(2012,12,31)-729</f>
        <v>40545</v>
      </c>
      <c r="D5044" s="4" t="s">
        <v>30</v>
      </c>
      <c r="E5044" s="4">
        <v>50.0</v>
      </c>
      <c r="F5044" s="4">
        <v>1227.18</v>
      </c>
      <c r="G5044" s="4">
        <v>0.0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2"/>
        <v>40547</v>
      </c>
    </row>
    <row r="5045" ht="12.75" customHeight="1">
      <c r="A5045" s="4">
        <v>3363.0</v>
      </c>
      <c r="B5045" s="4">
        <v>24066.0</v>
      </c>
      <c r="C5045" s="5">
        <f>DATE(2012,12,31)-262</f>
        <v>41012</v>
      </c>
      <c r="D5045" s="4" t="s">
        <v>30</v>
      </c>
      <c r="E5045" s="4">
        <v>30.0</v>
      </c>
      <c r="F5045" s="4">
        <v>4278.61</v>
      </c>
      <c r="G5045" s="4">
        <v>0.07</v>
      </c>
      <c r="H5045" s="4" t="s">
        <v>31</v>
      </c>
      <c r="I5045" s="6">
        <v>-955.56</v>
      </c>
      <c r="J5045" s="4">
        <v>150.98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2"/>
        <v>41014</v>
      </c>
    </row>
    <row r="5046" ht="12.75" customHeight="1">
      <c r="A5046" s="4">
        <v>3390.0</v>
      </c>
      <c r="B5046" s="4">
        <v>24162.0</v>
      </c>
      <c r="C5046" s="5">
        <f t="shared" ref="C5046:C5047" si="2103">DATE(2012,12,31)-1227</f>
        <v>40047</v>
      </c>
      <c r="D5046" s="4" t="s">
        <v>45</v>
      </c>
      <c r="E5046" s="4">
        <v>1.0</v>
      </c>
      <c r="F5046" s="4">
        <v>10.94</v>
      </c>
      <c r="G5046" s="4">
        <v>0.08</v>
      </c>
      <c r="H5046" s="4" t="s">
        <v>22</v>
      </c>
      <c r="I5046" s="6">
        <v>-4.35</v>
      </c>
      <c r="J5046" s="4">
        <v>9.68</v>
      </c>
      <c r="K5046" s="4">
        <v>2.03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2"/>
        <v>40049</v>
      </c>
    </row>
    <row r="5047" ht="12.75" customHeight="1">
      <c r="A5047" s="4">
        <v>3391.0</v>
      </c>
      <c r="B5047" s="4">
        <v>24162.0</v>
      </c>
      <c r="C5047" s="5">
        <f t="shared" si="2103"/>
        <v>40047</v>
      </c>
      <c r="D5047" s="4" t="s">
        <v>45</v>
      </c>
      <c r="E5047" s="4">
        <v>12.0</v>
      </c>
      <c r="F5047" s="4">
        <v>1755.3</v>
      </c>
      <c r="G5047" s="4">
        <v>0.04</v>
      </c>
      <c r="H5047" s="4" t="s">
        <v>31</v>
      </c>
      <c r="I5047" s="6">
        <v>-7.009999999999991</v>
      </c>
      <c r="J5047" s="4">
        <v>150.98</v>
      </c>
      <c r="K5047" s="4">
        <v>16.01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ht="12.75" customHeight="1">
      <c r="A5048" s="4">
        <v>3412.0</v>
      </c>
      <c r="B5048" s="4">
        <v>24384.0</v>
      </c>
      <c r="C5048" s="5">
        <f t="shared" ref="C5048:C5050" si="2104">DATE(2012,12,31)-646</f>
        <v>40628</v>
      </c>
      <c r="D5048" s="4" t="s">
        <v>63</v>
      </c>
      <c r="E5048" s="4">
        <v>44.0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5">C5048+2</f>
        <v>40630</v>
      </c>
    </row>
    <row r="5049" ht="12.75" customHeight="1">
      <c r="A5049" s="4">
        <v>3413.0</v>
      </c>
      <c r="B5049" s="4">
        <v>24384.0</v>
      </c>
      <c r="C5049" s="5">
        <f t="shared" si="2104"/>
        <v>40628</v>
      </c>
      <c r="D5049" s="4" t="s">
        <v>63</v>
      </c>
      <c r="E5049" s="4">
        <v>21.0</v>
      </c>
      <c r="F5049" s="4">
        <v>3981.23</v>
      </c>
      <c r="G5049" s="4">
        <v>0.07</v>
      </c>
      <c r="H5049" s="4" t="s">
        <v>22</v>
      </c>
      <c r="I5049" s="6">
        <v>294.94</v>
      </c>
      <c r="J5049" s="4">
        <v>193.17</v>
      </c>
      <c r="K5049" s="4">
        <v>19.99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5"/>
        <v>40630</v>
      </c>
    </row>
    <row r="5050" ht="12.75" customHeight="1">
      <c r="A5050" s="4">
        <v>3414.0</v>
      </c>
      <c r="B5050" s="4">
        <v>24384.0</v>
      </c>
      <c r="C5050" s="5">
        <f t="shared" si="2104"/>
        <v>40628</v>
      </c>
      <c r="D5050" s="4" t="s">
        <v>63</v>
      </c>
      <c r="E5050" s="4">
        <v>20.0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0.58</v>
      </c>
      <c r="U5050" s="5">
        <f t="shared" si="2105"/>
        <v>40630</v>
      </c>
    </row>
    <row r="5051" ht="12.75" customHeight="1">
      <c r="A5051" s="4">
        <v>3424.0</v>
      </c>
      <c r="B5051" s="4">
        <v>24448.0</v>
      </c>
      <c r="C5051" s="5">
        <f>DATE(2012,12,31)-329</f>
        <v>40945</v>
      </c>
      <c r="D5051" s="4" t="s">
        <v>30</v>
      </c>
      <c r="E5051" s="4">
        <v>46.0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5"/>
        <v>40947</v>
      </c>
    </row>
    <row r="5052" ht="12.75" customHeight="1">
      <c r="A5052" s="4">
        <v>3429.0</v>
      </c>
      <c r="B5052" s="4">
        <v>24452.0</v>
      </c>
      <c r="C5052" s="5">
        <f>DATE(2012,12,31)-1334</f>
        <v>39940</v>
      </c>
      <c r="D5052" s="4" t="s">
        <v>30</v>
      </c>
      <c r="E5052" s="4">
        <v>18.0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ht="12.75" customHeight="1">
      <c r="A5053" s="4">
        <v>3436.0</v>
      </c>
      <c r="B5053" s="4">
        <v>24544.0</v>
      </c>
      <c r="C5053" s="5">
        <f t="shared" ref="C5053:C5055" si="2106">DATE(2012,12,31)-1435</f>
        <v>39839</v>
      </c>
      <c r="D5053" s="4" t="s">
        <v>30</v>
      </c>
      <c r="E5053" s="4">
        <v>31.0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150.98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7">C5053+1</f>
        <v>39840</v>
      </c>
    </row>
    <row r="5054" ht="12.75" customHeight="1">
      <c r="A5054" s="4">
        <v>3437.0</v>
      </c>
      <c r="B5054" s="4">
        <v>24544.0</v>
      </c>
      <c r="C5054" s="5">
        <f t="shared" si="2106"/>
        <v>39839</v>
      </c>
      <c r="D5054" s="4" t="s">
        <v>30</v>
      </c>
      <c r="E5054" s="4">
        <v>15.0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7"/>
        <v>39840</v>
      </c>
    </row>
    <row r="5055" ht="12.75" customHeight="1">
      <c r="A5055" s="4">
        <v>3438.0</v>
      </c>
      <c r="B5055" s="4">
        <v>24544.0</v>
      </c>
      <c r="C5055" s="5">
        <f t="shared" si="2106"/>
        <v>39839</v>
      </c>
      <c r="D5055" s="4" t="s">
        <v>30</v>
      </c>
      <c r="E5055" s="4">
        <v>39.0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32.48</v>
      </c>
      <c r="K5055" s="4">
        <v>35.0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7"/>
        <v>39840</v>
      </c>
    </row>
    <row r="5056" ht="12.75" customHeight="1">
      <c r="A5056" s="4">
        <v>3489.0</v>
      </c>
      <c r="B5056" s="4">
        <v>24865.0</v>
      </c>
      <c r="C5056" s="5">
        <f>DATE(2012,12,31)-287</f>
        <v>40987</v>
      </c>
      <c r="D5056" s="4" t="s">
        <v>30</v>
      </c>
      <c r="E5056" s="4">
        <v>46.0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7"/>
        <v>40988</v>
      </c>
    </row>
    <row r="5057" ht="12.75" customHeight="1">
      <c r="A5057" s="4">
        <v>3495.0</v>
      </c>
      <c r="B5057" s="4">
        <v>24902.0</v>
      </c>
      <c r="C5057" s="5">
        <f>DATE(2012,12,31)-950</f>
        <v>40324</v>
      </c>
      <c r="D5057" s="4" t="s">
        <v>30</v>
      </c>
      <c r="E5057" s="4">
        <v>43.0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8">C5057+2</f>
        <v>40326</v>
      </c>
    </row>
    <row r="5058" ht="12.75" customHeight="1">
      <c r="A5058" s="4">
        <v>3555.0</v>
      </c>
      <c r="B5058" s="4">
        <v>25348.0</v>
      </c>
      <c r="C5058" s="5">
        <f t="shared" ref="C5058:C5059" si="2109">DATE(2012,12,31)-236</f>
        <v>41038</v>
      </c>
      <c r="D5058" s="4" t="s">
        <v>78</v>
      </c>
      <c r="E5058" s="4">
        <v>6.0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</v>
      </c>
      <c r="U5058" s="5">
        <f t="shared" si="2108"/>
        <v>41040</v>
      </c>
    </row>
    <row r="5059" ht="12.75" customHeight="1">
      <c r="A5059" s="4">
        <v>3556.0</v>
      </c>
      <c r="B5059" s="4">
        <v>25348.0</v>
      </c>
      <c r="C5059" s="5">
        <f t="shared" si="2109"/>
        <v>41038</v>
      </c>
      <c r="D5059" s="4" t="s">
        <v>78</v>
      </c>
      <c r="E5059" s="4">
        <v>7.0</v>
      </c>
      <c r="F5059" s="4">
        <v>309.2215</v>
      </c>
      <c r="G5059" s="4">
        <v>0.09</v>
      </c>
      <c r="H5059" s="4" t="s">
        <v>22</v>
      </c>
      <c r="I5059" s="6">
        <v>-68.299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8"/>
        <v>41040</v>
      </c>
    </row>
    <row r="5060" ht="12.75" customHeight="1">
      <c r="A5060" s="4">
        <v>3557.0</v>
      </c>
      <c r="B5060" s="4">
        <v>25350.0</v>
      </c>
      <c r="C5060" s="5">
        <f t="shared" ref="C5060:C5061" si="2110">DATE(2012,12,31)-759</f>
        <v>40515</v>
      </c>
      <c r="D5060" s="4" t="s">
        <v>45</v>
      </c>
      <c r="E5060" s="4">
        <v>30.0</v>
      </c>
      <c r="F5060" s="4">
        <v>2477.99</v>
      </c>
      <c r="G5060" s="4">
        <v>0.0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8"/>
        <v>40517</v>
      </c>
    </row>
    <row r="5061" ht="12.75" customHeight="1">
      <c r="A5061" s="4">
        <v>3558.0</v>
      </c>
      <c r="B5061" s="4">
        <v>25350.0</v>
      </c>
      <c r="C5061" s="5">
        <f t="shared" si="2110"/>
        <v>40515</v>
      </c>
      <c r="D5061" s="4" t="s">
        <v>45</v>
      </c>
      <c r="E5061" s="4">
        <v>23.0</v>
      </c>
      <c r="F5061" s="4">
        <v>48.83</v>
      </c>
      <c r="G5061" s="4">
        <v>0.06</v>
      </c>
      <c r="H5061" s="4" t="s">
        <v>22</v>
      </c>
      <c r="I5061" s="6">
        <v>1.0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0.57</v>
      </c>
      <c r="U5061" s="5">
        <f t="shared" si="2108"/>
        <v>40517</v>
      </c>
    </row>
    <row r="5062" ht="12.75" customHeight="1">
      <c r="A5062" s="4">
        <v>3582.0</v>
      </c>
      <c r="B5062" s="4">
        <v>25541.0</v>
      </c>
      <c r="C5062" s="5">
        <f>DATE(2012,12,31)-1448</f>
        <v>39826</v>
      </c>
      <c r="D5062" s="4" t="s">
        <v>21</v>
      </c>
      <c r="E5062" s="4">
        <v>50.0</v>
      </c>
      <c r="F5062" s="4">
        <v>297.76</v>
      </c>
      <c r="G5062" s="4">
        <v>0.07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8"/>
        <v>39828</v>
      </c>
    </row>
    <row r="5063" ht="12.75" customHeight="1">
      <c r="A5063" s="4">
        <v>3588.0</v>
      </c>
      <c r="B5063" s="4">
        <v>25601.0</v>
      </c>
      <c r="C5063" s="5">
        <f>DATE(2012,12,31)-1456</f>
        <v>39818</v>
      </c>
      <c r="D5063" s="4" t="s">
        <v>63</v>
      </c>
      <c r="E5063" s="4">
        <v>43.0</v>
      </c>
      <c r="F5063" s="4">
        <v>257.41</v>
      </c>
      <c r="G5063" s="4">
        <v>0.09</v>
      </c>
      <c r="H5063" s="4" t="s">
        <v>22</v>
      </c>
      <c r="I5063" s="6">
        <v>-131.08</v>
      </c>
      <c r="J5063" s="4">
        <v>5.98</v>
      </c>
      <c r="K5063" s="4">
        <v>4.69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ht="12.75" customHeight="1">
      <c r="A5064" s="4">
        <v>3615.0</v>
      </c>
      <c r="B5064" s="4">
        <v>25828.0</v>
      </c>
      <c r="C5064" s="5">
        <f>DATE(2012,12,31)-769</f>
        <v>40505</v>
      </c>
      <c r="D5064" s="4" t="s">
        <v>45</v>
      </c>
      <c r="E5064" s="4">
        <v>35.0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0.58</v>
      </c>
      <c r="U5064" s="5">
        <f t="shared" ref="U5064:U5065" si="2111">C5064+2</f>
        <v>40507</v>
      </c>
    </row>
    <row r="5065" ht="12.75" customHeight="1">
      <c r="A5065" s="4">
        <v>3656.0</v>
      </c>
      <c r="B5065" s="4">
        <v>26176.0</v>
      </c>
      <c r="C5065" s="5">
        <f t="shared" ref="C5065:C5066" si="2112">DATE(2012,12,31)-408</f>
        <v>40866</v>
      </c>
      <c r="D5065" s="4" t="s">
        <v>30</v>
      </c>
      <c r="E5065" s="4">
        <v>14.0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1"/>
        <v>40868</v>
      </c>
    </row>
    <row r="5066" ht="12.75" customHeight="1">
      <c r="A5066" s="4">
        <v>3657.0</v>
      </c>
      <c r="B5066" s="4">
        <v>26176.0</v>
      </c>
      <c r="C5066" s="5">
        <f t="shared" si="2112"/>
        <v>40866</v>
      </c>
      <c r="D5066" s="4" t="s">
        <v>30</v>
      </c>
      <c r="E5066" s="4">
        <v>30.0</v>
      </c>
      <c r="F5066" s="4">
        <v>554.4295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4.81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0.58</v>
      </c>
      <c r="U5066" s="5">
        <f>C5066+1</f>
        <v>40867</v>
      </c>
    </row>
    <row r="5067" ht="12.75" customHeight="1">
      <c r="A5067" s="4">
        <v>3682.0</v>
      </c>
      <c r="B5067" s="4">
        <v>26337.0</v>
      </c>
      <c r="C5067" s="5">
        <f>DATE(2012,12,31)-1150</f>
        <v>40124</v>
      </c>
      <c r="D5067" s="4" t="s">
        <v>78</v>
      </c>
      <c r="E5067" s="4">
        <v>45.0</v>
      </c>
      <c r="F5067" s="4">
        <v>153.27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ht="12.75" customHeight="1">
      <c r="A5068" s="4">
        <v>3712.0</v>
      </c>
      <c r="B5068" s="4">
        <v>26503.0</v>
      </c>
      <c r="C5068" s="5">
        <f t="shared" ref="C5068:C5069" si="2113">DATE(2012,12,31)-620</f>
        <v>40654</v>
      </c>
      <c r="D5068" s="4" t="s">
        <v>63</v>
      </c>
      <c r="E5068" s="4">
        <v>47.0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ht="12.75" customHeight="1">
      <c r="A5069" s="4">
        <v>3713.0</v>
      </c>
      <c r="B5069" s="4">
        <v>26503.0</v>
      </c>
      <c r="C5069" s="5">
        <f t="shared" si="2113"/>
        <v>40654</v>
      </c>
      <c r="D5069" s="4" t="s">
        <v>63</v>
      </c>
      <c r="E5069" s="4">
        <v>12.0</v>
      </c>
      <c r="F5069" s="4">
        <v>262.09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ht="12.75" customHeight="1">
      <c r="A5070" s="4">
        <v>3728.0</v>
      </c>
      <c r="B5070" s="4">
        <v>26657.0</v>
      </c>
      <c r="C5070" s="5">
        <f>DATE(2012,12,31)-93</f>
        <v>41181</v>
      </c>
      <c r="D5070" s="4" t="s">
        <v>63</v>
      </c>
      <c r="E5070" s="4">
        <v>28.0</v>
      </c>
      <c r="F5070" s="4">
        <v>1107.64</v>
      </c>
      <c r="G5070" s="4">
        <v>0.06</v>
      </c>
      <c r="H5070" s="4" t="s">
        <v>22</v>
      </c>
      <c r="I5070" s="6">
        <v>333.1745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4">C5070+2</f>
        <v>41183</v>
      </c>
    </row>
    <row r="5071" ht="12.75" customHeight="1">
      <c r="A5071" s="4">
        <v>3752.0</v>
      </c>
      <c r="B5071" s="4">
        <v>26787.0</v>
      </c>
      <c r="C5071" s="5">
        <f>DATE(2012,12,31)-469</f>
        <v>40805</v>
      </c>
      <c r="D5071" s="4" t="s">
        <v>30</v>
      </c>
      <c r="E5071" s="4">
        <v>25.0</v>
      </c>
      <c r="F5071" s="4">
        <v>1119.91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4"/>
        <v>40807</v>
      </c>
    </row>
    <row r="5072" ht="12.75" customHeight="1">
      <c r="A5072" s="4">
        <v>3769.0</v>
      </c>
      <c r="B5072" s="4">
        <v>26919.0</v>
      </c>
      <c r="C5072" s="5">
        <f t="shared" ref="C5072:C5073" si="2115">DATE(2012,12,31)-21</f>
        <v>41253</v>
      </c>
      <c r="D5072" s="4" t="s">
        <v>21</v>
      </c>
      <c r="E5072" s="4">
        <v>12.0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300.65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4"/>
        <v>41255</v>
      </c>
    </row>
    <row r="5073" ht="12.75" customHeight="1">
      <c r="A5073" s="4">
        <v>3770.0</v>
      </c>
      <c r="B5073" s="4">
        <v>26919.0</v>
      </c>
      <c r="C5073" s="5">
        <f t="shared" si="2115"/>
        <v>41253</v>
      </c>
      <c r="D5073" s="4" t="s">
        <v>21</v>
      </c>
      <c r="E5073" s="4">
        <v>32.0</v>
      </c>
      <c r="F5073" s="4">
        <v>155.27</v>
      </c>
      <c r="G5073" s="4">
        <v>0.1</v>
      </c>
      <c r="H5073" s="4" t="s">
        <v>22</v>
      </c>
      <c r="I5073" s="6">
        <v>-151.55</v>
      </c>
      <c r="J5073" s="4">
        <v>4.98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4"/>
        <v>41255</v>
      </c>
    </row>
    <row r="5074" ht="12.75" customHeight="1">
      <c r="A5074" s="4">
        <v>3772.0</v>
      </c>
      <c r="B5074" s="4">
        <v>26945.0</v>
      </c>
      <c r="C5074" s="5">
        <f>DATE(2012,12,31)-1425</f>
        <v>39849</v>
      </c>
      <c r="D5074" s="4" t="s">
        <v>78</v>
      </c>
      <c r="E5074" s="4">
        <v>29.0</v>
      </c>
      <c r="F5074" s="4">
        <v>221.33</v>
      </c>
      <c r="G5074" s="4">
        <v>0.0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ht="12.75" customHeight="1">
      <c r="A5075" s="4">
        <v>3839.0</v>
      </c>
      <c r="B5075" s="4">
        <v>27364.0</v>
      </c>
      <c r="C5075" s="5">
        <f t="shared" ref="C5075:C5076" si="2116">DATE(2012,12,31)-591</f>
        <v>40683</v>
      </c>
      <c r="D5075" s="4" t="s">
        <v>63</v>
      </c>
      <c r="E5075" s="4">
        <v>25.0</v>
      </c>
      <c r="F5075" s="4">
        <v>74.07</v>
      </c>
      <c r="G5075" s="4">
        <v>0.04</v>
      </c>
      <c r="H5075" s="4" t="s">
        <v>22</v>
      </c>
      <c r="I5075" s="6">
        <v>4.369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7">C5075+2</f>
        <v>40685</v>
      </c>
    </row>
    <row r="5076" ht="12.75" customHeight="1">
      <c r="A5076" s="4">
        <v>3840.0</v>
      </c>
      <c r="B5076" s="4">
        <v>27364.0</v>
      </c>
      <c r="C5076" s="5">
        <f t="shared" si="2116"/>
        <v>40683</v>
      </c>
      <c r="D5076" s="4" t="s">
        <v>63</v>
      </c>
      <c r="E5076" s="4">
        <v>29.0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65.99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7"/>
        <v>40685</v>
      </c>
    </row>
    <row r="5077" ht="12.75" customHeight="1">
      <c r="A5077" s="4">
        <v>3848.0</v>
      </c>
      <c r="B5077" s="4">
        <v>27460.0</v>
      </c>
      <c r="C5077" s="5">
        <f t="shared" ref="C5077:C5078" si="2118">DATE(2012,12,31)-1329</f>
        <v>39945</v>
      </c>
      <c r="D5077" s="4" t="s">
        <v>45</v>
      </c>
      <c r="E5077" s="4">
        <v>7.0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ht="12.75" customHeight="1">
      <c r="A5078" s="4">
        <v>3849.0</v>
      </c>
      <c r="B5078" s="4">
        <v>27460.0</v>
      </c>
      <c r="C5078" s="5">
        <f t="shared" si="2118"/>
        <v>39945</v>
      </c>
      <c r="D5078" s="4" t="s">
        <v>45</v>
      </c>
      <c r="E5078" s="4">
        <v>31.0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ht="12.75" customHeight="1">
      <c r="A5079" s="4">
        <v>3881.0</v>
      </c>
      <c r="B5079" s="4">
        <v>27717.0</v>
      </c>
      <c r="C5079" s="5">
        <f>DATE(2012,12,31)-432</f>
        <v>40842</v>
      </c>
      <c r="D5079" s="4" t="s">
        <v>78</v>
      </c>
      <c r="E5079" s="4">
        <v>19.0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ht="12.75" customHeight="1">
      <c r="A5080" s="4">
        <v>3890.0</v>
      </c>
      <c r="B5080" s="4">
        <v>27778.0</v>
      </c>
      <c r="C5080" s="5">
        <f>DATE(2012,12,31)-486</f>
        <v>40788</v>
      </c>
      <c r="D5080" s="4" t="s">
        <v>78</v>
      </c>
      <c r="E5080" s="4">
        <v>10.0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9">C5080+2</f>
        <v>40790</v>
      </c>
    </row>
    <row r="5081" ht="12.75" customHeight="1">
      <c r="A5081" s="4">
        <v>3916.0</v>
      </c>
      <c r="B5081" s="4">
        <v>27936.0</v>
      </c>
      <c r="C5081" s="5">
        <f>DATE(2012,12,31)-543</f>
        <v>40731</v>
      </c>
      <c r="D5081" s="4" t="s">
        <v>30</v>
      </c>
      <c r="E5081" s="4">
        <v>23.0</v>
      </c>
      <c r="F5081" s="4">
        <v>1028.16</v>
      </c>
      <c r="G5081" s="4">
        <v>0.07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9"/>
        <v>40733</v>
      </c>
    </row>
    <row r="5082" ht="12.75" customHeight="1">
      <c r="A5082" s="4">
        <v>3957.0</v>
      </c>
      <c r="B5082" s="4">
        <v>28228.0</v>
      </c>
      <c r="C5082" s="5">
        <f>DATE(2012,12,31)-173</f>
        <v>41101</v>
      </c>
      <c r="D5082" s="4" t="s">
        <v>45</v>
      </c>
      <c r="E5082" s="4">
        <v>5.0</v>
      </c>
      <c r="F5082" s="4">
        <v>346.23</v>
      </c>
      <c r="G5082" s="4">
        <v>0.0</v>
      </c>
      <c r="H5082" s="4" t="s">
        <v>22</v>
      </c>
      <c r="I5082" s="6">
        <v>8.46</v>
      </c>
      <c r="J5082" s="4">
        <v>60.98</v>
      </c>
      <c r="K5082" s="4">
        <v>19.99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ht="12.75" customHeight="1">
      <c r="A5083" s="4">
        <v>3961.0</v>
      </c>
      <c r="B5083" s="4">
        <v>28259.0</v>
      </c>
      <c r="C5083" s="5">
        <f>DATE(2012,12,31)-1153</f>
        <v>40121</v>
      </c>
      <c r="D5083" s="4" t="s">
        <v>30</v>
      </c>
      <c r="E5083" s="4">
        <v>22.0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ht="12.75" customHeight="1">
      <c r="A5084" s="4">
        <v>3979.0</v>
      </c>
      <c r="B5084" s="4">
        <v>28419.0</v>
      </c>
      <c r="C5084" s="5">
        <f>DATE(2012,12,31)-1157</f>
        <v>40117</v>
      </c>
      <c r="D5084" s="4" t="s">
        <v>21</v>
      </c>
      <c r="E5084" s="4">
        <v>9.0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ht="12.75" customHeight="1">
      <c r="A5085" s="4">
        <v>4010.0</v>
      </c>
      <c r="B5085" s="4">
        <v>28614.0</v>
      </c>
      <c r="C5085" s="5">
        <f>DATE(2012,12,31)-1169</f>
        <v>40105</v>
      </c>
      <c r="D5085" s="4" t="s">
        <v>78</v>
      </c>
      <c r="E5085" s="4">
        <v>50.0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ht="12.75" customHeight="1">
      <c r="A5086" s="4">
        <v>4023.0</v>
      </c>
      <c r="B5086" s="4">
        <v>28741.0</v>
      </c>
      <c r="C5086" s="5">
        <f t="shared" ref="C5086:C5087" si="2120">DATE(2012,12,31)-672</f>
        <v>40602</v>
      </c>
      <c r="D5086" s="4" t="s">
        <v>45</v>
      </c>
      <c r="E5086" s="4">
        <v>13.0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1">C5086+1</f>
        <v>40603</v>
      </c>
    </row>
    <row r="5087" ht="12.75" customHeight="1">
      <c r="A5087" s="4">
        <v>4024.0</v>
      </c>
      <c r="B5087" s="4">
        <v>28741.0</v>
      </c>
      <c r="C5087" s="5">
        <f t="shared" si="2120"/>
        <v>40602</v>
      </c>
      <c r="D5087" s="4" t="s">
        <v>45</v>
      </c>
      <c r="E5087" s="4">
        <v>5.0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0.57</v>
      </c>
      <c r="U5087" s="5">
        <f t="shared" si="2121"/>
        <v>40603</v>
      </c>
    </row>
    <row r="5088" ht="12.75" customHeight="1">
      <c r="A5088" s="4">
        <v>4027.0</v>
      </c>
      <c r="B5088" s="4">
        <v>28769.0</v>
      </c>
      <c r="C5088" s="5">
        <f>DATE(2012,12,31)-856</f>
        <v>40418</v>
      </c>
      <c r="D5088" s="4" t="s">
        <v>21</v>
      </c>
      <c r="E5088" s="4">
        <v>6.0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ht="12.75" customHeight="1">
      <c r="A5089" s="4">
        <v>4057.0</v>
      </c>
      <c r="B5089" s="4">
        <v>28928.0</v>
      </c>
      <c r="C5089" s="5">
        <f t="shared" ref="C5089:C5091" si="2122">DATE(2012,12,31)-976</f>
        <v>40298</v>
      </c>
      <c r="D5089" s="4" t="s">
        <v>21</v>
      </c>
      <c r="E5089" s="4">
        <v>3.0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0.57</v>
      </c>
      <c r="U5089" s="5">
        <f>C5089+2</f>
        <v>40300</v>
      </c>
    </row>
    <row r="5090" ht="12.75" customHeight="1">
      <c r="A5090" s="4">
        <v>4058.0</v>
      </c>
      <c r="B5090" s="4">
        <v>28928.0</v>
      </c>
      <c r="C5090" s="5">
        <f t="shared" si="2122"/>
        <v>40298</v>
      </c>
      <c r="D5090" s="4" t="s">
        <v>21</v>
      </c>
      <c r="E5090" s="4">
        <v>22.0</v>
      </c>
      <c r="F5090" s="4">
        <v>5144.94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ht="12.75" customHeight="1">
      <c r="A5091" s="4">
        <v>4059.0</v>
      </c>
      <c r="B5091" s="4">
        <v>28928.0</v>
      </c>
      <c r="C5091" s="5">
        <f t="shared" si="2122"/>
        <v>40298</v>
      </c>
      <c r="D5091" s="4" t="s">
        <v>21</v>
      </c>
      <c r="E5091" s="4">
        <v>46.0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5.0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3">C5091+2</f>
        <v>40300</v>
      </c>
    </row>
    <row r="5092" ht="12.75" customHeight="1">
      <c r="A5092" s="4">
        <v>4076.0</v>
      </c>
      <c r="B5092" s="4">
        <v>29058.0</v>
      </c>
      <c r="C5092" s="5">
        <f t="shared" ref="C5092:C5094" si="2124">DATE(2012,12,31)-1093</f>
        <v>40181</v>
      </c>
      <c r="D5092" s="4" t="s">
        <v>30</v>
      </c>
      <c r="E5092" s="4">
        <v>43.0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3"/>
        <v>40183</v>
      </c>
    </row>
    <row r="5093" ht="12.75" customHeight="1">
      <c r="A5093" s="4">
        <v>4077.0</v>
      </c>
      <c r="B5093" s="4">
        <v>29058.0</v>
      </c>
      <c r="C5093" s="5">
        <f t="shared" si="2124"/>
        <v>40181</v>
      </c>
      <c r="D5093" s="4" t="s">
        <v>30</v>
      </c>
      <c r="E5093" s="4">
        <v>23.0</v>
      </c>
      <c r="F5093" s="4">
        <v>128.52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1.0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ht="12.75" customHeight="1">
      <c r="A5094" s="4">
        <v>4078.0</v>
      </c>
      <c r="B5094" s="4">
        <v>29058.0</v>
      </c>
      <c r="C5094" s="5">
        <f t="shared" si="2124"/>
        <v>40181</v>
      </c>
      <c r="D5094" s="4" t="s">
        <v>30</v>
      </c>
      <c r="E5094" s="4">
        <v>41.0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8.79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ht="12.75" customHeight="1">
      <c r="A5095" s="4">
        <v>4086.0</v>
      </c>
      <c r="B5095" s="4">
        <v>29127.0</v>
      </c>
      <c r="C5095" s="5">
        <f>DATE(2012,12,31)-1371</f>
        <v>39903</v>
      </c>
      <c r="D5095" s="4" t="s">
        <v>78</v>
      </c>
      <c r="E5095" s="4">
        <v>18.0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1.0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ht="12.75" customHeight="1">
      <c r="A5096" s="4">
        <v>4099.0</v>
      </c>
      <c r="B5096" s="4">
        <v>29191.0</v>
      </c>
      <c r="C5096" s="5">
        <f>DATE(2012,12,31)-186</f>
        <v>41088</v>
      </c>
      <c r="D5096" s="4" t="s">
        <v>63</v>
      </c>
      <c r="E5096" s="4">
        <v>26.0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ht="12.75" customHeight="1">
      <c r="A5097" s="4">
        <v>4109.0</v>
      </c>
      <c r="B5097" s="4">
        <v>29249.0</v>
      </c>
      <c r="C5097" s="5">
        <f t="shared" ref="C5097:C5098" si="2125">DATE(2012,12,31)-567</f>
        <v>40707</v>
      </c>
      <c r="D5097" s="4" t="s">
        <v>21</v>
      </c>
      <c r="E5097" s="4">
        <v>12.0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ht="12.75" customHeight="1">
      <c r="A5098" s="4">
        <v>4110.0</v>
      </c>
      <c r="B5098" s="4">
        <v>29249.0</v>
      </c>
      <c r="C5098" s="5">
        <f t="shared" si="2125"/>
        <v>40707</v>
      </c>
      <c r="D5098" s="4" t="s">
        <v>21</v>
      </c>
      <c r="E5098" s="4">
        <v>47.0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ht="12.75" customHeight="1">
      <c r="A5099" s="4">
        <v>4128.0</v>
      </c>
      <c r="B5099" s="4">
        <v>29347.0</v>
      </c>
      <c r="C5099" s="5">
        <f>DATE(2012,12,31)-141</f>
        <v>41133</v>
      </c>
      <c r="D5099" s="4" t="s">
        <v>63</v>
      </c>
      <c r="E5099" s="4">
        <v>50.0</v>
      </c>
      <c r="F5099" s="4">
        <v>2040.39</v>
      </c>
      <c r="G5099" s="4">
        <v>0.07</v>
      </c>
      <c r="H5099" s="4" t="s">
        <v>22</v>
      </c>
      <c r="I5099" s="6">
        <v>221.09</v>
      </c>
      <c r="J5099" s="4">
        <v>40.99</v>
      </c>
      <c r="K5099" s="4">
        <v>19.99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ht="12.75" customHeight="1">
      <c r="A5100" s="4">
        <v>4156.0</v>
      </c>
      <c r="B5100" s="4">
        <v>29478.0</v>
      </c>
      <c r="C5100" s="5">
        <f>DATE(2012,12,31)-997</f>
        <v>40277</v>
      </c>
      <c r="D5100" s="4" t="s">
        <v>30</v>
      </c>
      <c r="E5100" s="4">
        <v>15.0</v>
      </c>
      <c r="F5100" s="4">
        <v>272.8925</v>
      </c>
      <c r="G5100" s="4">
        <v>0.01</v>
      </c>
      <c r="H5100" s="4" t="s">
        <v>22</v>
      </c>
      <c r="I5100" s="6">
        <v>19.611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0.57</v>
      </c>
      <c r="U5100" s="5">
        <f>C5100+3</f>
        <v>40280</v>
      </c>
    </row>
    <row r="5101" ht="12.75" customHeight="1">
      <c r="A5101" s="4">
        <v>4222.0</v>
      </c>
      <c r="B5101" s="4">
        <v>29991.0</v>
      </c>
      <c r="C5101" s="5">
        <f>DATE(2012,12,31)-87</f>
        <v>41187</v>
      </c>
      <c r="D5101" s="4" t="s">
        <v>21</v>
      </c>
      <c r="E5101" s="4">
        <v>41.0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ht="12.75" customHeight="1">
      <c r="A5102" s="4">
        <v>4330.0</v>
      </c>
      <c r="B5102" s="4">
        <v>30853.0</v>
      </c>
      <c r="C5102" s="5">
        <f>DATE(2012,12,31)-523</f>
        <v>40751</v>
      </c>
      <c r="D5102" s="4" t="s">
        <v>63</v>
      </c>
      <c r="E5102" s="4">
        <v>16.0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ht="12.75" customHeight="1">
      <c r="A5103" s="4">
        <v>4335.0</v>
      </c>
      <c r="B5103" s="4">
        <v>30886.0</v>
      </c>
      <c r="C5103" s="5">
        <f>DATE(2012,12,31)-233</f>
        <v>41041</v>
      </c>
      <c r="D5103" s="4" t="s">
        <v>21</v>
      </c>
      <c r="E5103" s="4">
        <v>28.0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19.99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ht="12.75" customHeight="1">
      <c r="A5104" s="4">
        <v>4353.0</v>
      </c>
      <c r="B5104" s="4">
        <v>31042.0</v>
      </c>
      <c r="C5104" s="5">
        <f t="shared" ref="C5104:C5105" si="2126">DATE(2012,12,31)-42</f>
        <v>41232</v>
      </c>
      <c r="D5104" s="4" t="s">
        <v>63</v>
      </c>
      <c r="E5104" s="4">
        <v>26.0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30.0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7">C5104+1</f>
        <v>41233</v>
      </c>
    </row>
    <row r="5105" ht="12.75" customHeight="1">
      <c r="A5105" s="4">
        <v>4354.0</v>
      </c>
      <c r="B5105" s="4">
        <v>31042.0</v>
      </c>
      <c r="C5105" s="5">
        <f t="shared" si="2126"/>
        <v>41232</v>
      </c>
      <c r="D5105" s="4" t="s">
        <v>63</v>
      </c>
      <c r="E5105" s="4">
        <v>48.0</v>
      </c>
      <c r="F5105" s="4">
        <v>134.52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0.58</v>
      </c>
      <c r="U5105" s="5">
        <f t="shared" si="2127"/>
        <v>41233</v>
      </c>
    </row>
    <row r="5106" ht="12.75" customHeight="1">
      <c r="A5106" s="4">
        <v>4363.0</v>
      </c>
      <c r="B5106" s="4">
        <v>31078.0</v>
      </c>
      <c r="C5106" s="5">
        <f>DATE(2012,12,31)-1420</f>
        <v>39854</v>
      </c>
      <c r="D5106" s="4" t="s">
        <v>78</v>
      </c>
      <c r="E5106" s="4">
        <v>7.0</v>
      </c>
      <c r="F5106" s="4">
        <v>104.46</v>
      </c>
      <c r="G5106" s="4">
        <v>0.01</v>
      </c>
      <c r="H5106" s="4" t="s">
        <v>22</v>
      </c>
      <c r="I5106" s="6">
        <v>-36.7662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7"/>
        <v>39855</v>
      </c>
    </row>
    <row r="5107" ht="12.75" customHeight="1">
      <c r="A5107" s="4">
        <v>4414.0</v>
      </c>
      <c r="B5107" s="4">
        <v>31493.0</v>
      </c>
      <c r="C5107" s="5">
        <f>DATE(2012,12,31)-1171</f>
        <v>40103</v>
      </c>
      <c r="D5107" s="4" t="s">
        <v>30</v>
      </c>
      <c r="E5107" s="4">
        <v>8.0</v>
      </c>
      <c r="F5107" s="4">
        <v>112.47</v>
      </c>
      <c r="G5107" s="4">
        <v>0.0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7"/>
        <v>40104</v>
      </c>
    </row>
    <row r="5108" ht="12.75" customHeight="1">
      <c r="A5108" s="4">
        <v>4426.0</v>
      </c>
      <c r="B5108" s="4">
        <v>31555.0</v>
      </c>
      <c r="C5108" s="5">
        <f t="shared" ref="C5108:C5109" si="2128">DATE(2012,12,31)-362</f>
        <v>40912</v>
      </c>
      <c r="D5108" s="4" t="s">
        <v>78</v>
      </c>
      <c r="E5108" s="4">
        <v>38.0</v>
      </c>
      <c r="F5108" s="4">
        <v>3531.75</v>
      </c>
      <c r="G5108" s="4">
        <v>0.0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ht="12.75" customHeight="1">
      <c r="A5109" s="4">
        <v>4427.0</v>
      </c>
      <c r="B5109" s="4">
        <v>31555.0</v>
      </c>
      <c r="C5109" s="5">
        <f t="shared" si="2128"/>
        <v>40912</v>
      </c>
      <c r="D5109" s="4" t="s">
        <v>78</v>
      </c>
      <c r="E5109" s="4">
        <v>5.0</v>
      </c>
      <c r="F5109" s="4">
        <v>500.5</v>
      </c>
      <c r="G5109" s="4">
        <v>0.02</v>
      </c>
      <c r="H5109" s="4" t="s">
        <v>31</v>
      </c>
      <c r="I5109" s="6">
        <v>-153.3114</v>
      </c>
      <c r="J5109" s="4">
        <v>90.97</v>
      </c>
      <c r="K5109" s="4">
        <v>28.0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ht="12.75" customHeight="1">
      <c r="A5110" s="4">
        <v>4454.0</v>
      </c>
      <c r="B5110" s="4">
        <v>31744.0</v>
      </c>
      <c r="C5110" s="5">
        <f>DATE(2012,12,31)-113</f>
        <v>41161</v>
      </c>
      <c r="D5110" s="4" t="s">
        <v>63</v>
      </c>
      <c r="E5110" s="4">
        <v>12.0</v>
      </c>
      <c r="F5110" s="4">
        <v>86.69</v>
      </c>
      <c r="G5110" s="4">
        <v>0.0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9">C5110+1</f>
        <v>41162</v>
      </c>
    </row>
    <row r="5111" ht="12.75" customHeight="1">
      <c r="A5111" s="4">
        <v>4465.0</v>
      </c>
      <c r="B5111" s="4">
        <v>31842.0</v>
      </c>
      <c r="C5111" s="5">
        <f>DATE(2012,12,31)-899</f>
        <v>40375</v>
      </c>
      <c r="D5111" s="4" t="s">
        <v>63</v>
      </c>
      <c r="E5111" s="4">
        <v>9.0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9"/>
        <v>40376</v>
      </c>
    </row>
    <row r="5112" ht="12.75" customHeight="1">
      <c r="A5112" s="4">
        <v>4484.0</v>
      </c>
      <c r="B5112" s="4">
        <v>31910.0</v>
      </c>
      <c r="C5112" s="5">
        <f>DATE(2012,12,31)-1159</f>
        <v>40115</v>
      </c>
      <c r="D5112" s="4" t="s">
        <v>63</v>
      </c>
      <c r="E5112" s="4">
        <v>6.0</v>
      </c>
      <c r="F5112" s="4">
        <v>187.6375</v>
      </c>
      <c r="G5112" s="4">
        <v>0.03</v>
      </c>
      <c r="H5112" s="4" t="s">
        <v>22</v>
      </c>
      <c r="I5112" s="6">
        <v>-190.025</v>
      </c>
      <c r="J5112" s="4">
        <v>35.99</v>
      </c>
      <c r="K5112" s="4">
        <v>5.0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9"/>
        <v>40116</v>
      </c>
    </row>
    <row r="5113" ht="12.75" customHeight="1">
      <c r="A5113" s="4">
        <v>4507.0</v>
      </c>
      <c r="B5113" s="4">
        <v>32069.0</v>
      </c>
      <c r="C5113" s="5">
        <f>DATE(2012,12,31)-408</f>
        <v>40866</v>
      </c>
      <c r="D5113" s="4" t="s">
        <v>45</v>
      </c>
      <c r="E5113" s="4">
        <v>17.0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ht="12.75" customHeight="1">
      <c r="A5114" s="4">
        <v>4571.0</v>
      </c>
      <c r="B5114" s="4">
        <v>32519.0</v>
      </c>
      <c r="C5114" s="5">
        <f>DATE(2012,12,31)-815</f>
        <v>40459</v>
      </c>
      <c r="D5114" s="4" t="s">
        <v>21</v>
      </c>
      <c r="E5114" s="4">
        <v>8.0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ht="12.75" customHeight="1">
      <c r="A5115" s="4">
        <v>4591.0</v>
      </c>
      <c r="B5115" s="4">
        <v>32647.0</v>
      </c>
      <c r="C5115" s="5">
        <f t="shared" ref="C5115:C5116" si="2130">DATE(2012,12,31)-409</f>
        <v>40865</v>
      </c>
      <c r="D5115" s="4" t="s">
        <v>30</v>
      </c>
      <c r="E5115" s="4">
        <v>32.0</v>
      </c>
      <c r="F5115" s="4">
        <v>671.75</v>
      </c>
      <c r="G5115" s="4">
        <v>0.07</v>
      </c>
      <c r="H5115" s="4" t="s">
        <v>22</v>
      </c>
      <c r="I5115" s="6">
        <v>-56.83</v>
      </c>
      <c r="J5115" s="4">
        <v>20.97</v>
      </c>
      <c r="K5115" s="4">
        <v>4.0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1">C5115+2</f>
        <v>40867</v>
      </c>
    </row>
    <row r="5116" ht="12.75" customHeight="1">
      <c r="A5116" s="4">
        <v>4592.0</v>
      </c>
      <c r="B5116" s="4">
        <v>32647.0</v>
      </c>
      <c r="C5116" s="5">
        <f t="shared" si="2130"/>
        <v>40865</v>
      </c>
      <c r="D5116" s="4" t="s">
        <v>30</v>
      </c>
      <c r="E5116" s="4">
        <v>27.0</v>
      </c>
      <c r="F5116" s="4">
        <v>9541.04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1"/>
        <v>40867</v>
      </c>
    </row>
    <row r="5117" ht="12.75" customHeight="1">
      <c r="A5117" s="4">
        <v>4632.0</v>
      </c>
      <c r="B5117" s="4">
        <v>32966.0</v>
      </c>
      <c r="C5117" s="5">
        <f t="shared" ref="C5117:C5118" si="2132">DATE(2012,12,31)-340</f>
        <v>40934</v>
      </c>
      <c r="D5117" s="4" t="s">
        <v>21</v>
      </c>
      <c r="E5117" s="4">
        <v>4.0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</v>
      </c>
      <c r="U5117" s="5">
        <f>C5117+7</f>
        <v>40941</v>
      </c>
    </row>
    <row r="5118" ht="12.75" customHeight="1">
      <c r="A5118" s="4">
        <v>4633.0</v>
      </c>
      <c r="B5118" s="4">
        <v>32966.0</v>
      </c>
      <c r="C5118" s="5">
        <f t="shared" si="2132"/>
        <v>40934</v>
      </c>
      <c r="D5118" s="4" t="s">
        <v>21</v>
      </c>
      <c r="E5118" s="4">
        <v>43.0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ht="12.75" customHeight="1">
      <c r="A5119" s="4">
        <v>4664.0</v>
      </c>
      <c r="B5119" s="4">
        <v>33218.0</v>
      </c>
      <c r="C5119" s="5">
        <f t="shared" ref="C5119:C5120" si="2133">DATE(2012,12,31)-1090</f>
        <v>40184</v>
      </c>
      <c r="D5119" s="4" t="s">
        <v>45</v>
      </c>
      <c r="E5119" s="4">
        <v>25.0</v>
      </c>
      <c r="F5119" s="4">
        <v>113.8</v>
      </c>
      <c r="G5119" s="4">
        <v>0.07</v>
      </c>
      <c r="H5119" s="4" t="s">
        <v>22</v>
      </c>
      <c r="I5119" s="6">
        <v>-84.0765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ht="12.75" customHeight="1">
      <c r="A5120" s="4">
        <v>4665.0</v>
      </c>
      <c r="B5120" s="4">
        <v>33218.0</v>
      </c>
      <c r="C5120" s="5">
        <f t="shared" si="2133"/>
        <v>40184</v>
      </c>
      <c r="D5120" s="4" t="s">
        <v>45</v>
      </c>
      <c r="E5120" s="4">
        <v>29.0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4">C5120+1</f>
        <v>40185</v>
      </c>
    </row>
    <row r="5121" ht="12.75" customHeight="1">
      <c r="A5121" s="4">
        <v>4679.0</v>
      </c>
      <c r="B5121" s="4">
        <v>33285.0</v>
      </c>
      <c r="C5121" s="5">
        <f>DATE(2012,12,31)-347</f>
        <v>40927</v>
      </c>
      <c r="D5121" s="4" t="s">
        <v>30</v>
      </c>
      <c r="E5121" s="4">
        <v>5.0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0.57</v>
      </c>
      <c r="U5121" s="5">
        <f t="shared" si="2134"/>
        <v>40928</v>
      </c>
    </row>
    <row r="5122" ht="12.75" customHeight="1">
      <c r="A5122" s="4">
        <v>4701.0</v>
      </c>
      <c r="B5122" s="4">
        <v>33479.0</v>
      </c>
      <c r="C5122" s="5">
        <f>DATE(2012,12,31)-104</f>
        <v>41170</v>
      </c>
      <c r="D5122" s="4" t="s">
        <v>78</v>
      </c>
      <c r="E5122" s="4">
        <v>24.0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5">C5122+2</f>
        <v>41172</v>
      </c>
    </row>
    <row r="5123" ht="12.75" customHeight="1">
      <c r="A5123" s="4">
        <v>4706.0</v>
      </c>
      <c r="B5123" s="4">
        <v>33537.0</v>
      </c>
      <c r="C5123" s="5">
        <f t="shared" ref="C5123:C5124" si="2136">DATE(2012,12,31)-871</f>
        <v>40403</v>
      </c>
      <c r="D5123" s="4" t="s">
        <v>63</v>
      </c>
      <c r="E5123" s="4">
        <v>26.0</v>
      </c>
      <c r="F5123" s="4">
        <v>45.38</v>
      </c>
      <c r="G5123" s="4">
        <v>0.07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</v>
      </c>
      <c r="U5123" s="5">
        <f t="shared" si="2135"/>
        <v>40405</v>
      </c>
    </row>
    <row r="5124" ht="12.75" customHeight="1">
      <c r="A5124" s="4">
        <v>4707.0</v>
      </c>
      <c r="B5124" s="4">
        <v>33537.0</v>
      </c>
      <c r="C5124" s="5">
        <f t="shared" si="2136"/>
        <v>40403</v>
      </c>
      <c r="D5124" s="4" t="s">
        <v>63</v>
      </c>
      <c r="E5124" s="4">
        <v>9.0</v>
      </c>
      <c r="F5124" s="4">
        <v>163.3105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ht="12.75" customHeight="1">
      <c r="A5125" s="4">
        <v>4712.0</v>
      </c>
      <c r="B5125" s="4">
        <v>33569.0</v>
      </c>
      <c r="C5125" s="5">
        <f>DATE(2012,12,31)-1221</f>
        <v>40053</v>
      </c>
      <c r="D5125" s="4" t="s">
        <v>21</v>
      </c>
      <c r="E5125" s="4">
        <v>9.0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ht="12.75" customHeight="1">
      <c r="A5126" s="4">
        <v>4716.0</v>
      </c>
      <c r="B5126" s="4">
        <v>33571.0</v>
      </c>
      <c r="C5126" s="5">
        <f>DATE(2012,12,31)-447</f>
        <v>40827</v>
      </c>
      <c r="D5126" s="4" t="s">
        <v>63</v>
      </c>
      <c r="E5126" s="4">
        <v>1.0</v>
      </c>
      <c r="F5126" s="4">
        <v>7.15</v>
      </c>
      <c r="G5126" s="4">
        <v>0.03</v>
      </c>
      <c r="H5126" s="4" t="s">
        <v>22</v>
      </c>
      <c r="I5126" s="6">
        <v>-2.55</v>
      </c>
      <c r="J5126" s="4">
        <v>5.08</v>
      </c>
      <c r="K5126" s="4">
        <v>2.03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ht="12.75" customHeight="1">
      <c r="A5127" s="4">
        <v>4726.0</v>
      </c>
      <c r="B5127" s="4">
        <v>33637.0</v>
      </c>
      <c r="C5127" s="5">
        <f>DATE(2012,12,31)-37</f>
        <v>41237</v>
      </c>
      <c r="D5127" s="4" t="s">
        <v>21</v>
      </c>
      <c r="E5127" s="4">
        <v>35.0</v>
      </c>
      <c r="F5127" s="4">
        <v>192.21</v>
      </c>
      <c r="G5127" s="4">
        <v>0.07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7">C5127+2</f>
        <v>41239</v>
      </c>
    </row>
    <row r="5128" ht="12.75" customHeight="1">
      <c r="A5128" s="4">
        <v>4729.0</v>
      </c>
      <c r="B5128" s="4">
        <v>33670.0</v>
      </c>
      <c r="C5128" s="5">
        <f t="shared" ref="C5128:C5129" si="2138">DATE(2012,12,31)-248</f>
        <v>41026</v>
      </c>
      <c r="D5128" s="4" t="s">
        <v>30</v>
      </c>
      <c r="E5128" s="4">
        <v>50.0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</v>
      </c>
      <c r="U5128" s="5">
        <f t="shared" si="2137"/>
        <v>41028</v>
      </c>
    </row>
    <row r="5129" ht="12.75" customHeight="1">
      <c r="A5129" s="4">
        <v>4730.0</v>
      </c>
      <c r="B5129" s="4">
        <v>33670.0</v>
      </c>
      <c r="C5129" s="5">
        <f t="shared" si="2138"/>
        <v>41026</v>
      </c>
      <c r="D5129" s="4" t="s">
        <v>30</v>
      </c>
      <c r="E5129" s="4">
        <v>4.0</v>
      </c>
      <c r="F5129" s="4">
        <v>17.33</v>
      </c>
      <c r="G5129" s="4">
        <v>0.06</v>
      </c>
      <c r="H5129" s="4" t="s">
        <v>22</v>
      </c>
      <c r="I5129" s="6">
        <v>-16.58</v>
      </c>
      <c r="J5129" s="4">
        <v>3.28</v>
      </c>
      <c r="K5129" s="4">
        <v>5.0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</v>
      </c>
      <c r="U5129" s="5">
        <f>C5129+1</f>
        <v>41027</v>
      </c>
    </row>
    <row r="5130" ht="12.75" customHeight="1">
      <c r="A5130" s="4">
        <v>4753.0</v>
      </c>
      <c r="B5130" s="4">
        <v>33794.0</v>
      </c>
      <c r="C5130" s="5">
        <f>DATE(2012,12,31)-678</f>
        <v>40596</v>
      </c>
      <c r="D5130" s="4" t="s">
        <v>78</v>
      </c>
      <c r="E5130" s="4">
        <v>18.0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ht="12.75" customHeight="1">
      <c r="A5131" s="4">
        <v>4761.0</v>
      </c>
      <c r="B5131" s="4">
        <v>33857.0</v>
      </c>
      <c r="C5131" s="5">
        <f>DATE(2012,12,31)-977</f>
        <v>40297</v>
      </c>
      <c r="D5131" s="4" t="s">
        <v>78</v>
      </c>
      <c r="E5131" s="4">
        <v>18.0</v>
      </c>
      <c r="F5131" s="4">
        <v>130.16</v>
      </c>
      <c r="G5131" s="4">
        <v>0.0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ht="12.75" customHeight="1">
      <c r="A5132" s="4">
        <v>4833.0</v>
      </c>
      <c r="B5132" s="4">
        <v>34400.0</v>
      </c>
      <c r="C5132" s="5">
        <f t="shared" ref="C5132:C5133" si="2139">DATE(2012,12,31)-7</f>
        <v>41267</v>
      </c>
      <c r="D5132" s="4" t="s">
        <v>21</v>
      </c>
      <c r="E5132" s="4">
        <v>25.0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ht="12.75" customHeight="1">
      <c r="A5133" s="4">
        <v>4834.0</v>
      </c>
      <c r="B5133" s="4">
        <v>34400.0</v>
      </c>
      <c r="C5133" s="5">
        <f t="shared" si="2139"/>
        <v>41267</v>
      </c>
      <c r="D5133" s="4" t="s">
        <v>21</v>
      </c>
      <c r="E5133" s="4">
        <v>17.0</v>
      </c>
      <c r="F5133" s="4">
        <v>988.6434999999999</v>
      </c>
      <c r="G5133" s="4">
        <v>0.04</v>
      </c>
      <c r="H5133" s="4" t="s">
        <v>22</v>
      </c>
      <c r="I5133" s="6">
        <v>89.892</v>
      </c>
      <c r="J5133" s="4">
        <v>65.99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ht="12.75" customHeight="1">
      <c r="A5134" s="4">
        <v>4838.0</v>
      </c>
      <c r="B5134" s="4">
        <v>34407.0</v>
      </c>
      <c r="C5134" s="5">
        <f>DATE(2012,12,31)-884</f>
        <v>40390</v>
      </c>
      <c r="D5134" s="4" t="s">
        <v>21</v>
      </c>
      <c r="E5134" s="4">
        <v>41.0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ht="12.75" customHeight="1">
      <c r="A5135" s="4">
        <v>4839.0</v>
      </c>
      <c r="B5135" s="4">
        <v>34432.0</v>
      </c>
      <c r="C5135" s="5">
        <f t="shared" ref="C5135:C5136" si="2140">DATE(2012,12,31)-1364</f>
        <v>39910</v>
      </c>
      <c r="D5135" s="4" t="s">
        <v>45</v>
      </c>
      <c r="E5135" s="4">
        <v>20.0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1">C5135+1</f>
        <v>39911</v>
      </c>
    </row>
    <row r="5136" ht="12.75" customHeight="1">
      <c r="A5136" s="4">
        <v>4840.0</v>
      </c>
      <c r="B5136" s="4">
        <v>34432.0</v>
      </c>
      <c r="C5136" s="5">
        <f t="shared" si="2140"/>
        <v>39910</v>
      </c>
      <c r="D5136" s="4" t="s">
        <v>45</v>
      </c>
      <c r="E5136" s="4">
        <v>3.0</v>
      </c>
      <c r="F5136" s="4">
        <v>581.42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19.99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</v>
      </c>
      <c r="U5136" s="5">
        <f t="shared" si="2141"/>
        <v>39911</v>
      </c>
    </row>
    <row r="5137" ht="12.75" customHeight="1">
      <c r="A5137" s="4">
        <v>4846.0</v>
      </c>
      <c r="B5137" s="4">
        <v>34497.0</v>
      </c>
      <c r="C5137" s="5">
        <f t="shared" ref="C5137:C5138" si="2142">DATE(2012,12,31)-1392</f>
        <v>39882</v>
      </c>
      <c r="D5137" s="4" t="s">
        <v>63</v>
      </c>
      <c r="E5137" s="4">
        <v>36.0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1"/>
        <v>39883</v>
      </c>
    </row>
    <row r="5138" ht="12.75" customHeight="1">
      <c r="A5138" s="4">
        <v>4847.0</v>
      </c>
      <c r="B5138" s="4">
        <v>34497.0</v>
      </c>
      <c r="C5138" s="5">
        <f t="shared" si="2142"/>
        <v>39882</v>
      </c>
      <c r="D5138" s="4" t="s">
        <v>63</v>
      </c>
      <c r="E5138" s="4">
        <v>25.0</v>
      </c>
      <c r="F5138" s="4">
        <v>590.6</v>
      </c>
      <c r="G5138" s="4">
        <v>0.0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ht="12.75" customHeight="1">
      <c r="A5139" s="4">
        <v>4848.0</v>
      </c>
      <c r="B5139" s="4">
        <v>34498.0</v>
      </c>
      <c r="C5139" s="5">
        <f t="shared" ref="C5139:C5140" si="2143">DATE(2012,12,31)-1415</f>
        <v>39859</v>
      </c>
      <c r="D5139" s="4" t="s">
        <v>21</v>
      </c>
      <c r="E5139" s="4">
        <v>4.0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4">C5139+5</f>
        <v>39864</v>
      </c>
    </row>
    <row r="5140" ht="12.75" customHeight="1">
      <c r="A5140" s="4">
        <v>4849.0</v>
      </c>
      <c r="B5140" s="4">
        <v>34498.0</v>
      </c>
      <c r="C5140" s="5">
        <f t="shared" si="2143"/>
        <v>39859</v>
      </c>
      <c r="D5140" s="4" t="s">
        <v>21</v>
      </c>
      <c r="E5140" s="4">
        <v>3.0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9.03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4"/>
        <v>39864</v>
      </c>
    </row>
    <row r="5141" ht="12.75" customHeight="1">
      <c r="A5141" s="4">
        <v>4925.0</v>
      </c>
      <c r="B5141" s="4">
        <v>35045.0</v>
      </c>
      <c r="C5141" s="5">
        <f>DATE(2012,12,31)-273</f>
        <v>41001</v>
      </c>
      <c r="D5141" s="4" t="s">
        <v>63</v>
      </c>
      <c r="E5141" s="4">
        <v>44.0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ht="12.75" customHeight="1">
      <c r="A5142" s="4">
        <v>4954.0</v>
      </c>
      <c r="B5142" s="4">
        <v>35265.0</v>
      </c>
      <c r="C5142" s="5">
        <f t="shared" ref="C5142:C5144" si="2145">DATE(2012,12,31)-763</f>
        <v>40511</v>
      </c>
      <c r="D5142" s="4" t="s">
        <v>45</v>
      </c>
      <c r="E5142" s="4">
        <v>4.0</v>
      </c>
      <c r="F5142" s="4">
        <v>125.78</v>
      </c>
      <c r="G5142" s="4">
        <v>0.02</v>
      </c>
      <c r="H5142" s="4" t="s">
        <v>22</v>
      </c>
      <c r="I5142" s="6">
        <v>8.432000000000004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6">C5142+1</f>
        <v>40512</v>
      </c>
    </row>
    <row r="5143" ht="12.75" customHeight="1">
      <c r="A5143" s="4">
        <v>4955.0</v>
      </c>
      <c r="B5143" s="4">
        <v>35265.0</v>
      </c>
      <c r="C5143" s="5">
        <f t="shared" si="2145"/>
        <v>40511</v>
      </c>
      <c r="D5143" s="4" t="s">
        <v>45</v>
      </c>
      <c r="E5143" s="4">
        <v>16.0</v>
      </c>
      <c r="F5143" s="4">
        <v>577.0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0.58</v>
      </c>
      <c r="U5143" s="5">
        <f t="shared" si="2146"/>
        <v>40512</v>
      </c>
    </row>
    <row r="5144" ht="12.75" customHeight="1">
      <c r="A5144" s="4">
        <v>4956.0</v>
      </c>
      <c r="B5144" s="4">
        <v>35265.0</v>
      </c>
      <c r="C5144" s="5">
        <f t="shared" si="2145"/>
        <v>40511</v>
      </c>
      <c r="D5144" s="4" t="s">
        <v>45</v>
      </c>
      <c r="E5144" s="4">
        <v>2.0</v>
      </c>
      <c r="F5144" s="4">
        <v>24.53</v>
      </c>
      <c r="G5144" s="4">
        <v>0.04</v>
      </c>
      <c r="H5144" s="4" t="s">
        <v>22</v>
      </c>
      <c r="I5144" s="6">
        <v>-28.1445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ht="12.75" customHeight="1">
      <c r="A5145" s="4">
        <v>4985.0</v>
      </c>
      <c r="B5145" s="4">
        <v>35461.0</v>
      </c>
      <c r="C5145" s="5">
        <f t="shared" ref="C5145:C5146" si="2147">DATE(2012,12,31)-1309</f>
        <v>39965</v>
      </c>
      <c r="D5145" s="4" t="s">
        <v>78</v>
      </c>
      <c r="E5145" s="4">
        <v>11.0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ht="12.75" customHeight="1">
      <c r="A5146" s="4">
        <v>4986.0</v>
      </c>
      <c r="B5146" s="4">
        <v>35461.0</v>
      </c>
      <c r="C5146" s="5">
        <f t="shared" si="2147"/>
        <v>39965</v>
      </c>
      <c r="D5146" s="4" t="s">
        <v>78</v>
      </c>
      <c r="E5146" s="4">
        <v>30.0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8">C5146+1</f>
        <v>39966</v>
      </c>
    </row>
    <row r="5147" ht="12.75" customHeight="1">
      <c r="A5147" s="4">
        <v>5000.0</v>
      </c>
      <c r="B5147" s="4">
        <v>35590.0</v>
      </c>
      <c r="C5147" s="5">
        <f>DATE(2012,12,31)-29</f>
        <v>41245</v>
      </c>
      <c r="D5147" s="4" t="s">
        <v>78</v>
      </c>
      <c r="E5147" s="4">
        <v>4.0</v>
      </c>
      <c r="F5147" s="4">
        <v>423.95</v>
      </c>
      <c r="G5147" s="4">
        <v>0.0</v>
      </c>
      <c r="H5147" s="4" t="s">
        <v>22</v>
      </c>
      <c r="I5147" s="6">
        <v>-263.95</v>
      </c>
      <c r="J5147" s="4">
        <v>99.99</v>
      </c>
      <c r="K5147" s="4">
        <v>19.99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8"/>
        <v>41246</v>
      </c>
    </row>
    <row r="5148" ht="12.75" customHeight="1">
      <c r="A5148" s="4">
        <v>5006.0</v>
      </c>
      <c r="B5148" s="4">
        <v>35687.0</v>
      </c>
      <c r="C5148" s="5">
        <f>DATE(2012,12,31)-409</f>
        <v>40865</v>
      </c>
      <c r="D5148" s="4" t="s">
        <v>45</v>
      </c>
      <c r="E5148" s="4">
        <v>48.0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8"/>
        <v>40866</v>
      </c>
    </row>
    <row r="5149" ht="12.75" customHeight="1">
      <c r="A5149" s="4">
        <v>5011.0</v>
      </c>
      <c r="B5149" s="4">
        <v>35776.0</v>
      </c>
      <c r="C5149" s="5">
        <f t="shared" ref="C5149:C5150" si="2149">DATE(2012,12,31)-1426</f>
        <v>39848</v>
      </c>
      <c r="D5149" s="4" t="s">
        <v>63</v>
      </c>
      <c r="E5149" s="4">
        <v>9.0</v>
      </c>
      <c r="F5149" s="4">
        <v>118.66</v>
      </c>
      <c r="G5149" s="4">
        <v>0.05</v>
      </c>
      <c r="H5149" s="4" t="s">
        <v>22</v>
      </c>
      <c r="I5149" s="6">
        <v>32.6825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50">C5149+2</f>
        <v>39850</v>
      </c>
    </row>
    <row r="5150" ht="12.75" customHeight="1">
      <c r="A5150" s="4">
        <v>5012.0</v>
      </c>
      <c r="B5150" s="4">
        <v>35776.0</v>
      </c>
      <c r="C5150" s="5">
        <f t="shared" si="2149"/>
        <v>39848</v>
      </c>
      <c r="D5150" s="4" t="s">
        <v>63</v>
      </c>
      <c r="E5150" s="4">
        <v>36.0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50"/>
        <v>39850</v>
      </c>
    </row>
    <row r="5151" ht="12.75" customHeight="1">
      <c r="A5151" s="4">
        <v>5015.0</v>
      </c>
      <c r="B5151" s="4">
        <v>35782.0</v>
      </c>
      <c r="C5151" s="5">
        <f t="shared" ref="C5151:C5152" si="2151">DATE(2012,12,31)-514</f>
        <v>40760</v>
      </c>
      <c r="D5151" s="4" t="s">
        <v>21</v>
      </c>
      <c r="E5151" s="4">
        <v>42.0</v>
      </c>
      <c r="F5151" s="4">
        <v>6427.18</v>
      </c>
      <c r="G5151" s="4">
        <v>0.09</v>
      </c>
      <c r="H5151" s="4" t="s">
        <v>22</v>
      </c>
      <c r="I5151" s="6">
        <v>2097.103</v>
      </c>
      <c r="J5151" s="4">
        <v>165.98</v>
      </c>
      <c r="K5151" s="4">
        <v>19.99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ht="12.75" customHeight="1">
      <c r="A5152" s="4">
        <v>5016.0</v>
      </c>
      <c r="B5152" s="4">
        <v>35782.0</v>
      </c>
      <c r="C5152" s="5">
        <f t="shared" si="2151"/>
        <v>40760</v>
      </c>
      <c r="D5152" s="4" t="s">
        <v>21</v>
      </c>
      <c r="E5152" s="4">
        <v>13.0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ht="12.75" customHeight="1">
      <c r="A5153" s="4">
        <v>5022.0</v>
      </c>
      <c r="B5153" s="4">
        <v>35813.0</v>
      </c>
      <c r="C5153" s="5">
        <f t="shared" ref="C5153:C5154" si="2152">DATE(2012,12,31)-1350</f>
        <v>39924</v>
      </c>
      <c r="D5153" s="4" t="s">
        <v>78</v>
      </c>
      <c r="E5153" s="4">
        <v>21.0</v>
      </c>
      <c r="F5153" s="4">
        <v>7841.57</v>
      </c>
      <c r="G5153" s="4">
        <v>0.05</v>
      </c>
      <c r="H5153" s="4" t="s">
        <v>56</v>
      </c>
      <c r="I5153" s="6">
        <v>2347.18</v>
      </c>
      <c r="J5153" s="4">
        <v>363.25</v>
      </c>
      <c r="K5153" s="4">
        <v>19.99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0.57</v>
      </c>
      <c r="U5153" s="5">
        <f t="shared" ref="U5153:U5154" si="2153">C5153+0</f>
        <v>39924</v>
      </c>
    </row>
    <row r="5154" ht="12.75" customHeight="1">
      <c r="A5154" s="4">
        <v>5023.0</v>
      </c>
      <c r="B5154" s="4">
        <v>35813.0</v>
      </c>
      <c r="C5154" s="5">
        <f t="shared" si="2152"/>
        <v>39924</v>
      </c>
      <c r="D5154" s="4" t="s">
        <v>78</v>
      </c>
      <c r="E5154" s="4">
        <v>21.0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4.0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3"/>
        <v>39924</v>
      </c>
    </row>
    <row r="5155" ht="12.75" customHeight="1">
      <c r="A5155" s="4">
        <v>5050.0</v>
      </c>
      <c r="B5155" s="4">
        <v>36003.0</v>
      </c>
      <c r="C5155" s="5">
        <f t="shared" ref="C5155:C5156" si="2154">DATE(2012,12,31)-792</f>
        <v>40482</v>
      </c>
      <c r="D5155" s="4" t="s">
        <v>63</v>
      </c>
      <c r="E5155" s="4">
        <v>40.0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5">C5155+2</f>
        <v>40484</v>
      </c>
    </row>
    <row r="5156" ht="12.75" customHeight="1">
      <c r="A5156" s="4">
        <v>5051.0</v>
      </c>
      <c r="B5156" s="4">
        <v>36003.0</v>
      </c>
      <c r="C5156" s="5">
        <f t="shared" si="2154"/>
        <v>40482</v>
      </c>
      <c r="D5156" s="4" t="s">
        <v>63</v>
      </c>
      <c r="E5156" s="4">
        <v>48.0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5"/>
        <v>40484</v>
      </c>
    </row>
    <row r="5157" ht="12.75" customHeight="1">
      <c r="A5157" s="4">
        <v>5065.0</v>
      </c>
      <c r="B5157" s="4">
        <v>36102.0</v>
      </c>
      <c r="C5157" s="5">
        <f>DATE(2012,12,31)-956</f>
        <v>40318</v>
      </c>
      <c r="D5157" s="4" t="s">
        <v>45</v>
      </c>
      <c r="E5157" s="4">
        <v>36.0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ht="12.75" customHeight="1">
      <c r="A5158" s="4">
        <v>5094.0</v>
      </c>
      <c r="B5158" s="4">
        <v>36295.0</v>
      </c>
      <c r="C5158" s="5">
        <f>DATE(2012,12,31)-849</f>
        <v>40425</v>
      </c>
      <c r="D5158" s="4" t="s">
        <v>63</v>
      </c>
      <c r="E5158" s="4">
        <v>10.0</v>
      </c>
      <c r="F5158" s="4">
        <v>278.1</v>
      </c>
      <c r="G5158" s="4">
        <v>0.09</v>
      </c>
      <c r="H5158" s="4" t="s">
        <v>22</v>
      </c>
      <c r="I5158" s="6">
        <v>68.102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6">C5158+2</f>
        <v>40427</v>
      </c>
    </row>
    <row r="5159" ht="12.75" customHeight="1">
      <c r="A5159" s="4">
        <v>5095.0</v>
      </c>
      <c r="B5159" s="4">
        <v>36323.0</v>
      </c>
      <c r="C5159" s="5">
        <f>DATE(2012,12,31)-805</f>
        <v>40469</v>
      </c>
      <c r="D5159" s="4" t="s">
        <v>30</v>
      </c>
      <c r="E5159" s="4">
        <v>5.0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6"/>
        <v>40471</v>
      </c>
    </row>
    <row r="5160" ht="12.75" customHeight="1">
      <c r="A5160" s="4">
        <v>5096.0</v>
      </c>
      <c r="B5160" s="4">
        <v>36354.0</v>
      </c>
      <c r="C5160" s="5">
        <f>DATE(2012,12,31)-209</f>
        <v>41065</v>
      </c>
      <c r="D5160" s="4" t="s">
        <v>63</v>
      </c>
      <c r="E5160" s="4">
        <v>13.0</v>
      </c>
      <c r="F5160" s="4">
        <v>4567.36</v>
      </c>
      <c r="G5160" s="4">
        <v>0.07</v>
      </c>
      <c r="H5160" s="4" t="s">
        <v>22</v>
      </c>
      <c r="I5160" s="6">
        <v>889.31</v>
      </c>
      <c r="J5160" s="4">
        <v>363.25</v>
      </c>
      <c r="K5160" s="4">
        <v>19.99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0.57</v>
      </c>
      <c r="U5160" s="5">
        <f t="shared" si="2156"/>
        <v>41067</v>
      </c>
    </row>
    <row r="5161" ht="12.75" customHeight="1">
      <c r="A5161" s="4">
        <v>5126.0</v>
      </c>
      <c r="B5161" s="4">
        <v>36512.0</v>
      </c>
      <c r="C5161" s="5">
        <f t="shared" ref="C5161:C5162" si="2157">DATE(2012,12,31)-278</f>
        <v>40996</v>
      </c>
      <c r="D5161" s="4" t="s">
        <v>45</v>
      </c>
      <c r="E5161" s="4">
        <v>30.0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ht="12.75" customHeight="1">
      <c r="A5162" s="4">
        <v>5127.0</v>
      </c>
      <c r="B5162" s="4">
        <v>36512.0</v>
      </c>
      <c r="C5162" s="5">
        <f t="shared" si="2157"/>
        <v>40996</v>
      </c>
      <c r="D5162" s="4" t="s">
        <v>45</v>
      </c>
      <c r="E5162" s="4">
        <v>3.0</v>
      </c>
      <c r="F5162" s="4">
        <v>71.49</v>
      </c>
      <c r="G5162" s="4">
        <v>0.06</v>
      </c>
      <c r="H5162" s="4" t="s">
        <v>22</v>
      </c>
      <c r="I5162" s="6">
        <v>41.98</v>
      </c>
      <c r="J5162" s="4">
        <v>19.99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ht="12.75" customHeight="1">
      <c r="A5163" s="4">
        <v>5198.0</v>
      </c>
      <c r="B5163" s="4">
        <v>36932.0</v>
      </c>
      <c r="C5163" s="5">
        <f>DATE(2012,12,31)-1273</f>
        <v>40001</v>
      </c>
      <c r="D5163" s="4" t="s">
        <v>21</v>
      </c>
      <c r="E5163" s="4">
        <v>20.0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5.1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ht="12.75" customHeight="1">
      <c r="A5164" s="4">
        <v>5211.0</v>
      </c>
      <c r="B5164" s="4">
        <v>37025.0</v>
      </c>
      <c r="C5164" s="5">
        <f>DATE(2012,12,31)-1147</f>
        <v>40127</v>
      </c>
      <c r="D5164" s="4" t="s">
        <v>30</v>
      </c>
      <c r="E5164" s="4">
        <v>37.0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ht="12.75" customHeight="1">
      <c r="A5165" s="4">
        <v>5216.0</v>
      </c>
      <c r="B5165" s="4">
        <v>37124.0</v>
      </c>
      <c r="C5165" s="5">
        <f>DATE(2012,12,31)-276</f>
        <v>40998</v>
      </c>
      <c r="D5165" s="4" t="s">
        <v>21</v>
      </c>
      <c r="E5165" s="4">
        <v>33.0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8">C5165+2</f>
        <v>41000</v>
      </c>
    </row>
    <row r="5166" ht="12.75" customHeight="1">
      <c r="A5166" s="4">
        <v>5293.0</v>
      </c>
      <c r="B5166" s="4">
        <v>37696.0</v>
      </c>
      <c r="C5166" s="5">
        <f t="shared" ref="C5166:C5167" si="2159">DATE(2012,12,31)-1271</f>
        <v>40003</v>
      </c>
      <c r="D5166" s="4" t="s">
        <v>45</v>
      </c>
      <c r="E5166" s="4">
        <v>5.0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8"/>
        <v>40005</v>
      </c>
    </row>
    <row r="5167" ht="12.75" customHeight="1">
      <c r="A5167" s="4">
        <v>5294.0</v>
      </c>
      <c r="B5167" s="4">
        <v>37696.0</v>
      </c>
      <c r="C5167" s="5">
        <f t="shared" si="2159"/>
        <v>40003</v>
      </c>
      <c r="D5167" s="4" t="s">
        <v>45</v>
      </c>
      <c r="E5167" s="4">
        <v>41.0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4.0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ht="12.75" customHeight="1">
      <c r="A5168" s="4">
        <v>5296.0</v>
      </c>
      <c r="B5168" s="4">
        <v>37702.0</v>
      </c>
      <c r="C5168" s="5">
        <f>DATE(2012,12,31)-570</f>
        <v>40704</v>
      </c>
      <c r="D5168" s="4" t="s">
        <v>45</v>
      </c>
      <c r="E5168" s="4">
        <v>44.0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60">C5168+2</f>
        <v>40706</v>
      </c>
    </row>
    <row r="5169" ht="12.75" customHeight="1">
      <c r="A5169" s="4">
        <v>5313.0</v>
      </c>
      <c r="B5169" s="4">
        <v>37794.0</v>
      </c>
      <c r="C5169" s="5">
        <f t="shared" ref="C5169:C5170" si="2161">DATE(2012,12,31)-1378</f>
        <v>39896</v>
      </c>
      <c r="D5169" s="4" t="s">
        <v>21</v>
      </c>
      <c r="E5169" s="4">
        <v>6.0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60"/>
        <v>39898</v>
      </c>
    </row>
    <row r="5170" ht="12.75" customHeight="1">
      <c r="A5170" s="4">
        <v>5314.0</v>
      </c>
      <c r="B5170" s="4">
        <v>37794.0</v>
      </c>
      <c r="C5170" s="5">
        <f t="shared" si="2161"/>
        <v>39896</v>
      </c>
      <c r="D5170" s="4" t="s">
        <v>21</v>
      </c>
      <c r="E5170" s="4">
        <v>32.0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19.99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ht="12.75" customHeight="1">
      <c r="A5171" s="4">
        <v>5344.0</v>
      </c>
      <c r="B5171" s="4">
        <v>37987.0</v>
      </c>
      <c r="C5171" s="5">
        <f t="shared" ref="C5171:C5172" si="2162">DATE(2012,12,31)-1277</f>
        <v>39997</v>
      </c>
      <c r="D5171" s="4" t="s">
        <v>30</v>
      </c>
      <c r="E5171" s="4">
        <v>26.0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3">C5171+1</f>
        <v>39998</v>
      </c>
    </row>
    <row r="5172" ht="12.75" customHeight="1">
      <c r="A5172" s="4">
        <v>5345.0</v>
      </c>
      <c r="B5172" s="4">
        <v>37987.0</v>
      </c>
      <c r="C5172" s="5">
        <f t="shared" si="2162"/>
        <v>39997</v>
      </c>
      <c r="D5172" s="4" t="s">
        <v>30</v>
      </c>
      <c r="E5172" s="4">
        <v>5.0</v>
      </c>
      <c r="F5172" s="4">
        <v>708.87</v>
      </c>
      <c r="G5172" s="4">
        <v>0.1</v>
      </c>
      <c r="H5172" s="4" t="s">
        <v>31</v>
      </c>
      <c r="I5172" s="6">
        <v>-270.85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3"/>
        <v>39998</v>
      </c>
    </row>
    <row r="5173" ht="12.75" customHeight="1">
      <c r="A5173" s="4">
        <v>5392.0</v>
      </c>
      <c r="B5173" s="4">
        <v>38340.0</v>
      </c>
      <c r="C5173" s="5">
        <f>DATE(2012,12,31)-1441</f>
        <v>39833</v>
      </c>
      <c r="D5173" s="4" t="s">
        <v>78</v>
      </c>
      <c r="E5173" s="4">
        <v>36.0</v>
      </c>
      <c r="F5173" s="4">
        <v>2167.05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0.57</v>
      </c>
      <c r="U5173" s="5">
        <f t="shared" si="2163"/>
        <v>39834</v>
      </c>
    </row>
    <row r="5174" ht="12.75" customHeight="1">
      <c r="A5174" s="4">
        <v>5419.0</v>
      </c>
      <c r="B5174" s="4">
        <v>38528.0</v>
      </c>
      <c r="C5174" s="5">
        <f>DATE(2012,12,31)-377</f>
        <v>40897</v>
      </c>
      <c r="D5174" s="4" t="s">
        <v>78</v>
      </c>
      <c r="E5174" s="4">
        <v>10.0</v>
      </c>
      <c r="F5174" s="4">
        <v>70.02</v>
      </c>
      <c r="G5174" s="4">
        <v>0.07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4">C5174+2</f>
        <v>40899</v>
      </c>
    </row>
    <row r="5175" ht="12.75" customHeight="1">
      <c r="A5175" s="4">
        <v>5459.0</v>
      </c>
      <c r="B5175" s="4">
        <v>38786.0</v>
      </c>
      <c r="C5175" s="5">
        <f>DATE(2012,12,31)-562</f>
        <v>40712</v>
      </c>
      <c r="D5175" s="4" t="s">
        <v>63</v>
      </c>
      <c r="E5175" s="4">
        <v>10.0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4"/>
        <v>40714</v>
      </c>
    </row>
    <row r="5176" ht="12.75" customHeight="1">
      <c r="A5176" s="4">
        <v>5468.0</v>
      </c>
      <c r="B5176" s="4">
        <v>38852.0</v>
      </c>
      <c r="C5176" s="5">
        <f>DATE(2012,12,31)-1156</f>
        <v>40118</v>
      </c>
      <c r="D5176" s="4" t="s">
        <v>45</v>
      </c>
      <c r="E5176" s="4">
        <v>25.0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4"/>
        <v>40120</v>
      </c>
    </row>
    <row r="5177" ht="12.75" customHeight="1">
      <c r="A5177" s="4">
        <v>5500.0</v>
      </c>
      <c r="B5177" s="4">
        <v>39008.0</v>
      </c>
      <c r="C5177" s="5">
        <f>DATE(2012,12,31)-613</f>
        <v>40661</v>
      </c>
      <c r="D5177" s="4" t="s">
        <v>45</v>
      </c>
      <c r="E5177" s="4">
        <v>28.0</v>
      </c>
      <c r="F5177" s="4">
        <v>3582.79</v>
      </c>
      <c r="G5177" s="4">
        <v>0.0</v>
      </c>
      <c r="H5177" s="4" t="s">
        <v>31</v>
      </c>
      <c r="I5177" s="6">
        <v>-1177.14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4"/>
        <v>40663</v>
      </c>
    </row>
    <row r="5178" ht="12.75" customHeight="1">
      <c r="A5178" s="4">
        <v>5553.0</v>
      </c>
      <c r="B5178" s="4">
        <v>39331.0</v>
      </c>
      <c r="C5178" s="5">
        <f>DATE(2012,12,31)-475</f>
        <v>40799</v>
      </c>
      <c r="D5178" s="4" t="s">
        <v>30</v>
      </c>
      <c r="E5178" s="4">
        <v>23.0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ht="12.75" customHeight="1">
      <c r="A5179" s="4">
        <v>5565.0</v>
      </c>
      <c r="B5179" s="4">
        <v>39399.0</v>
      </c>
      <c r="C5179" s="5">
        <f>DATE(2012,12,31)-14</f>
        <v>41260</v>
      </c>
      <c r="D5179" s="4" t="s">
        <v>63</v>
      </c>
      <c r="E5179" s="4">
        <v>28.0</v>
      </c>
      <c r="F5179" s="4">
        <v>303.97</v>
      </c>
      <c r="G5179" s="4">
        <v>0.1</v>
      </c>
      <c r="H5179" s="4" t="s">
        <v>22</v>
      </c>
      <c r="I5179" s="6">
        <v>23.2985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5">C5179+2</f>
        <v>41262</v>
      </c>
    </row>
    <row r="5180" ht="12.75" customHeight="1">
      <c r="A5180" s="4">
        <v>5634.0</v>
      </c>
      <c r="B5180" s="4">
        <v>39876.0</v>
      </c>
      <c r="C5180" s="5">
        <f t="shared" ref="C5180:C5182" si="2166">DATE(2012,12,31)-262</f>
        <v>41012</v>
      </c>
      <c r="D5180" s="4" t="s">
        <v>30</v>
      </c>
      <c r="E5180" s="4">
        <v>43.0</v>
      </c>
      <c r="F5180" s="4">
        <v>16269.82</v>
      </c>
      <c r="G5180" s="4">
        <v>0.08</v>
      </c>
      <c r="H5180" s="4" t="s">
        <v>22</v>
      </c>
      <c r="I5180" s="6">
        <v>7050.333500000001</v>
      </c>
      <c r="J5180" s="4">
        <v>387.99</v>
      </c>
      <c r="K5180" s="4">
        <v>19.99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5"/>
        <v>41014</v>
      </c>
    </row>
    <row r="5181" ht="12.75" customHeight="1">
      <c r="A5181" s="4">
        <v>5635.0</v>
      </c>
      <c r="B5181" s="4">
        <v>39876.0</v>
      </c>
      <c r="C5181" s="5">
        <f t="shared" si="2166"/>
        <v>41012</v>
      </c>
      <c r="D5181" s="4" t="s">
        <v>30</v>
      </c>
      <c r="E5181" s="4">
        <v>46.0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18.99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5"/>
        <v>41014</v>
      </c>
    </row>
    <row r="5182" ht="12.75" customHeight="1">
      <c r="A5182" s="4">
        <v>5636.0</v>
      </c>
      <c r="B5182" s="4">
        <v>39876.0</v>
      </c>
      <c r="C5182" s="5">
        <f t="shared" si="2166"/>
        <v>41012</v>
      </c>
      <c r="D5182" s="4" t="s">
        <v>30</v>
      </c>
      <c r="E5182" s="4">
        <v>41.0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5"/>
        <v>41014</v>
      </c>
    </row>
    <row r="5183" ht="12.75" customHeight="1">
      <c r="A5183" s="4">
        <v>5657.0</v>
      </c>
      <c r="B5183" s="4">
        <v>40032.0</v>
      </c>
      <c r="C5183" s="5">
        <f>DATE(2012,12,31)-31</f>
        <v>41243</v>
      </c>
      <c r="D5183" s="4" t="s">
        <v>21</v>
      </c>
      <c r="E5183" s="4">
        <v>9.0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0.57</v>
      </c>
      <c r="U5183" s="5">
        <f>C5183+7</f>
        <v>41250</v>
      </c>
    </row>
    <row r="5184" ht="12.75" customHeight="1">
      <c r="A5184" s="4">
        <v>5696.0</v>
      </c>
      <c r="B5184" s="4">
        <v>40261.0</v>
      </c>
      <c r="C5184" s="5">
        <f t="shared" ref="C5184:C5185" si="2167">DATE(2012,12,31)-1153</f>
        <v>40121</v>
      </c>
      <c r="D5184" s="4" t="s">
        <v>78</v>
      </c>
      <c r="E5184" s="4">
        <v>36.0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8">C5184+2</f>
        <v>40123</v>
      </c>
    </row>
    <row r="5185" ht="12.75" customHeight="1">
      <c r="A5185" s="4">
        <v>5697.0</v>
      </c>
      <c r="B5185" s="4">
        <v>40261.0</v>
      </c>
      <c r="C5185" s="5">
        <f t="shared" si="2167"/>
        <v>40121</v>
      </c>
      <c r="D5185" s="4" t="s">
        <v>78</v>
      </c>
      <c r="E5185" s="4">
        <v>26.0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0.58</v>
      </c>
      <c r="U5185" s="5">
        <f t="shared" si="2168"/>
        <v>40123</v>
      </c>
    </row>
    <row r="5186" ht="12.75" customHeight="1">
      <c r="A5186" s="4">
        <v>5734.0</v>
      </c>
      <c r="B5186" s="4">
        <v>40706.0</v>
      </c>
      <c r="C5186" s="5">
        <f>DATE(2012,12,31)-345</f>
        <v>40929</v>
      </c>
      <c r="D5186" s="4" t="s">
        <v>63</v>
      </c>
      <c r="E5186" s="4">
        <v>40.0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9">C5186+1</f>
        <v>40930</v>
      </c>
    </row>
    <row r="5187" ht="12.75" customHeight="1">
      <c r="A5187" s="4">
        <v>5736.0</v>
      </c>
      <c r="B5187" s="4">
        <v>40708.0</v>
      </c>
      <c r="C5187" s="5">
        <f>DATE(2012,12,31)-1176</f>
        <v>40098</v>
      </c>
      <c r="D5187" s="4" t="s">
        <v>45</v>
      </c>
      <c r="E5187" s="4">
        <v>15.0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9"/>
        <v>40099</v>
      </c>
    </row>
    <row r="5188" ht="12.75" customHeight="1">
      <c r="A5188" s="4">
        <v>5772.0</v>
      </c>
      <c r="B5188" s="4">
        <v>40964.0</v>
      </c>
      <c r="C5188" s="5">
        <f>DATE(2012,12,31)-588</f>
        <v>40686</v>
      </c>
      <c r="D5188" s="4" t="s">
        <v>78</v>
      </c>
      <c r="E5188" s="4">
        <v>40.0</v>
      </c>
      <c r="F5188" s="4">
        <v>301.12</v>
      </c>
      <c r="G5188" s="4">
        <v>0.0</v>
      </c>
      <c r="H5188" s="4" t="s">
        <v>22</v>
      </c>
      <c r="I5188" s="6">
        <v>-206.05</v>
      </c>
      <c r="J5188" s="4">
        <v>6.84</v>
      </c>
      <c r="K5188" s="4">
        <v>8.37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0.58</v>
      </c>
      <c r="U5188" s="5">
        <f>C5188+3</f>
        <v>40689</v>
      </c>
    </row>
    <row r="5189" ht="12.75" customHeight="1">
      <c r="A5189" s="4">
        <v>5952.0</v>
      </c>
      <c r="B5189" s="4">
        <v>42243.0</v>
      </c>
      <c r="C5189" s="5">
        <f t="shared" ref="C5189:C5190" si="2170">DATE(2012,12,31)-295</f>
        <v>40979</v>
      </c>
      <c r="D5189" s="4" t="s">
        <v>63</v>
      </c>
      <c r="E5189" s="4">
        <v>42.0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1">C5189+2</f>
        <v>40981</v>
      </c>
    </row>
    <row r="5190" ht="12.75" customHeight="1">
      <c r="A5190" s="4">
        <v>5953.0</v>
      </c>
      <c r="B5190" s="4">
        <v>42243.0</v>
      </c>
      <c r="C5190" s="5">
        <f t="shared" si="2170"/>
        <v>40979</v>
      </c>
      <c r="D5190" s="4" t="s">
        <v>63</v>
      </c>
      <c r="E5190" s="4">
        <v>19.0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1"/>
        <v>40981</v>
      </c>
    </row>
    <row r="5191" ht="12.75" customHeight="1">
      <c r="A5191" s="4">
        <v>5987.0</v>
      </c>
      <c r="B5191" s="4">
        <v>42437.0</v>
      </c>
      <c r="C5191" s="5">
        <f t="shared" ref="C5191:C5192" si="2172">DATE(2012,12,31)-301</f>
        <v>40973</v>
      </c>
      <c r="D5191" s="4" t="s">
        <v>78</v>
      </c>
      <c r="E5191" s="4">
        <v>43.0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49.0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1"/>
        <v>40975</v>
      </c>
    </row>
    <row r="5192" ht="12.75" customHeight="1">
      <c r="A5192" s="4">
        <v>5988.0</v>
      </c>
      <c r="B5192" s="4">
        <v>42437.0</v>
      </c>
      <c r="C5192" s="5">
        <f t="shared" si="2172"/>
        <v>40973</v>
      </c>
      <c r="D5192" s="4" t="s">
        <v>78</v>
      </c>
      <c r="E5192" s="4">
        <v>14.0</v>
      </c>
      <c r="F5192" s="4">
        <v>313.85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3">C5192+1</f>
        <v>40974</v>
      </c>
    </row>
    <row r="5193" ht="12.75" customHeight="1">
      <c r="A5193" s="4">
        <v>6051.0</v>
      </c>
      <c r="B5193" s="4">
        <v>42887.0</v>
      </c>
      <c r="C5193" s="5">
        <f t="shared" ref="C5193:C5195" si="2174">DATE(2012,12,31)-204</f>
        <v>41070</v>
      </c>
      <c r="D5193" s="4" t="s">
        <v>63</v>
      </c>
      <c r="E5193" s="4">
        <v>3.0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9.78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3"/>
        <v>41071</v>
      </c>
    </row>
    <row r="5194" ht="12.75" customHeight="1">
      <c r="A5194" s="4">
        <v>6052.0</v>
      </c>
      <c r="B5194" s="4">
        <v>42887.0</v>
      </c>
      <c r="C5194" s="5">
        <f t="shared" si="2174"/>
        <v>41070</v>
      </c>
      <c r="D5194" s="4" t="s">
        <v>63</v>
      </c>
      <c r="E5194" s="4">
        <v>11.0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5">C5194+2</f>
        <v>41072</v>
      </c>
    </row>
    <row r="5195" ht="12.75" customHeight="1">
      <c r="A5195" s="4">
        <v>6053.0</v>
      </c>
      <c r="B5195" s="4">
        <v>42887.0</v>
      </c>
      <c r="C5195" s="5">
        <f t="shared" si="2174"/>
        <v>41070</v>
      </c>
      <c r="D5195" s="4" t="s">
        <v>63</v>
      </c>
      <c r="E5195" s="4">
        <v>3.0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145.98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5"/>
        <v>41072</v>
      </c>
    </row>
    <row r="5196" ht="12.75" customHeight="1">
      <c r="A5196" s="4">
        <v>6088.0</v>
      </c>
      <c r="B5196" s="4">
        <v>43137.0</v>
      </c>
      <c r="C5196" s="5">
        <f>DATE(2012,12,31)-674</f>
        <v>40600</v>
      </c>
      <c r="D5196" s="4" t="s">
        <v>30</v>
      </c>
      <c r="E5196" s="4">
        <v>40.0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ht="12.75" customHeight="1">
      <c r="A5197" s="4">
        <v>6151.0</v>
      </c>
      <c r="B5197" s="4">
        <v>43554.0</v>
      </c>
      <c r="C5197" s="5">
        <f>DATE(2012,12,31)-1158</f>
        <v>40116</v>
      </c>
      <c r="D5197" s="4" t="s">
        <v>78</v>
      </c>
      <c r="E5197" s="4">
        <v>9.0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ht="12.75" customHeight="1">
      <c r="A5198" s="4">
        <v>6178.0</v>
      </c>
      <c r="B5198" s="4">
        <v>43782.0</v>
      </c>
      <c r="C5198" s="5">
        <f>DATE(2012,12,31)-779</f>
        <v>40495</v>
      </c>
      <c r="D5198" s="4" t="s">
        <v>63</v>
      </c>
      <c r="E5198" s="4">
        <v>27.0</v>
      </c>
      <c r="F5198" s="4">
        <v>194.35</v>
      </c>
      <c r="G5198" s="4">
        <v>0.0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6">C5198+2</f>
        <v>40497</v>
      </c>
    </row>
    <row r="5199" ht="12.75" customHeight="1">
      <c r="A5199" s="4">
        <v>6195.0</v>
      </c>
      <c r="B5199" s="4">
        <v>43904.0</v>
      </c>
      <c r="C5199" s="5">
        <f t="shared" ref="C5199:C5200" si="2177">DATE(2012,12,31)-975</f>
        <v>40299</v>
      </c>
      <c r="D5199" s="4" t="s">
        <v>45</v>
      </c>
      <c r="E5199" s="4">
        <v>43.0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6"/>
        <v>40301</v>
      </c>
    </row>
    <row r="5200" ht="12.75" customHeight="1">
      <c r="A5200" s="4">
        <v>6196.0</v>
      </c>
      <c r="B5200" s="4">
        <v>43904.0</v>
      </c>
      <c r="C5200" s="5">
        <f t="shared" si="2177"/>
        <v>40299</v>
      </c>
      <c r="D5200" s="4" t="s">
        <v>45</v>
      </c>
      <c r="E5200" s="4">
        <v>30.0</v>
      </c>
      <c r="F5200" s="4">
        <v>3339.65</v>
      </c>
      <c r="G5200" s="4">
        <v>0.01</v>
      </c>
      <c r="H5200" s="4" t="s">
        <v>22</v>
      </c>
      <c r="I5200" s="6">
        <v>788.508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0.58</v>
      </c>
      <c r="U5200" s="5">
        <f t="shared" ref="U5200:U5201" si="2178">C5200+1</f>
        <v>40300</v>
      </c>
    </row>
    <row r="5201" ht="12.75" customHeight="1">
      <c r="A5201" s="4">
        <v>6197.0</v>
      </c>
      <c r="B5201" s="4">
        <v>43906.0</v>
      </c>
      <c r="C5201" s="5">
        <f>DATE(2012,12,31)-327</f>
        <v>40947</v>
      </c>
      <c r="D5201" s="4" t="s">
        <v>30</v>
      </c>
      <c r="E5201" s="4">
        <v>50.0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8"/>
        <v>40948</v>
      </c>
    </row>
    <row r="5202" ht="12.75" customHeight="1">
      <c r="A5202" s="4">
        <v>6221.0</v>
      </c>
      <c r="B5202" s="4">
        <v>44064.0</v>
      </c>
      <c r="C5202" s="5">
        <f t="shared" ref="C5202:C5203" si="2179">DATE(2012,12,31)-1034</f>
        <v>40240</v>
      </c>
      <c r="D5202" s="4" t="s">
        <v>63</v>
      </c>
      <c r="E5202" s="4">
        <v>43.0</v>
      </c>
      <c r="F5202" s="4">
        <v>468.48</v>
      </c>
      <c r="G5202" s="4">
        <v>0.07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ht="12.75" customHeight="1">
      <c r="A5203" s="4">
        <v>6222.0</v>
      </c>
      <c r="B5203" s="4">
        <v>44064.0</v>
      </c>
      <c r="C5203" s="5">
        <f t="shared" si="2179"/>
        <v>40240</v>
      </c>
      <c r="D5203" s="4" t="s">
        <v>63</v>
      </c>
      <c r="E5203" s="4">
        <v>23.0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ht="12.75" customHeight="1">
      <c r="A5204" s="4">
        <v>6240.0</v>
      </c>
      <c r="B5204" s="4">
        <v>44224.0</v>
      </c>
      <c r="C5204" s="5">
        <f>DATE(2012,12,31)-875</f>
        <v>40399</v>
      </c>
      <c r="D5204" s="4" t="s">
        <v>30</v>
      </c>
      <c r="E5204" s="4">
        <v>32.0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ht="12.75" customHeight="1">
      <c r="A5205" s="4">
        <v>6264.0</v>
      </c>
      <c r="B5205" s="4">
        <v>44325.0</v>
      </c>
      <c r="C5205" s="5">
        <f>DATE(2012,12,31)-1420</f>
        <v>39854</v>
      </c>
      <c r="D5205" s="4" t="s">
        <v>63</v>
      </c>
      <c r="E5205" s="4">
        <v>44.0</v>
      </c>
      <c r="F5205" s="4">
        <v>951.33</v>
      </c>
      <c r="G5205" s="4">
        <v>0.0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80">C5205+2</f>
        <v>39856</v>
      </c>
    </row>
    <row r="5206" ht="12.75" customHeight="1">
      <c r="A5206" s="4">
        <v>6274.0</v>
      </c>
      <c r="B5206" s="4">
        <v>44422.0</v>
      </c>
      <c r="C5206" s="5">
        <f t="shared" ref="C5206:C5208" si="2181">DATE(2012,12,31)-262</f>
        <v>41012</v>
      </c>
      <c r="D5206" s="4" t="s">
        <v>63</v>
      </c>
      <c r="E5206" s="4">
        <v>1.0</v>
      </c>
      <c r="F5206" s="4">
        <v>15.72</v>
      </c>
      <c r="G5206" s="4">
        <v>0.0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80"/>
        <v>41014</v>
      </c>
    </row>
    <row r="5207" ht="12.75" customHeight="1">
      <c r="A5207" s="4">
        <v>6275.0</v>
      </c>
      <c r="B5207" s="4">
        <v>44422.0</v>
      </c>
      <c r="C5207" s="5">
        <f t="shared" si="2181"/>
        <v>41012</v>
      </c>
      <c r="D5207" s="4" t="s">
        <v>63</v>
      </c>
      <c r="E5207" s="4">
        <v>36.0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80"/>
        <v>41014</v>
      </c>
    </row>
    <row r="5208" ht="12.75" customHeight="1">
      <c r="A5208" s="4">
        <v>6276.0</v>
      </c>
      <c r="B5208" s="4">
        <v>44422.0</v>
      </c>
      <c r="C5208" s="5">
        <f t="shared" si="2181"/>
        <v>41012</v>
      </c>
      <c r="D5208" s="4" t="s">
        <v>63</v>
      </c>
      <c r="E5208" s="4">
        <v>11.0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80"/>
        <v>41014</v>
      </c>
    </row>
    <row r="5209" ht="12.75" customHeight="1">
      <c r="A5209" s="4">
        <v>6300.0</v>
      </c>
      <c r="B5209" s="4">
        <v>44609.0</v>
      </c>
      <c r="C5209" s="5">
        <f t="shared" ref="C5209:C5210" si="2182">DATE(2012,12,31)-562</f>
        <v>40712</v>
      </c>
      <c r="D5209" s="4" t="s">
        <v>21</v>
      </c>
      <c r="E5209" s="4">
        <v>28.0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4.1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ht="12.75" customHeight="1">
      <c r="A5210" s="4">
        <v>6301.0</v>
      </c>
      <c r="B5210" s="4">
        <v>44609.0</v>
      </c>
      <c r="C5210" s="5">
        <f t="shared" si="2182"/>
        <v>40712</v>
      </c>
      <c r="D5210" s="4" t="s">
        <v>21</v>
      </c>
      <c r="E5210" s="4">
        <v>37.0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ht="12.75" customHeight="1">
      <c r="A5211" s="4">
        <v>6339.0</v>
      </c>
      <c r="B5211" s="4">
        <v>44935.0</v>
      </c>
      <c r="C5211" s="5">
        <f>DATE(2012,12,31)-775</f>
        <v>40499</v>
      </c>
      <c r="D5211" s="4" t="s">
        <v>30</v>
      </c>
      <c r="E5211" s="4">
        <v>37.0</v>
      </c>
      <c r="F5211" s="4">
        <v>99.65</v>
      </c>
      <c r="G5211" s="4">
        <v>0.01</v>
      </c>
      <c r="H5211" s="4" t="s">
        <v>22</v>
      </c>
      <c r="I5211" s="6">
        <v>27.0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ht="12.75" customHeight="1">
      <c r="A5212" s="4">
        <v>6361.0</v>
      </c>
      <c r="B5212" s="4">
        <v>45127.0</v>
      </c>
      <c r="C5212" s="5">
        <f>DATE(2012,12,31)-1</f>
        <v>41273</v>
      </c>
      <c r="D5212" s="4" t="s">
        <v>63</v>
      </c>
      <c r="E5212" s="4">
        <v>10.0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ht="12.75" customHeight="1">
      <c r="A5213" s="4">
        <v>6398.0</v>
      </c>
      <c r="B5213" s="4">
        <v>45413.0</v>
      </c>
      <c r="C5213" s="5">
        <f t="shared" ref="C5213:C5215" si="2183">DATE(2012,12,31)-937</f>
        <v>40337</v>
      </c>
      <c r="D5213" s="4" t="s">
        <v>30</v>
      </c>
      <c r="E5213" s="4">
        <v>18.0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4">C5213+1</f>
        <v>40338</v>
      </c>
    </row>
    <row r="5214" ht="12.75" customHeight="1">
      <c r="A5214" s="4">
        <v>6399.0</v>
      </c>
      <c r="B5214" s="4">
        <v>45413.0</v>
      </c>
      <c r="C5214" s="5">
        <f t="shared" si="2183"/>
        <v>40337</v>
      </c>
      <c r="D5214" s="4" t="s">
        <v>30</v>
      </c>
      <c r="E5214" s="4">
        <v>17.0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4"/>
        <v>40338</v>
      </c>
    </row>
    <row r="5215" ht="12.75" customHeight="1">
      <c r="A5215" s="4">
        <v>6400.0</v>
      </c>
      <c r="B5215" s="4">
        <v>45413.0</v>
      </c>
      <c r="C5215" s="5">
        <f t="shared" si="2183"/>
        <v>40337</v>
      </c>
      <c r="D5215" s="4" t="s">
        <v>30</v>
      </c>
      <c r="E5215" s="4">
        <v>24.0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ht="12.75" customHeight="1">
      <c r="A5216" s="4">
        <v>6412.0</v>
      </c>
      <c r="B5216" s="4">
        <v>45571.0</v>
      </c>
      <c r="C5216" s="5">
        <f t="shared" ref="C5216:C5218" si="2185">DATE(2012,12,31)-99</f>
        <v>41175</v>
      </c>
      <c r="D5216" s="4" t="s">
        <v>63</v>
      </c>
      <c r="E5216" s="4">
        <v>43.0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4.81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0.58</v>
      </c>
      <c r="U5216" s="5">
        <f>C5216+1</f>
        <v>41176</v>
      </c>
    </row>
    <row r="5217" ht="12.75" customHeight="1">
      <c r="A5217" s="4">
        <v>6413.0</v>
      </c>
      <c r="B5217" s="4">
        <v>45571.0</v>
      </c>
      <c r="C5217" s="5">
        <f t="shared" si="2185"/>
        <v>41175</v>
      </c>
      <c r="D5217" s="4" t="s">
        <v>63</v>
      </c>
      <c r="E5217" s="4">
        <v>47.0</v>
      </c>
      <c r="F5217" s="4">
        <v>5975.0495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0.58</v>
      </c>
      <c r="U5217" s="5">
        <f t="shared" ref="U5217:U5218" si="2186">C5217+2</f>
        <v>41177</v>
      </c>
    </row>
    <row r="5218" ht="12.75" customHeight="1">
      <c r="A5218" s="4">
        <v>6414.0</v>
      </c>
      <c r="B5218" s="4">
        <v>45571.0</v>
      </c>
      <c r="C5218" s="5">
        <f t="shared" si="2185"/>
        <v>41175</v>
      </c>
      <c r="D5218" s="4" t="s">
        <v>63</v>
      </c>
      <c r="E5218" s="4">
        <v>44.0</v>
      </c>
      <c r="F5218" s="4">
        <v>720.52</v>
      </c>
      <c r="G5218" s="4">
        <v>0.1</v>
      </c>
      <c r="H5218" s="4" t="s">
        <v>22</v>
      </c>
      <c r="I5218" s="6">
        <v>-36.7923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6"/>
        <v>41177</v>
      </c>
    </row>
    <row r="5219" ht="12.75" customHeight="1">
      <c r="A5219" s="4">
        <v>6416.0</v>
      </c>
      <c r="B5219" s="4">
        <v>45575.0</v>
      </c>
      <c r="C5219" s="5">
        <f>DATE(2012,12,31)-263</f>
        <v>41011</v>
      </c>
      <c r="D5219" s="4" t="s">
        <v>78</v>
      </c>
      <c r="E5219" s="4">
        <v>46.0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ht="12.75" customHeight="1">
      <c r="A5220" s="4">
        <v>6442.0</v>
      </c>
      <c r="B5220" s="4">
        <v>45794.0</v>
      </c>
      <c r="C5220" s="5">
        <f>DATE(2012,12,31)-464</f>
        <v>40810</v>
      </c>
      <c r="D5220" s="4" t="s">
        <v>78</v>
      </c>
      <c r="E5220" s="4">
        <v>28.0</v>
      </c>
      <c r="F5220" s="4">
        <v>1208.35</v>
      </c>
      <c r="G5220" s="4">
        <v>0.0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</v>
      </c>
      <c r="U5220" s="5">
        <f>C5220+2</f>
        <v>40812</v>
      </c>
    </row>
    <row r="5221" ht="12.75" customHeight="1">
      <c r="A5221" s="4">
        <v>6445.0</v>
      </c>
      <c r="B5221" s="4">
        <v>45860.0</v>
      </c>
      <c r="C5221" s="5">
        <f>DATE(2012,12,31)-141</f>
        <v>41133</v>
      </c>
      <c r="D5221" s="4" t="s">
        <v>21</v>
      </c>
      <c r="E5221" s="4">
        <v>12.0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ht="12.75" customHeight="1">
      <c r="A5222" s="4">
        <v>6464.0</v>
      </c>
      <c r="B5222" s="4">
        <v>46021.0</v>
      </c>
      <c r="C5222" s="5">
        <f>DATE(2012,12,31)-1400</f>
        <v>39874</v>
      </c>
      <c r="D5222" s="4" t="s">
        <v>30</v>
      </c>
      <c r="E5222" s="4">
        <v>1.0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7">C5222+2</f>
        <v>39876</v>
      </c>
    </row>
    <row r="5223" ht="12.75" customHeight="1">
      <c r="A5223" s="4">
        <v>6483.0</v>
      </c>
      <c r="B5223" s="4">
        <v>46147.0</v>
      </c>
      <c r="C5223" s="5">
        <f t="shared" ref="C5223:C5225" si="2188">DATE(2012,12,31)-716</f>
        <v>40558</v>
      </c>
      <c r="D5223" s="4" t="s">
        <v>78</v>
      </c>
      <c r="E5223" s="4">
        <v>37.0</v>
      </c>
      <c r="F5223" s="4">
        <v>925.8</v>
      </c>
      <c r="G5223" s="4">
        <v>0.01</v>
      </c>
      <c r="H5223" s="4" t="s">
        <v>22</v>
      </c>
      <c r="I5223" s="6">
        <v>30.685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7"/>
        <v>40560</v>
      </c>
    </row>
    <row r="5224" ht="12.75" customHeight="1">
      <c r="A5224" s="4">
        <v>6484.0</v>
      </c>
      <c r="B5224" s="4">
        <v>46147.0</v>
      </c>
      <c r="C5224" s="5">
        <f t="shared" si="2188"/>
        <v>40558</v>
      </c>
      <c r="D5224" s="4" t="s">
        <v>78</v>
      </c>
      <c r="E5224" s="4">
        <v>39.0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7"/>
        <v>40560</v>
      </c>
    </row>
    <row r="5225" ht="12.75" customHeight="1">
      <c r="A5225" s="4">
        <v>6485.0</v>
      </c>
      <c r="B5225" s="4">
        <v>46147.0</v>
      </c>
      <c r="C5225" s="5">
        <f t="shared" si="2188"/>
        <v>40558</v>
      </c>
      <c r="D5225" s="4" t="s">
        <v>78</v>
      </c>
      <c r="E5225" s="4">
        <v>12.0</v>
      </c>
      <c r="F5225" s="4">
        <v>6502.46</v>
      </c>
      <c r="G5225" s="4">
        <v>0.09</v>
      </c>
      <c r="H5225" s="4" t="s">
        <v>31</v>
      </c>
      <c r="I5225" s="6">
        <v>261.66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7"/>
        <v>40560</v>
      </c>
    </row>
    <row r="5226" ht="12.75" customHeight="1">
      <c r="A5226" s="4">
        <v>6490.0</v>
      </c>
      <c r="B5226" s="4">
        <v>46211.0</v>
      </c>
      <c r="C5226" s="5">
        <f>DATE(2012,12,31)-934</f>
        <v>40340</v>
      </c>
      <c r="D5226" s="4" t="s">
        <v>21</v>
      </c>
      <c r="E5226" s="4">
        <v>47.0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ht="12.75" customHeight="1">
      <c r="A5227" s="4">
        <v>6493.0</v>
      </c>
      <c r="B5227" s="4">
        <v>46241.0</v>
      </c>
      <c r="C5227" s="5">
        <f>DATE(2012,12,31)-1388</f>
        <v>39886</v>
      </c>
      <c r="D5227" s="4" t="s">
        <v>45</v>
      </c>
      <c r="E5227" s="4">
        <v>34.0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ht="12.75" customHeight="1">
      <c r="A5228" s="4">
        <v>6497.0</v>
      </c>
      <c r="B5228" s="4">
        <v>46244.0</v>
      </c>
      <c r="C5228" s="5">
        <f t="shared" ref="C5228:C5229" si="2189">DATE(2012,12,31)-1278</f>
        <v>39996</v>
      </c>
      <c r="D5228" s="4" t="s">
        <v>63</v>
      </c>
      <c r="E5228" s="4">
        <v>10.0</v>
      </c>
      <c r="F5228" s="4">
        <v>601.57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30.0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ht="12.75" customHeight="1">
      <c r="A5229" s="4">
        <v>6498.0</v>
      </c>
      <c r="B5229" s="4">
        <v>46244.0</v>
      </c>
      <c r="C5229" s="5">
        <f t="shared" si="2189"/>
        <v>39996</v>
      </c>
      <c r="D5229" s="4" t="s">
        <v>63</v>
      </c>
      <c r="E5229" s="4">
        <v>9.0</v>
      </c>
      <c r="F5229" s="4">
        <v>157.42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ht="12.75" customHeight="1">
      <c r="A5230" s="4">
        <v>6501.0</v>
      </c>
      <c r="B5230" s="4">
        <v>46305.0</v>
      </c>
      <c r="C5230" s="5">
        <f>DATE(2012,12,31)-520</f>
        <v>40754</v>
      </c>
      <c r="D5230" s="4" t="s">
        <v>21</v>
      </c>
      <c r="E5230" s="4">
        <v>30.0</v>
      </c>
      <c r="F5230" s="4">
        <v>299.66</v>
      </c>
      <c r="G5230" s="4">
        <v>0.08</v>
      </c>
      <c r="H5230" s="4" t="s">
        <v>22</v>
      </c>
      <c r="I5230" s="6">
        <v>-18.2505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ht="12.75" customHeight="1">
      <c r="A5231" s="4">
        <v>6514.0</v>
      </c>
      <c r="B5231" s="4">
        <v>46372.0</v>
      </c>
      <c r="C5231" s="5">
        <f t="shared" ref="C5231:C5232" si="2190">DATE(2012,12,31)-674</f>
        <v>40600</v>
      </c>
      <c r="D5231" s="4" t="s">
        <v>30</v>
      </c>
      <c r="E5231" s="4">
        <v>7.0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ht="12.75" customHeight="1">
      <c r="A5232" s="4">
        <v>6515.0</v>
      </c>
      <c r="B5232" s="4">
        <v>46372.0</v>
      </c>
      <c r="C5232" s="5">
        <f t="shared" si="2190"/>
        <v>40600</v>
      </c>
      <c r="D5232" s="4" t="s">
        <v>30</v>
      </c>
      <c r="E5232" s="4">
        <v>15.0</v>
      </c>
      <c r="F5232" s="4">
        <v>81.97</v>
      </c>
      <c r="G5232" s="4">
        <v>0.07</v>
      </c>
      <c r="H5232" s="4" t="s">
        <v>22</v>
      </c>
      <c r="I5232" s="6">
        <v>-81.33</v>
      </c>
      <c r="J5232" s="4">
        <v>4.98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1">C5232+1</f>
        <v>40601</v>
      </c>
    </row>
    <row r="5233" ht="12.75" customHeight="1">
      <c r="A5233" s="4">
        <v>6562.0</v>
      </c>
      <c r="B5233" s="4">
        <v>46656.0</v>
      </c>
      <c r="C5233" s="5">
        <f>DATE(2012,12,31)-1264</f>
        <v>40010</v>
      </c>
      <c r="D5233" s="4" t="s">
        <v>30</v>
      </c>
      <c r="E5233" s="4">
        <v>27.0</v>
      </c>
      <c r="F5233" s="4">
        <v>636.7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1"/>
        <v>40011</v>
      </c>
    </row>
    <row r="5234" ht="12.75" customHeight="1">
      <c r="A5234" s="4">
        <v>6567.0</v>
      </c>
      <c r="B5234" s="4">
        <v>46721.0</v>
      </c>
      <c r="C5234" s="5">
        <f t="shared" ref="C5234:C5236" si="2192">DATE(2012,12,31)-1205</f>
        <v>40069</v>
      </c>
      <c r="D5234" s="4" t="s">
        <v>63</v>
      </c>
      <c r="E5234" s="4">
        <v>17.0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1"/>
        <v>40070</v>
      </c>
    </row>
    <row r="5235" ht="12.75" customHeight="1">
      <c r="A5235" s="4">
        <v>6568.0</v>
      </c>
      <c r="B5235" s="4">
        <v>46721.0</v>
      </c>
      <c r="C5235" s="5">
        <f t="shared" si="2192"/>
        <v>40069</v>
      </c>
      <c r="D5235" s="4" t="s">
        <v>63</v>
      </c>
      <c r="E5235" s="4">
        <v>35.0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1"/>
        <v>40070</v>
      </c>
    </row>
    <row r="5236" ht="12.75" customHeight="1">
      <c r="A5236" s="4">
        <v>6569.0</v>
      </c>
      <c r="B5236" s="4">
        <v>46721.0</v>
      </c>
      <c r="C5236" s="5">
        <f t="shared" si="2192"/>
        <v>40069</v>
      </c>
      <c r="D5236" s="4" t="s">
        <v>63</v>
      </c>
      <c r="E5236" s="4">
        <v>17.0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1"/>
        <v>40070</v>
      </c>
    </row>
    <row r="5237" ht="12.75" customHeight="1">
      <c r="A5237" s="4">
        <v>6579.0</v>
      </c>
      <c r="B5237" s="4">
        <v>46852.0</v>
      </c>
      <c r="C5237" s="5">
        <f t="shared" ref="C5237:C5238" si="2193">DATE(2012,12,31)-338</f>
        <v>40936</v>
      </c>
      <c r="D5237" s="4" t="s">
        <v>45</v>
      </c>
      <c r="E5237" s="4">
        <v>46.0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34.98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ht="12.75" customHeight="1">
      <c r="A5238" s="4">
        <v>6580.0</v>
      </c>
      <c r="B5238" s="4">
        <v>46852.0</v>
      </c>
      <c r="C5238" s="5">
        <f t="shared" si="2193"/>
        <v>40936</v>
      </c>
      <c r="D5238" s="4" t="s">
        <v>45</v>
      </c>
      <c r="E5238" s="4">
        <v>44.0</v>
      </c>
      <c r="F5238" s="4">
        <v>220.07</v>
      </c>
      <c r="G5238" s="4">
        <v>0.01</v>
      </c>
      <c r="H5238" s="4" t="s">
        <v>22</v>
      </c>
      <c r="I5238" s="6">
        <v>-158.42</v>
      </c>
      <c r="J5238" s="4">
        <v>4.89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4">C5238+1</f>
        <v>40937</v>
      </c>
    </row>
    <row r="5239" ht="12.75" customHeight="1">
      <c r="A5239" s="4">
        <v>6597.0</v>
      </c>
      <c r="B5239" s="4">
        <v>46949.0</v>
      </c>
      <c r="C5239" s="5">
        <f>DATE(2012,12,31)-1030</f>
        <v>40244</v>
      </c>
      <c r="D5239" s="4" t="s">
        <v>30</v>
      </c>
      <c r="E5239" s="4">
        <v>37.0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4"/>
        <v>40245</v>
      </c>
    </row>
    <row r="5240" ht="12.75" customHeight="1">
      <c r="A5240" s="4">
        <v>6598.0</v>
      </c>
      <c r="B5240" s="4">
        <v>46951.0</v>
      </c>
      <c r="C5240" s="5">
        <f>DATE(2012,12,31)-410</f>
        <v>40864</v>
      </c>
      <c r="D5240" s="4" t="s">
        <v>78</v>
      </c>
      <c r="E5240" s="4">
        <v>26.0</v>
      </c>
      <c r="F5240" s="4">
        <v>2379.3285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0.58</v>
      </c>
      <c r="U5240" s="5">
        <f t="shared" si="2194"/>
        <v>40865</v>
      </c>
    </row>
    <row r="5241" ht="12.75" customHeight="1">
      <c r="A5241" s="4">
        <v>6614.0</v>
      </c>
      <c r="B5241" s="4">
        <v>47075.0</v>
      </c>
      <c r="C5241" s="5">
        <f>DATE(2012,12,31)-441</f>
        <v>40833</v>
      </c>
      <c r="D5241" s="4" t="s">
        <v>63</v>
      </c>
      <c r="E5241" s="4">
        <v>42.0</v>
      </c>
      <c r="F5241" s="4">
        <v>4346.98</v>
      </c>
      <c r="G5241" s="4">
        <v>0.05</v>
      </c>
      <c r="H5241" s="4" t="s">
        <v>31</v>
      </c>
      <c r="I5241" s="6">
        <v>10.22</v>
      </c>
      <c r="J5241" s="4">
        <v>100.98</v>
      </c>
      <c r="K5241" s="4">
        <v>35.84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ht="12.75" customHeight="1">
      <c r="A5242" s="4">
        <v>6661.0</v>
      </c>
      <c r="B5242" s="4">
        <v>47399.0</v>
      </c>
      <c r="C5242" s="5">
        <f>DATE(2012,12,31)-152</f>
        <v>41122</v>
      </c>
      <c r="D5242" s="4" t="s">
        <v>21</v>
      </c>
      <c r="E5242" s="4">
        <v>26.0</v>
      </c>
      <c r="F5242" s="4">
        <v>145.76</v>
      </c>
      <c r="G5242" s="4">
        <v>0.0</v>
      </c>
      <c r="H5242" s="4" t="s">
        <v>22</v>
      </c>
      <c r="I5242" s="6">
        <v>5.6695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ht="12.75" customHeight="1">
      <c r="A5243" s="4">
        <v>6673.0</v>
      </c>
      <c r="B5243" s="4">
        <v>47493.0</v>
      </c>
      <c r="C5243" s="5">
        <f>DATE(2012,12,31)-1419</f>
        <v>39855</v>
      </c>
      <c r="D5243" s="4" t="s">
        <v>78</v>
      </c>
      <c r="E5243" s="4">
        <v>36.0</v>
      </c>
      <c r="F5243" s="4">
        <v>9757.48</v>
      </c>
      <c r="G5243" s="4">
        <v>0.07</v>
      </c>
      <c r="H5243" s="4" t="s">
        <v>31</v>
      </c>
      <c r="I5243" s="6">
        <v>-96.05</v>
      </c>
      <c r="J5243" s="4">
        <v>270.98</v>
      </c>
      <c r="K5243" s="4">
        <v>50.0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5">C5243+2</f>
        <v>39857</v>
      </c>
    </row>
    <row r="5244" ht="12.75" customHeight="1">
      <c r="A5244" s="4">
        <v>6708.0</v>
      </c>
      <c r="B5244" s="4">
        <v>47777.0</v>
      </c>
      <c r="C5244" s="5">
        <f>DATE(2012,12,31)-36</f>
        <v>41238</v>
      </c>
      <c r="D5244" s="4" t="s">
        <v>21</v>
      </c>
      <c r="E5244" s="4">
        <v>13.0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5"/>
        <v>41240</v>
      </c>
    </row>
    <row r="5245" ht="12.75" customHeight="1">
      <c r="A5245" s="4">
        <v>6714.0</v>
      </c>
      <c r="B5245" s="4">
        <v>47844.0</v>
      </c>
      <c r="C5245" s="5">
        <f>DATE(2012,12,31)-750</f>
        <v>40524</v>
      </c>
      <c r="D5245" s="4" t="s">
        <v>78</v>
      </c>
      <c r="E5245" s="4">
        <v>41.0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150.98</v>
      </c>
      <c r="K5245" s="4">
        <v>30.0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5"/>
        <v>40526</v>
      </c>
    </row>
    <row r="5246" ht="12.75" customHeight="1">
      <c r="A5246" s="4">
        <v>6732.0</v>
      </c>
      <c r="B5246" s="4">
        <v>47941.0</v>
      </c>
      <c r="C5246" s="5">
        <f>DATE(2012,12,31)-1241</f>
        <v>40033</v>
      </c>
      <c r="D5246" s="4" t="s">
        <v>30</v>
      </c>
      <c r="E5246" s="4">
        <v>15.0</v>
      </c>
      <c r="F5246" s="4">
        <v>1187.1525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</v>
      </c>
      <c r="U5246" s="5">
        <f t="shared" ref="U5246:U5247" si="2196">C5246+0</f>
        <v>40033</v>
      </c>
    </row>
    <row r="5247" ht="12.75" customHeight="1">
      <c r="A5247" s="4">
        <v>6795.0</v>
      </c>
      <c r="B5247" s="4">
        <v>48423.0</v>
      </c>
      <c r="C5247" s="5">
        <f>DATE(2012,12,31)-61</f>
        <v>41213</v>
      </c>
      <c r="D5247" s="4" t="s">
        <v>30</v>
      </c>
      <c r="E5247" s="4">
        <v>49.0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8.29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6"/>
        <v>41213</v>
      </c>
    </row>
    <row r="5248" ht="12.75" customHeight="1">
      <c r="A5248" s="4">
        <v>6857.0</v>
      </c>
      <c r="B5248" s="4">
        <v>48837.0</v>
      </c>
      <c r="C5248" s="5">
        <f>DATE(2012,12,31)-532</f>
        <v>40742</v>
      </c>
      <c r="D5248" s="4" t="s">
        <v>45</v>
      </c>
      <c r="E5248" s="4">
        <v>39.0</v>
      </c>
      <c r="F5248" s="4">
        <v>4799.788500000001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</v>
      </c>
      <c r="U5248" s="5">
        <f>C5248+2</f>
        <v>40744</v>
      </c>
    </row>
    <row r="5249" ht="12.75" customHeight="1">
      <c r="A5249" s="4">
        <v>6874.0</v>
      </c>
      <c r="B5249" s="4">
        <v>48993.0</v>
      </c>
      <c r="C5249" s="5">
        <f>DATE(2012,12,31)-214</f>
        <v>41060</v>
      </c>
      <c r="D5249" s="4" t="s">
        <v>21</v>
      </c>
      <c r="E5249" s="4">
        <v>17.0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ht="12.75" customHeight="1">
      <c r="A5250" s="4">
        <v>6889.0</v>
      </c>
      <c r="B5250" s="4">
        <v>49123.0</v>
      </c>
      <c r="C5250" s="5">
        <f t="shared" ref="C5250:C5251" si="2197">DATE(2012,12,31)-1405</f>
        <v>39869</v>
      </c>
      <c r="D5250" s="4" t="s">
        <v>30</v>
      </c>
      <c r="E5250" s="4">
        <v>31.0</v>
      </c>
      <c r="F5250" s="4">
        <v>305.76</v>
      </c>
      <c r="G5250" s="4">
        <v>0.1</v>
      </c>
      <c r="H5250" s="4" t="s">
        <v>22</v>
      </c>
      <c r="I5250" s="6">
        <v>-22.5285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8">C5250+1</f>
        <v>39870</v>
      </c>
    </row>
    <row r="5251" ht="12.75" customHeight="1">
      <c r="A5251" s="4">
        <v>6890.0</v>
      </c>
      <c r="B5251" s="4">
        <v>49123.0</v>
      </c>
      <c r="C5251" s="5">
        <f t="shared" si="2197"/>
        <v>39869</v>
      </c>
      <c r="D5251" s="4" t="s">
        <v>30</v>
      </c>
      <c r="E5251" s="4">
        <v>3.0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8"/>
        <v>39870</v>
      </c>
    </row>
    <row r="5252" ht="12.75" customHeight="1">
      <c r="A5252" s="4">
        <v>6903.0</v>
      </c>
      <c r="B5252" s="4">
        <v>49220.0</v>
      </c>
      <c r="C5252" s="5">
        <f>DATE(2012,12,31)-506</f>
        <v>40768</v>
      </c>
      <c r="D5252" s="4" t="s">
        <v>78</v>
      </c>
      <c r="E5252" s="4">
        <v>13.0</v>
      </c>
      <c r="F5252" s="4">
        <v>409.97</v>
      </c>
      <c r="G5252" s="4">
        <v>0.07</v>
      </c>
      <c r="H5252" s="4" t="s">
        <v>22</v>
      </c>
      <c r="I5252" s="6">
        <v>39.36</v>
      </c>
      <c r="J5252" s="4">
        <v>33.62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8"/>
        <v>40769</v>
      </c>
    </row>
    <row r="5253" ht="12.75" customHeight="1">
      <c r="A5253" s="4">
        <v>6925.0</v>
      </c>
      <c r="B5253" s="4">
        <v>49409.0</v>
      </c>
      <c r="C5253" s="5">
        <f>DATE(2012,12,31)-503</f>
        <v>40771</v>
      </c>
      <c r="D5253" s="4" t="s">
        <v>30</v>
      </c>
      <c r="E5253" s="4">
        <v>28.0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19.99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8"/>
        <v>40772</v>
      </c>
    </row>
    <row r="5254" ht="12.75" customHeight="1">
      <c r="A5254" s="4">
        <v>6934.0</v>
      </c>
      <c r="B5254" s="4">
        <v>49479.0</v>
      </c>
      <c r="C5254" s="5">
        <f>DATE(2012,12,31)-523</f>
        <v>40751</v>
      </c>
      <c r="D5254" s="4" t="s">
        <v>63</v>
      </c>
      <c r="E5254" s="4">
        <v>46.0</v>
      </c>
      <c r="F5254" s="4">
        <v>5615.4</v>
      </c>
      <c r="G5254" s="4">
        <v>0.07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ht="12.75" customHeight="1">
      <c r="A5255" s="4">
        <v>6943.0</v>
      </c>
      <c r="B5255" s="4">
        <v>49600.0</v>
      </c>
      <c r="C5255" s="5">
        <f>DATE(2012,12,31)-665</f>
        <v>40609</v>
      </c>
      <c r="D5255" s="4" t="s">
        <v>21</v>
      </c>
      <c r="E5255" s="4">
        <v>33.0</v>
      </c>
      <c r="F5255" s="4">
        <v>1692.03</v>
      </c>
      <c r="G5255" s="4">
        <v>0.1</v>
      </c>
      <c r="H5255" s="4" t="s">
        <v>22</v>
      </c>
      <c r="I5255" s="6">
        <v>574.44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ht="12.75" customHeight="1">
      <c r="A5256" s="4">
        <v>6998.0</v>
      </c>
      <c r="B5256" s="4">
        <v>49987.0</v>
      </c>
      <c r="C5256" s="5">
        <f>DATE(2012,12,31)-712</f>
        <v>40562</v>
      </c>
      <c r="D5256" s="4" t="s">
        <v>30</v>
      </c>
      <c r="E5256" s="4">
        <v>14.0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9">C5256+2</f>
        <v>40564</v>
      </c>
    </row>
    <row r="5257" ht="12.75" customHeight="1">
      <c r="A5257" s="4">
        <v>7037.0</v>
      </c>
      <c r="B5257" s="4">
        <v>50242.0</v>
      </c>
      <c r="C5257" s="5">
        <f>DATE(2012,12,31)-896</f>
        <v>40378</v>
      </c>
      <c r="D5257" s="4" t="s">
        <v>45</v>
      </c>
      <c r="E5257" s="4">
        <v>8.0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</v>
      </c>
      <c r="U5257" s="5">
        <f t="shared" si="2199"/>
        <v>40380</v>
      </c>
    </row>
    <row r="5258" ht="12.75" customHeight="1">
      <c r="A5258" s="4">
        <v>7039.0</v>
      </c>
      <c r="B5258" s="4">
        <v>50275.0</v>
      </c>
      <c r="C5258" s="5">
        <f t="shared" ref="C5258:C5259" si="2200">DATE(2012,12,31)-1122</f>
        <v>40152</v>
      </c>
      <c r="D5258" s="4" t="s">
        <v>63</v>
      </c>
      <c r="E5258" s="4">
        <v>5.0</v>
      </c>
      <c r="F5258" s="4">
        <v>9704.37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1">C5258+1</f>
        <v>40153</v>
      </c>
    </row>
    <row r="5259" ht="12.75" customHeight="1">
      <c r="A5259" s="4">
        <v>7040.0</v>
      </c>
      <c r="B5259" s="4">
        <v>50275.0</v>
      </c>
      <c r="C5259" s="5">
        <f t="shared" si="2200"/>
        <v>40152</v>
      </c>
      <c r="D5259" s="4" t="s">
        <v>63</v>
      </c>
      <c r="E5259" s="4">
        <v>31.0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1"/>
        <v>40153</v>
      </c>
    </row>
    <row r="5260" ht="12.75" customHeight="1">
      <c r="A5260" s="4">
        <v>7061.0</v>
      </c>
      <c r="B5260" s="4">
        <v>50403.0</v>
      </c>
      <c r="C5260" s="5">
        <f>DATE(2012,12,31)-233</f>
        <v>41041</v>
      </c>
      <c r="D5260" s="4" t="s">
        <v>45</v>
      </c>
      <c r="E5260" s="4">
        <v>22.0</v>
      </c>
      <c r="F5260" s="4">
        <v>142.88</v>
      </c>
      <c r="G5260" s="4">
        <v>0.08</v>
      </c>
      <c r="H5260" s="4" t="s">
        <v>22</v>
      </c>
      <c r="I5260" s="6">
        <v>35.37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1"/>
        <v>41042</v>
      </c>
    </row>
    <row r="5261" ht="12.75" customHeight="1">
      <c r="A5261" s="4">
        <v>7065.0</v>
      </c>
      <c r="B5261" s="4">
        <v>50405.0</v>
      </c>
      <c r="C5261" s="5">
        <f>DATE(2012,12,31)-548</f>
        <v>40726</v>
      </c>
      <c r="D5261" s="4" t="s">
        <v>63</v>
      </c>
      <c r="E5261" s="4">
        <v>8.0</v>
      </c>
      <c r="F5261" s="4">
        <v>876.01</v>
      </c>
      <c r="G5261" s="4">
        <v>0.07</v>
      </c>
      <c r="H5261" s="4" t="s">
        <v>22</v>
      </c>
      <c r="I5261" s="6">
        <v>-108.0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ht="12.75" customHeight="1">
      <c r="A5262" s="4">
        <v>7069.0</v>
      </c>
      <c r="B5262" s="4">
        <v>50464.0</v>
      </c>
      <c r="C5262" s="5">
        <f>DATE(2012,12,31)-461</f>
        <v>40813</v>
      </c>
      <c r="D5262" s="4" t="s">
        <v>78</v>
      </c>
      <c r="E5262" s="4">
        <v>7.0</v>
      </c>
      <c r="F5262" s="4">
        <v>105.94</v>
      </c>
      <c r="G5262" s="4">
        <v>0.07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ht="12.75" customHeight="1">
      <c r="A5263" s="4">
        <v>7070.0</v>
      </c>
      <c r="B5263" s="4">
        <v>50465.0</v>
      </c>
      <c r="C5263" s="5">
        <f>DATE(2012,12,31)-661</f>
        <v>40613</v>
      </c>
      <c r="D5263" s="4" t="s">
        <v>63</v>
      </c>
      <c r="E5263" s="4">
        <v>29.0</v>
      </c>
      <c r="F5263" s="4">
        <v>1337.08</v>
      </c>
      <c r="G5263" s="4">
        <v>0.1</v>
      </c>
      <c r="H5263" s="4" t="s">
        <v>22</v>
      </c>
      <c r="I5263" s="6">
        <v>-953.0</v>
      </c>
      <c r="J5263" s="4">
        <v>48.91</v>
      </c>
      <c r="K5263" s="4">
        <v>35.0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ht="12.75" customHeight="1">
      <c r="A5264" s="4">
        <v>7072.0</v>
      </c>
      <c r="B5264" s="4">
        <v>50469.0</v>
      </c>
      <c r="C5264" s="5">
        <f>DATE(2012,12,31)-926</f>
        <v>40348</v>
      </c>
      <c r="D5264" s="4" t="s">
        <v>45</v>
      </c>
      <c r="E5264" s="4">
        <v>44.0</v>
      </c>
      <c r="F5264" s="4">
        <v>839.19</v>
      </c>
      <c r="G5264" s="4">
        <v>0.0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ht="12.75" customHeight="1">
      <c r="A5265" s="4">
        <v>7118.0</v>
      </c>
      <c r="B5265" s="4">
        <v>50789.0</v>
      </c>
      <c r="C5265" s="5">
        <f>DATE(2012,12,31)-660</f>
        <v>40614</v>
      </c>
      <c r="D5265" s="4" t="s">
        <v>45</v>
      </c>
      <c r="E5265" s="4">
        <v>23.0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19.99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ht="12.75" customHeight="1">
      <c r="A5266" s="4">
        <v>7153.0</v>
      </c>
      <c r="B5266" s="4">
        <v>51044.0</v>
      </c>
      <c r="C5266" s="5">
        <f t="shared" ref="C5266:C5268" si="2202">DATE(2012,12,31)-348</f>
        <v>40926</v>
      </c>
      <c r="D5266" s="4" t="s">
        <v>21</v>
      </c>
      <c r="E5266" s="4">
        <v>17.0</v>
      </c>
      <c r="F5266" s="4">
        <v>155.89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ht="12.75" customHeight="1">
      <c r="A5267" s="4">
        <v>7154.0</v>
      </c>
      <c r="B5267" s="4">
        <v>51044.0</v>
      </c>
      <c r="C5267" s="5">
        <f t="shared" si="2202"/>
        <v>40926</v>
      </c>
      <c r="D5267" s="4" t="s">
        <v>21</v>
      </c>
      <c r="E5267" s="4">
        <v>26.0</v>
      </c>
      <c r="F5267" s="4">
        <v>1333.18</v>
      </c>
      <c r="G5267" s="4">
        <v>0.07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</v>
      </c>
      <c r="U5267" s="5">
        <f>C5267+4</f>
        <v>40930</v>
      </c>
    </row>
    <row r="5268" ht="12.75" customHeight="1">
      <c r="A5268" s="4">
        <v>7155.0</v>
      </c>
      <c r="B5268" s="4">
        <v>51044.0</v>
      </c>
      <c r="C5268" s="5">
        <f t="shared" si="2202"/>
        <v>40926</v>
      </c>
      <c r="D5268" s="4" t="s">
        <v>21</v>
      </c>
      <c r="E5268" s="4">
        <v>19.0</v>
      </c>
      <c r="F5268" s="4">
        <v>117.27</v>
      </c>
      <c r="G5268" s="4">
        <v>0.01</v>
      </c>
      <c r="H5268" s="4" t="s">
        <v>22</v>
      </c>
      <c r="I5268" s="6">
        <v>35.45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ht="12.75" customHeight="1">
      <c r="A5269" s="4">
        <v>7193.0</v>
      </c>
      <c r="B5269" s="4">
        <v>51302.0</v>
      </c>
      <c r="C5269" s="5">
        <f>DATE(2012,12,31)-495</f>
        <v>40779</v>
      </c>
      <c r="D5269" s="4" t="s">
        <v>45</v>
      </c>
      <c r="E5269" s="4">
        <v>44.0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ht="12.75" customHeight="1">
      <c r="A5270" s="4">
        <v>7203.0</v>
      </c>
      <c r="B5270" s="4">
        <v>51392.0</v>
      </c>
      <c r="C5270" s="5">
        <f>DATE(2012,12,31)-1145</f>
        <v>40129</v>
      </c>
      <c r="D5270" s="4" t="s">
        <v>63</v>
      </c>
      <c r="E5270" s="4">
        <v>10.0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ht="12.75" customHeight="1">
      <c r="A5271" s="4">
        <v>7244.0</v>
      </c>
      <c r="B5271" s="4">
        <v>51650.0</v>
      </c>
      <c r="C5271" s="5">
        <f t="shared" ref="C5271:C5273" si="2203">DATE(2012,12,31)-579</f>
        <v>40695</v>
      </c>
      <c r="D5271" s="4" t="s">
        <v>30</v>
      </c>
      <c r="E5271" s="4">
        <v>25.0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4">C5271+2</f>
        <v>40697</v>
      </c>
    </row>
    <row r="5272" ht="12.75" customHeight="1">
      <c r="A5272" s="4">
        <v>7245.0</v>
      </c>
      <c r="B5272" s="4">
        <v>51650.0</v>
      </c>
      <c r="C5272" s="5">
        <f t="shared" si="2203"/>
        <v>40695</v>
      </c>
      <c r="D5272" s="4" t="s">
        <v>30</v>
      </c>
      <c r="E5272" s="4">
        <v>43.0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</v>
      </c>
      <c r="U5272" s="5">
        <f t="shared" si="2204"/>
        <v>40697</v>
      </c>
    </row>
    <row r="5273" ht="12.75" customHeight="1">
      <c r="A5273" s="4">
        <v>7246.0</v>
      </c>
      <c r="B5273" s="4">
        <v>51650.0</v>
      </c>
      <c r="C5273" s="5">
        <f t="shared" si="2203"/>
        <v>40695</v>
      </c>
      <c r="D5273" s="4" t="s">
        <v>30</v>
      </c>
      <c r="E5273" s="4">
        <v>19.0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0.58</v>
      </c>
      <c r="U5273" s="5">
        <f t="shared" si="2204"/>
        <v>40697</v>
      </c>
    </row>
    <row r="5274" ht="12.75" customHeight="1">
      <c r="A5274" s="4">
        <v>7247.0</v>
      </c>
      <c r="B5274" s="4">
        <v>51652.0</v>
      </c>
      <c r="C5274" s="5">
        <f t="shared" ref="C5274:C5275" si="2205">DATE(2012,12,31)-632</f>
        <v>40642</v>
      </c>
      <c r="D5274" s="4" t="s">
        <v>45</v>
      </c>
      <c r="E5274" s="4">
        <v>37.0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4"/>
        <v>40644</v>
      </c>
    </row>
    <row r="5275" ht="12.75" customHeight="1">
      <c r="A5275" s="4">
        <v>7248.0</v>
      </c>
      <c r="B5275" s="4">
        <v>51652.0</v>
      </c>
      <c r="C5275" s="5">
        <f t="shared" si="2205"/>
        <v>40642</v>
      </c>
      <c r="D5275" s="4" t="s">
        <v>45</v>
      </c>
      <c r="E5275" s="4">
        <v>38.0</v>
      </c>
      <c r="F5275" s="4">
        <v>4992.63</v>
      </c>
      <c r="G5275" s="4">
        <v>0.07</v>
      </c>
      <c r="H5275" s="4" t="s">
        <v>56</v>
      </c>
      <c r="I5275" s="6">
        <v>44.13</v>
      </c>
      <c r="J5275" s="4">
        <v>140.85</v>
      </c>
      <c r="K5275" s="4">
        <v>19.99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6">C5275+1</f>
        <v>40643</v>
      </c>
    </row>
    <row r="5276" ht="12.75" customHeight="1">
      <c r="A5276" s="4">
        <v>7272.0</v>
      </c>
      <c r="B5276" s="4">
        <v>51876.0</v>
      </c>
      <c r="C5276" s="5">
        <f>DATE(2012,12,31)-300</f>
        <v>40974</v>
      </c>
      <c r="D5276" s="4" t="s">
        <v>78</v>
      </c>
      <c r="E5276" s="4">
        <v>2.0</v>
      </c>
      <c r="F5276" s="4">
        <v>95.0555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5.0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6"/>
        <v>40975</v>
      </c>
    </row>
    <row r="5277" ht="12.75" customHeight="1">
      <c r="A5277" s="4">
        <v>7304.0</v>
      </c>
      <c r="B5277" s="4">
        <v>52070.0</v>
      </c>
      <c r="C5277" s="5">
        <f>DATE(2012,12,31)-1126</f>
        <v>40148</v>
      </c>
      <c r="D5277" s="4" t="s">
        <v>45</v>
      </c>
      <c r="E5277" s="4">
        <v>29.0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ht="12.75" customHeight="1">
      <c r="A5278" s="4">
        <v>7313.0</v>
      </c>
      <c r="B5278" s="4">
        <v>52160.0</v>
      </c>
      <c r="C5278" s="5">
        <f t="shared" ref="C5278:C5279" si="2207">DATE(2012,12,31)-547</f>
        <v>40727</v>
      </c>
      <c r="D5278" s="4" t="s">
        <v>78</v>
      </c>
      <c r="E5278" s="4">
        <v>5.0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ht="12.75" customHeight="1">
      <c r="A5279" s="4">
        <v>7314.0</v>
      </c>
      <c r="B5279" s="4">
        <v>52160.0</v>
      </c>
      <c r="C5279" s="5">
        <f t="shared" si="2207"/>
        <v>40727</v>
      </c>
      <c r="D5279" s="4" t="s">
        <v>78</v>
      </c>
      <c r="E5279" s="4">
        <v>6.0</v>
      </c>
      <c r="F5279" s="4">
        <v>631.499</v>
      </c>
      <c r="G5279" s="4">
        <v>0.09</v>
      </c>
      <c r="H5279" s="4" t="s">
        <v>22</v>
      </c>
      <c r="I5279" s="6">
        <v>-403.018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0.57</v>
      </c>
      <c r="U5279" s="5">
        <f>C5279+2</f>
        <v>40729</v>
      </c>
    </row>
    <row r="5280" ht="12.75" customHeight="1">
      <c r="A5280" s="4">
        <v>7333.0</v>
      </c>
      <c r="B5280" s="4">
        <v>52258.0</v>
      </c>
      <c r="C5280" s="5">
        <f>DATE(2012,12,31)-1420</f>
        <v>39854</v>
      </c>
      <c r="D5280" s="4" t="s">
        <v>21</v>
      </c>
      <c r="E5280" s="4">
        <v>5.0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</v>
      </c>
      <c r="U5280" s="5">
        <f>C5280+7</f>
        <v>39861</v>
      </c>
    </row>
    <row r="5281" ht="12.75" customHeight="1">
      <c r="A5281" s="4">
        <v>7378.0</v>
      </c>
      <c r="B5281" s="4">
        <v>52608.0</v>
      </c>
      <c r="C5281" s="5">
        <f>DATE(2012,12,31)-1440</f>
        <v>39834</v>
      </c>
      <c r="D5281" s="4" t="s">
        <v>21</v>
      </c>
      <c r="E5281" s="4">
        <v>36.0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ht="12.75" customHeight="1">
      <c r="A5282" s="4">
        <v>7382.0</v>
      </c>
      <c r="B5282" s="4">
        <v>52640.0</v>
      </c>
      <c r="C5282" s="5">
        <f>DATE(2012,12,31)-730</f>
        <v>40544</v>
      </c>
      <c r="D5282" s="4" t="s">
        <v>63</v>
      </c>
      <c r="E5282" s="4">
        <v>18.0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19.99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ht="12.75" customHeight="1">
      <c r="A5283" s="4">
        <v>7482.0</v>
      </c>
      <c r="B5283" s="4">
        <v>53412.0</v>
      </c>
      <c r="C5283" s="5">
        <f>DATE(2012,12,31)-1203</f>
        <v>40071</v>
      </c>
      <c r="D5283" s="4" t="s">
        <v>78</v>
      </c>
      <c r="E5283" s="4">
        <v>45.0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8">C5283+1</f>
        <v>40072</v>
      </c>
    </row>
    <row r="5284" ht="12.75" customHeight="1">
      <c r="A5284" s="4">
        <v>7504.0</v>
      </c>
      <c r="B5284" s="4">
        <v>53568.0</v>
      </c>
      <c r="C5284" s="5">
        <f>DATE(2012,12,31)-917</f>
        <v>40357</v>
      </c>
      <c r="D5284" s="4" t="s">
        <v>63</v>
      </c>
      <c r="E5284" s="4">
        <v>34.0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8"/>
        <v>40358</v>
      </c>
    </row>
    <row r="5285" ht="12.75" customHeight="1">
      <c r="A5285" s="4">
        <v>7546.0</v>
      </c>
      <c r="B5285" s="4">
        <v>53956.0</v>
      </c>
      <c r="C5285" s="5">
        <f>DATE(2012,12,31)-511</f>
        <v>40763</v>
      </c>
      <c r="D5285" s="4" t="s">
        <v>30</v>
      </c>
      <c r="E5285" s="4">
        <v>43.0</v>
      </c>
      <c r="F5285" s="4">
        <v>1779.87</v>
      </c>
      <c r="G5285" s="4">
        <v>0.01</v>
      </c>
      <c r="H5285" s="4" t="s">
        <v>22</v>
      </c>
      <c r="I5285" s="6">
        <v>311.72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8"/>
        <v>40764</v>
      </c>
    </row>
    <row r="5286" ht="12.75" customHeight="1">
      <c r="A5286" s="4">
        <v>7601.0</v>
      </c>
      <c r="B5286" s="4">
        <v>54371.0</v>
      </c>
      <c r="C5286" s="5">
        <f t="shared" ref="C5286:C5287" si="2209">DATE(2012,12,31)-320</f>
        <v>40954</v>
      </c>
      <c r="D5286" s="4" t="s">
        <v>45</v>
      </c>
      <c r="E5286" s="4">
        <v>28.0</v>
      </c>
      <c r="F5286" s="4">
        <v>115.02</v>
      </c>
      <c r="G5286" s="4">
        <v>0.0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ht="12.75" customHeight="1">
      <c r="A5287" s="4">
        <v>7602.0</v>
      </c>
      <c r="B5287" s="4">
        <v>54371.0</v>
      </c>
      <c r="C5287" s="5">
        <f t="shared" si="2209"/>
        <v>40954</v>
      </c>
      <c r="D5287" s="4" t="s">
        <v>45</v>
      </c>
      <c r="E5287" s="4">
        <v>7.0</v>
      </c>
      <c r="F5287" s="4">
        <v>118.63</v>
      </c>
      <c r="G5287" s="4">
        <v>0.05</v>
      </c>
      <c r="H5287" s="4" t="s">
        <v>22</v>
      </c>
      <c r="I5287" s="6">
        <v>6.298500000000001</v>
      </c>
      <c r="J5287" s="4">
        <v>16.74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ht="12.75" customHeight="1">
      <c r="A5288" s="4">
        <v>7605.0</v>
      </c>
      <c r="B5288" s="4">
        <v>54436.0</v>
      </c>
      <c r="C5288" s="5">
        <f t="shared" ref="C5288:C5289" si="2210">DATE(2012,12,31)-1199</f>
        <v>40075</v>
      </c>
      <c r="D5288" s="4" t="s">
        <v>30</v>
      </c>
      <c r="E5288" s="4">
        <v>17.0</v>
      </c>
      <c r="F5288" s="4">
        <v>705.85</v>
      </c>
      <c r="G5288" s="4">
        <v>0.04</v>
      </c>
      <c r="H5288" s="4" t="s">
        <v>56</v>
      </c>
      <c r="I5288" s="6">
        <v>151.67</v>
      </c>
      <c r="J5288" s="4">
        <v>39.48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ht="12.75" customHeight="1">
      <c r="A5289" s="4">
        <v>7606.0</v>
      </c>
      <c r="B5289" s="4">
        <v>54436.0</v>
      </c>
      <c r="C5289" s="5">
        <f t="shared" si="2210"/>
        <v>40075</v>
      </c>
      <c r="D5289" s="4" t="s">
        <v>30</v>
      </c>
      <c r="E5289" s="4">
        <v>37.0</v>
      </c>
      <c r="F5289" s="4">
        <v>321.3</v>
      </c>
      <c r="G5289" s="4">
        <v>0.0</v>
      </c>
      <c r="H5289" s="4" t="s">
        <v>22</v>
      </c>
      <c r="I5289" s="6">
        <v>-47.23</v>
      </c>
      <c r="J5289" s="4">
        <v>8.12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ht="12.75" customHeight="1">
      <c r="A5290" s="4">
        <v>7608.0</v>
      </c>
      <c r="B5290" s="4">
        <v>54464.0</v>
      </c>
      <c r="C5290" s="5">
        <f t="shared" ref="C5290:C5291" si="2211">DATE(2012,12,31)-1217</f>
        <v>40057</v>
      </c>
      <c r="D5290" s="4" t="s">
        <v>30</v>
      </c>
      <c r="E5290" s="4">
        <v>11.0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ht="12.75" customHeight="1">
      <c r="A5291" s="4">
        <v>7609.0</v>
      </c>
      <c r="B5291" s="4">
        <v>54464.0</v>
      </c>
      <c r="C5291" s="5">
        <f t="shared" si="2211"/>
        <v>40057</v>
      </c>
      <c r="D5291" s="4" t="s">
        <v>30</v>
      </c>
      <c r="E5291" s="4">
        <v>50.0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2">C5291+1</f>
        <v>40058</v>
      </c>
    </row>
    <row r="5292" ht="12.75" customHeight="1">
      <c r="A5292" s="4">
        <v>7613.0</v>
      </c>
      <c r="B5292" s="4">
        <v>54468.0</v>
      </c>
      <c r="C5292" s="5">
        <f t="shared" ref="C5292:C5293" si="2213">DATE(2012,12,31)-1113</f>
        <v>40161</v>
      </c>
      <c r="D5292" s="4" t="s">
        <v>30</v>
      </c>
      <c r="E5292" s="4">
        <v>15.0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2"/>
        <v>40162</v>
      </c>
    </row>
    <row r="5293" ht="12.75" customHeight="1">
      <c r="A5293" s="4">
        <v>7614.0</v>
      </c>
      <c r="B5293" s="4">
        <v>54468.0</v>
      </c>
      <c r="C5293" s="5">
        <f t="shared" si="2213"/>
        <v>40161</v>
      </c>
      <c r="D5293" s="4" t="s">
        <v>30</v>
      </c>
      <c r="E5293" s="4">
        <v>35.0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0.58</v>
      </c>
      <c r="U5293" s="5">
        <f t="shared" si="2212"/>
        <v>40162</v>
      </c>
    </row>
    <row r="5294" ht="12.75" customHeight="1">
      <c r="A5294" s="4">
        <v>7649.0</v>
      </c>
      <c r="B5294" s="4">
        <v>54819.0</v>
      </c>
      <c r="C5294" s="5">
        <f t="shared" ref="C5294:C5296" si="2214">DATE(2012,12,31)-1178</f>
        <v>40096</v>
      </c>
      <c r="D5294" s="4" t="s">
        <v>21</v>
      </c>
      <c r="E5294" s="4">
        <v>10.0</v>
      </c>
      <c r="F5294" s="4">
        <v>53.32</v>
      </c>
      <c r="G5294" s="4">
        <v>0.07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ht="12.75" customHeight="1">
      <c r="A5295" s="4">
        <v>7650.0</v>
      </c>
      <c r="B5295" s="4">
        <v>54819.0</v>
      </c>
      <c r="C5295" s="5">
        <f t="shared" si="2214"/>
        <v>40096</v>
      </c>
      <c r="D5295" s="4" t="s">
        <v>21</v>
      </c>
      <c r="E5295" s="4">
        <v>26.0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ht="12.75" customHeight="1">
      <c r="A5296" s="4">
        <v>7651.0</v>
      </c>
      <c r="B5296" s="4">
        <v>54819.0</v>
      </c>
      <c r="C5296" s="5">
        <f t="shared" si="2214"/>
        <v>40096</v>
      </c>
      <c r="D5296" s="4" t="s">
        <v>21</v>
      </c>
      <c r="E5296" s="4">
        <v>46.0</v>
      </c>
      <c r="F5296" s="4">
        <v>2710.5054999999998</v>
      </c>
      <c r="G5296" s="4">
        <v>0.03</v>
      </c>
      <c r="H5296" s="4" t="s">
        <v>22</v>
      </c>
      <c r="I5296" s="6">
        <v>624.123</v>
      </c>
      <c r="J5296" s="4">
        <v>65.99</v>
      </c>
      <c r="K5296" s="4">
        <v>8.8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0.58</v>
      </c>
      <c r="U5296" s="5">
        <f>C5296+0</f>
        <v>40096</v>
      </c>
    </row>
    <row r="5297" ht="12.75" customHeight="1">
      <c r="A5297" s="4">
        <v>7654.0</v>
      </c>
      <c r="B5297" s="4">
        <v>54882.0</v>
      </c>
      <c r="C5297" s="5">
        <f t="shared" ref="C5297:C5298" si="2215">DATE(2012,12,31)-694</f>
        <v>40580</v>
      </c>
      <c r="D5297" s="4" t="s">
        <v>78</v>
      </c>
      <c r="E5297" s="4">
        <v>17.0</v>
      </c>
      <c r="F5297" s="4">
        <v>86.29</v>
      </c>
      <c r="G5297" s="4">
        <v>0.02</v>
      </c>
      <c r="H5297" s="4" t="s">
        <v>22</v>
      </c>
      <c r="I5297" s="6">
        <v>34.98</v>
      </c>
      <c r="J5297" s="4">
        <v>4.98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ht="12.75" customHeight="1">
      <c r="A5298" s="4">
        <v>7655.0</v>
      </c>
      <c r="B5298" s="4">
        <v>54882.0</v>
      </c>
      <c r="C5298" s="5">
        <f t="shared" si="2215"/>
        <v>40580</v>
      </c>
      <c r="D5298" s="4" t="s">
        <v>78</v>
      </c>
      <c r="E5298" s="4">
        <v>2.0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36.55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6">C5298+2</f>
        <v>40582</v>
      </c>
    </row>
    <row r="5299" ht="12.75" customHeight="1">
      <c r="A5299" s="4">
        <v>7680.0</v>
      </c>
      <c r="B5299" s="4">
        <v>55042.0</v>
      </c>
      <c r="C5299" s="5">
        <f t="shared" ref="C5299:C5300" si="2217">DATE(2012,12,31)-389</f>
        <v>40885</v>
      </c>
      <c r="D5299" s="4" t="s">
        <v>30</v>
      </c>
      <c r="E5299" s="4">
        <v>28.0</v>
      </c>
      <c r="F5299" s="4">
        <v>1717.88</v>
      </c>
      <c r="G5299" s="4">
        <v>0.05</v>
      </c>
      <c r="H5299" s="4" t="s">
        <v>56</v>
      </c>
      <c r="I5299" s="6">
        <v>513.93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</v>
      </c>
      <c r="U5299" s="5">
        <f t="shared" si="2216"/>
        <v>40887</v>
      </c>
    </row>
    <row r="5300" ht="12.75" customHeight="1">
      <c r="A5300" s="4">
        <v>7681.0</v>
      </c>
      <c r="B5300" s="4">
        <v>55042.0</v>
      </c>
      <c r="C5300" s="5">
        <f t="shared" si="2217"/>
        <v>40885</v>
      </c>
      <c r="D5300" s="4" t="s">
        <v>30</v>
      </c>
      <c r="E5300" s="4">
        <v>38.0</v>
      </c>
      <c r="F5300" s="4">
        <v>1978.4345</v>
      </c>
      <c r="G5300" s="4">
        <v>0.09</v>
      </c>
      <c r="H5300" s="4" t="s">
        <v>22</v>
      </c>
      <c r="I5300" s="6">
        <v>471.08699999999993</v>
      </c>
      <c r="J5300" s="4">
        <v>65.99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</v>
      </c>
      <c r="U5300" s="5">
        <f t="shared" ref="U5300:U5301" si="2218">C5300+1</f>
        <v>40886</v>
      </c>
    </row>
    <row r="5301" ht="12.75" customHeight="1">
      <c r="A5301" s="4">
        <v>7683.0</v>
      </c>
      <c r="B5301" s="4">
        <v>55046.0</v>
      </c>
      <c r="C5301" s="5">
        <f>DATE(2012,12,31)-1358</f>
        <v>39916</v>
      </c>
      <c r="D5301" s="4" t="s">
        <v>78</v>
      </c>
      <c r="E5301" s="4">
        <v>2.0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8"/>
        <v>39917</v>
      </c>
    </row>
    <row r="5302" ht="12.75" customHeight="1">
      <c r="A5302" s="4">
        <v>7715.0</v>
      </c>
      <c r="B5302" s="4">
        <v>55297.0</v>
      </c>
      <c r="C5302" s="5">
        <f>DATE(2012,12,31)-804</f>
        <v>40470</v>
      </c>
      <c r="D5302" s="4" t="s">
        <v>63</v>
      </c>
      <c r="E5302" s="4">
        <v>29.0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9">C5302+2</f>
        <v>40472</v>
      </c>
    </row>
    <row r="5303" ht="12.75" customHeight="1">
      <c r="A5303" s="4">
        <v>7724.0</v>
      </c>
      <c r="B5303" s="4">
        <v>55360.0</v>
      </c>
      <c r="C5303" s="5">
        <f t="shared" ref="C5303:C5304" si="2220">DATE(2012,12,31)-1439</f>
        <v>39835</v>
      </c>
      <c r="D5303" s="4" t="s">
        <v>63</v>
      </c>
      <c r="E5303" s="4">
        <v>49.0</v>
      </c>
      <c r="F5303" s="4">
        <v>134.83</v>
      </c>
      <c r="G5303" s="4">
        <v>0.07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9"/>
        <v>39837</v>
      </c>
    </row>
    <row r="5304" ht="12.75" customHeight="1">
      <c r="A5304" s="4">
        <v>7725.0</v>
      </c>
      <c r="B5304" s="4">
        <v>55360.0</v>
      </c>
      <c r="C5304" s="5">
        <f t="shared" si="2220"/>
        <v>39835</v>
      </c>
      <c r="D5304" s="4" t="s">
        <v>63</v>
      </c>
      <c r="E5304" s="4">
        <v>39.0</v>
      </c>
      <c r="F5304" s="4">
        <v>8865.1</v>
      </c>
      <c r="G5304" s="4">
        <v>0.0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1">C5304+1</f>
        <v>39836</v>
      </c>
    </row>
    <row r="5305" ht="12.75" customHeight="1">
      <c r="A5305" s="4">
        <v>7772.0</v>
      </c>
      <c r="B5305" s="4">
        <v>55623.0</v>
      </c>
      <c r="C5305" s="5">
        <f>DATE(2012,12,31)-87</f>
        <v>41187</v>
      </c>
      <c r="D5305" s="4" t="s">
        <v>78</v>
      </c>
      <c r="E5305" s="4">
        <v>47.0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32.48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1"/>
        <v>41188</v>
      </c>
    </row>
    <row r="5306" ht="12.75" customHeight="1">
      <c r="A5306" s="4">
        <v>7774.0</v>
      </c>
      <c r="B5306" s="4">
        <v>55650.0</v>
      </c>
      <c r="C5306" s="5">
        <f>DATE(2012,12,31)-437</f>
        <v>40837</v>
      </c>
      <c r="D5306" s="4" t="s">
        <v>21</v>
      </c>
      <c r="E5306" s="4">
        <v>41.0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32.98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ht="12.75" customHeight="1">
      <c r="A5307" s="4">
        <v>7776.0</v>
      </c>
      <c r="B5307" s="4">
        <v>55651.0</v>
      </c>
      <c r="C5307" s="5">
        <f t="shared" ref="C5307:C5308" si="2222">DATE(2012,12,31)-299</f>
        <v>40975</v>
      </c>
      <c r="D5307" s="4" t="s">
        <v>63</v>
      </c>
      <c r="E5307" s="4">
        <v>41.0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20.24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ht="12.75" customHeight="1">
      <c r="A5308" s="4">
        <v>7777.0</v>
      </c>
      <c r="B5308" s="4">
        <v>55651.0</v>
      </c>
      <c r="C5308" s="5">
        <f t="shared" si="2222"/>
        <v>40975</v>
      </c>
      <c r="D5308" s="4" t="s">
        <v>63</v>
      </c>
      <c r="E5308" s="4">
        <v>2.0</v>
      </c>
      <c r="F5308" s="4">
        <v>79.93</v>
      </c>
      <c r="G5308" s="4">
        <v>0.0</v>
      </c>
      <c r="H5308" s="4" t="s">
        <v>22</v>
      </c>
      <c r="I5308" s="6">
        <v>-52.73</v>
      </c>
      <c r="J5308" s="4">
        <v>27.75</v>
      </c>
      <c r="K5308" s="4">
        <v>19.99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ht="12.75" customHeight="1">
      <c r="A5309" s="4">
        <v>7876.0</v>
      </c>
      <c r="B5309" s="4">
        <v>56322.0</v>
      </c>
      <c r="C5309" s="5">
        <f t="shared" ref="C5309:C5310" si="2223">DATE(2012,12,31)-458</f>
        <v>40816</v>
      </c>
      <c r="D5309" s="4" t="s">
        <v>63</v>
      </c>
      <c r="E5309" s="4">
        <v>26.0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4">C5309+2</f>
        <v>40818</v>
      </c>
    </row>
    <row r="5310" ht="12.75" customHeight="1">
      <c r="A5310" s="4">
        <v>7877.0</v>
      </c>
      <c r="B5310" s="4">
        <v>56322.0</v>
      </c>
      <c r="C5310" s="5">
        <f t="shared" si="2223"/>
        <v>40816</v>
      </c>
      <c r="D5310" s="4" t="s">
        <v>63</v>
      </c>
      <c r="E5310" s="4">
        <v>16.0</v>
      </c>
      <c r="F5310" s="4">
        <v>1689.137</v>
      </c>
      <c r="G5310" s="4">
        <v>0.07</v>
      </c>
      <c r="H5310" s="4" t="s">
        <v>22</v>
      </c>
      <c r="I5310" s="6">
        <v>71.064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0.57</v>
      </c>
      <c r="U5310" s="5">
        <f t="shared" si="2224"/>
        <v>40818</v>
      </c>
    </row>
    <row r="5311" ht="12.75" customHeight="1">
      <c r="A5311" s="4">
        <v>7918.0</v>
      </c>
      <c r="B5311" s="4">
        <v>56608.0</v>
      </c>
      <c r="C5311" s="5">
        <f>DATE(2012,12,31)-1139</f>
        <v>40135</v>
      </c>
      <c r="D5311" s="4" t="s">
        <v>78</v>
      </c>
      <c r="E5311" s="4">
        <v>23.0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4"/>
        <v>40137</v>
      </c>
    </row>
    <row r="5312" ht="12.75" customHeight="1">
      <c r="A5312" s="4">
        <v>7920.0</v>
      </c>
      <c r="B5312" s="4">
        <v>56612.0</v>
      </c>
      <c r="C5312" s="5">
        <f>DATE(2012,12,31)-1258</f>
        <v>40016</v>
      </c>
      <c r="D5312" s="4" t="s">
        <v>30</v>
      </c>
      <c r="E5312" s="4">
        <v>38.0</v>
      </c>
      <c r="F5312" s="4">
        <v>4008.7274999999995</v>
      </c>
      <c r="G5312" s="4">
        <v>0.0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0.58</v>
      </c>
      <c r="U5312" s="5">
        <f t="shared" ref="U5312:U5314" si="2225">C5312+0</f>
        <v>40016</v>
      </c>
    </row>
    <row r="5313" ht="12.75" customHeight="1">
      <c r="A5313" s="4">
        <v>7956.0</v>
      </c>
      <c r="B5313" s="4">
        <v>56835.0</v>
      </c>
      <c r="C5313" s="5">
        <f>DATE(2012,12,31)-1045</f>
        <v>40229</v>
      </c>
      <c r="D5313" s="4" t="s">
        <v>45</v>
      </c>
      <c r="E5313" s="4">
        <v>1.0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5"/>
        <v>40229</v>
      </c>
    </row>
    <row r="5314" ht="12.75" customHeight="1">
      <c r="A5314" s="4">
        <v>7975.0</v>
      </c>
      <c r="B5314" s="4">
        <v>57058.0</v>
      </c>
      <c r="C5314" s="5">
        <f t="shared" ref="C5314:C5315" si="2226">DATE(2012,12,31)-236</f>
        <v>41038</v>
      </c>
      <c r="D5314" s="4" t="s">
        <v>63</v>
      </c>
      <c r="E5314" s="4">
        <v>28.0</v>
      </c>
      <c r="F5314" s="4">
        <v>205.43</v>
      </c>
      <c r="G5314" s="4">
        <v>0.0</v>
      </c>
      <c r="H5314" s="4" t="s">
        <v>56</v>
      </c>
      <c r="I5314" s="6">
        <v>-24.2995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5"/>
        <v>41038</v>
      </c>
    </row>
    <row r="5315" ht="12.75" customHeight="1">
      <c r="A5315" s="4">
        <v>7976.0</v>
      </c>
      <c r="B5315" s="4">
        <v>57058.0</v>
      </c>
      <c r="C5315" s="5">
        <f t="shared" si="2226"/>
        <v>41038</v>
      </c>
      <c r="D5315" s="4" t="s">
        <v>63</v>
      </c>
      <c r="E5315" s="4">
        <v>27.0</v>
      </c>
      <c r="F5315" s="4">
        <v>979.06</v>
      </c>
      <c r="G5315" s="4">
        <v>0.07</v>
      </c>
      <c r="H5315" s="4" t="s">
        <v>22</v>
      </c>
      <c r="I5315" s="6">
        <v>-131.9</v>
      </c>
      <c r="J5315" s="4">
        <v>35.77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ht="12.75" customHeight="1">
      <c r="A5316" s="4">
        <v>8055.0</v>
      </c>
      <c r="B5316" s="4">
        <v>57506.0</v>
      </c>
      <c r="C5316" s="5">
        <f>DATE(2012,12,31)-1417</f>
        <v>39857</v>
      </c>
      <c r="D5316" s="4" t="s">
        <v>63</v>
      </c>
      <c r="E5316" s="4">
        <v>48.0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ht="12.75" customHeight="1">
      <c r="A5317" s="4">
        <v>8072.0</v>
      </c>
      <c r="B5317" s="4">
        <v>57574.0</v>
      </c>
      <c r="C5317" s="5">
        <f>DATE(2012,12,31)-161</f>
        <v>41113</v>
      </c>
      <c r="D5317" s="4" t="s">
        <v>78</v>
      </c>
      <c r="E5317" s="4">
        <v>20.0</v>
      </c>
      <c r="F5317" s="4">
        <v>466.36</v>
      </c>
      <c r="G5317" s="4">
        <v>0.07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ht="12.75" customHeight="1">
      <c r="A5318" s="4">
        <v>8076.0</v>
      </c>
      <c r="B5318" s="4">
        <v>57602.0</v>
      </c>
      <c r="C5318" s="5">
        <f>DATE(2012,12,31)-228</f>
        <v>41046</v>
      </c>
      <c r="D5318" s="4" t="s">
        <v>21</v>
      </c>
      <c r="E5318" s="4">
        <v>43.0</v>
      </c>
      <c r="F5318" s="4">
        <v>130.36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ht="12.75" customHeight="1">
      <c r="A5319" s="4">
        <v>8112.0</v>
      </c>
      <c r="B5319" s="4">
        <v>57921.0</v>
      </c>
      <c r="C5319" s="5">
        <f t="shared" ref="C5319:C5320" si="2227">DATE(2012,12,31)-866</f>
        <v>40408</v>
      </c>
      <c r="D5319" s="4" t="s">
        <v>63</v>
      </c>
      <c r="E5319" s="4">
        <v>8.0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ht="12.75" customHeight="1">
      <c r="A5320" s="4">
        <v>8113.0</v>
      </c>
      <c r="B5320" s="4">
        <v>57921.0</v>
      </c>
      <c r="C5320" s="5">
        <f t="shared" si="2227"/>
        <v>40408</v>
      </c>
      <c r="D5320" s="4" t="s">
        <v>63</v>
      </c>
      <c r="E5320" s="4">
        <v>7.0</v>
      </c>
      <c r="F5320" s="4">
        <v>148.05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ht="12.75" customHeight="1">
      <c r="A5321" s="4">
        <v>8115.0</v>
      </c>
      <c r="B5321" s="4">
        <v>57958.0</v>
      </c>
      <c r="C5321" s="5">
        <f>DATE(2012,12,31)-1402</f>
        <v>39872</v>
      </c>
      <c r="D5321" s="4" t="s">
        <v>78</v>
      </c>
      <c r="E5321" s="4">
        <v>46.0</v>
      </c>
      <c r="F5321" s="4">
        <v>1419.83</v>
      </c>
      <c r="G5321" s="4">
        <v>0.07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8">C5321+1</f>
        <v>39873</v>
      </c>
    </row>
    <row r="5322" ht="12.75" customHeight="1">
      <c r="A5322" s="4">
        <v>8127.0</v>
      </c>
      <c r="B5322" s="4">
        <v>58086.0</v>
      </c>
      <c r="C5322" s="5">
        <f t="shared" ref="C5322:C5323" si="2229">DATE(2012,12,31)-662</f>
        <v>40612</v>
      </c>
      <c r="D5322" s="4" t="s">
        <v>63</v>
      </c>
      <c r="E5322" s="4">
        <v>27.0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8"/>
        <v>40613</v>
      </c>
    </row>
    <row r="5323" ht="12.75" customHeight="1">
      <c r="A5323" s="4">
        <v>8128.0</v>
      </c>
      <c r="B5323" s="4">
        <v>58086.0</v>
      </c>
      <c r="C5323" s="5">
        <f t="shared" si="2229"/>
        <v>40612</v>
      </c>
      <c r="D5323" s="4" t="s">
        <v>63</v>
      </c>
      <c r="E5323" s="4">
        <v>31.0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8"/>
        <v>40613</v>
      </c>
    </row>
    <row r="5324" ht="12.75" customHeight="1">
      <c r="A5324" s="4">
        <v>8141.0</v>
      </c>
      <c r="B5324" s="4">
        <v>58182.0</v>
      </c>
      <c r="C5324" s="5">
        <f>DATE(2012,12,31)-1410</f>
        <v>39864</v>
      </c>
      <c r="D5324" s="4" t="s">
        <v>30</v>
      </c>
      <c r="E5324" s="4">
        <v>24.0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ht="12.75" customHeight="1">
      <c r="A5325" s="4">
        <v>8160.0</v>
      </c>
      <c r="B5325" s="4">
        <v>58342.0</v>
      </c>
      <c r="C5325" s="5">
        <f>DATE(2012,12,31)-640</f>
        <v>40634</v>
      </c>
      <c r="D5325" s="4" t="s">
        <v>30</v>
      </c>
      <c r="E5325" s="4">
        <v>40.0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ht="12.75" customHeight="1">
      <c r="A5326" s="4">
        <v>8279.0</v>
      </c>
      <c r="B5326" s="4">
        <v>59174.0</v>
      </c>
      <c r="C5326" s="5">
        <f>DATE(2012,12,31)-1095</f>
        <v>40179</v>
      </c>
      <c r="D5326" s="4" t="s">
        <v>63</v>
      </c>
      <c r="E5326" s="4">
        <v>6.0</v>
      </c>
      <c r="F5326" s="4">
        <v>1193.1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30">C5326+2</f>
        <v>40181</v>
      </c>
    </row>
    <row r="5327" ht="12.75" customHeight="1">
      <c r="A5327" s="4">
        <v>8308.0</v>
      </c>
      <c r="B5327" s="4">
        <v>59361.0</v>
      </c>
      <c r="C5327" s="5">
        <f>DATE(2012,12,31)-124</f>
        <v>41150</v>
      </c>
      <c r="D5327" s="4" t="s">
        <v>30</v>
      </c>
      <c r="E5327" s="4">
        <v>45.0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30"/>
        <v>41152</v>
      </c>
    </row>
    <row r="5328" ht="12.75" customHeight="1">
      <c r="A5328" s="4">
        <v>8310.0</v>
      </c>
      <c r="B5328" s="4">
        <v>59365.0</v>
      </c>
      <c r="C5328" s="5">
        <f>DATE(2012,12,31)-1120</f>
        <v>40154</v>
      </c>
      <c r="D5328" s="4" t="s">
        <v>63</v>
      </c>
      <c r="E5328" s="4">
        <v>1.0</v>
      </c>
      <c r="F5328" s="4">
        <v>534.3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30"/>
        <v>40156</v>
      </c>
    </row>
    <row r="5329" ht="12.75" customHeight="1">
      <c r="A5329" s="4">
        <v>8326.0</v>
      </c>
      <c r="B5329" s="4">
        <v>59492.0</v>
      </c>
      <c r="C5329" s="5">
        <f>DATE(2012,12,31)-61</f>
        <v>41213</v>
      </c>
      <c r="D5329" s="4" t="s">
        <v>45</v>
      </c>
      <c r="E5329" s="4">
        <v>25.0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ht="12.75" customHeight="1">
      <c r="A5330" s="4">
        <v>8350.0</v>
      </c>
      <c r="B5330" s="4">
        <v>59684.0</v>
      </c>
      <c r="C5330" s="5">
        <f t="shared" ref="C5330:C5333" si="2231">DATE(2012,12,31)-733</f>
        <v>40541</v>
      </c>
      <c r="D5330" s="4" t="s">
        <v>63</v>
      </c>
      <c r="E5330" s="4">
        <v>50.0</v>
      </c>
      <c r="F5330" s="4">
        <v>9059.9</v>
      </c>
      <c r="G5330" s="4">
        <v>0.07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0.57</v>
      </c>
      <c r="U5330" s="5">
        <f>C5330+17</f>
        <v>40558</v>
      </c>
    </row>
    <row r="5331" ht="12.75" customHeight="1">
      <c r="A5331" s="4">
        <v>8351.0</v>
      </c>
      <c r="B5331" s="4">
        <v>59684.0</v>
      </c>
      <c r="C5331" s="5">
        <f t="shared" si="2231"/>
        <v>40541</v>
      </c>
      <c r="D5331" s="4" t="s">
        <v>63</v>
      </c>
      <c r="E5331" s="4">
        <v>41.0</v>
      </c>
      <c r="F5331" s="4">
        <v>368.17</v>
      </c>
      <c r="G5331" s="4">
        <v>0.0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ht="12.75" customHeight="1">
      <c r="A5332" s="4">
        <v>8352.0</v>
      </c>
      <c r="B5332" s="4">
        <v>59684.0</v>
      </c>
      <c r="C5332" s="5">
        <f t="shared" si="2231"/>
        <v>40541</v>
      </c>
      <c r="D5332" s="4" t="s">
        <v>63</v>
      </c>
      <c r="E5332" s="4">
        <v>3.0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2.26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ht="12.75" customHeight="1">
      <c r="A5333" s="4">
        <v>8353.0</v>
      </c>
      <c r="B5333" s="4">
        <v>59684.0</v>
      </c>
      <c r="C5333" s="5">
        <f t="shared" si="2231"/>
        <v>40541</v>
      </c>
      <c r="D5333" s="4" t="s">
        <v>63</v>
      </c>
      <c r="E5333" s="4">
        <v>25.0</v>
      </c>
      <c r="F5333" s="4">
        <v>168.39</v>
      </c>
      <c r="G5333" s="4">
        <v>0.03</v>
      </c>
      <c r="H5333" s="4" t="s">
        <v>22</v>
      </c>
      <c r="I5333" s="6">
        <v>-144.89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2">C5333+1</f>
        <v>40542</v>
      </c>
    </row>
    <row r="5334" ht="12.75" customHeight="1">
      <c r="A5334" s="4">
        <v>38.0</v>
      </c>
      <c r="B5334" s="4">
        <v>229.0</v>
      </c>
      <c r="C5334" s="5">
        <f>DATE(2012,12,31)-734</f>
        <v>40540</v>
      </c>
      <c r="D5334" s="4" t="s">
        <v>78</v>
      </c>
      <c r="E5334" s="4">
        <v>24.0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2"/>
        <v>40541</v>
      </c>
    </row>
    <row r="5335" ht="12.75" customHeight="1">
      <c r="A5335" s="4">
        <v>82.0</v>
      </c>
      <c r="B5335" s="4">
        <v>512.0</v>
      </c>
      <c r="C5335" s="5">
        <f t="shared" ref="C5335:C5336" si="2233">DATE(2012,12,31)-592</f>
        <v>40682</v>
      </c>
      <c r="D5335" s="4" t="s">
        <v>21</v>
      </c>
      <c r="E5335" s="4">
        <v>6.0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18.06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0.57</v>
      </c>
      <c r="U5335" s="5">
        <f>C5335+0</f>
        <v>40682</v>
      </c>
    </row>
    <row r="5336" ht="12.75" customHeight="1">
      <c r="A5336" s="4">
        <v>83.0</v>
      </c>
      <c r="B5336" s="4">
        <v>512.0</v>
      </c>
      <c r="C5336" s="5">
        <f t="shared" si="2233"/>
        <v>40682</v>
      </c>
      <c r="D5336" s="4" t="s">
        <v>21</v>
      </c>
      <c r="E5336" s="4">
        <v>48.0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0.58</v>
      </c>
      <c r="U5336" s="5">
        <f t="shared" ref="U5336:U5338" si="2234">C5336+2</f>
        <v>40684</v>
      </c>
    </row>
    <row r="5337" ht="12.75" customHeight="1">
      <c r="A5337" s="4">
        <v>197.0</v>
      </c>
      <c r="B5337" s="4">
        <v>1287.0</v>
      </c>
      <c r="C5337" s="5">
        <f>DATE(2012,12,31)-1276</f>
        <v>39998</v>
      </c>
      <c r="D5337" s="4" t="s">
        <v>30</v>
      </c>
      <c r="E5337" s="4">
        <v>39.0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10.12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4"/>
        <v>40000</v>
      </c>
    </row>
    <row r="5338" ht="12.75" customHeight="1">
      <c r="A5338" s="4">
        <v>277.0</v>
      </c>
      <c r="B5338" s="4">
        <v>1895.0</v>
      </c>
      <c r="C5338" s="5">
        <f>DATE(2012,12,31)-1312</f>
        <v>39962</v>
      </c>
      <c r="D5338" s="4" t="s">
        <v>63</v>
      </c>
      <c r="E5338" s="4">
        <v>5.0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4"/>
        <v>39964</v>
      </c>
    </row>
    <row r="5339" ht="12.75" customHeight="1">
      <c r="A5339" s="4">
        <v>290.0</v>
      </c>
      <c r="B5339" s="4">
        <v>2023.0</v>
      </c>
      <c r="C5339" s="5">
        <f t="shared" ref="C5339:C5340" si="2235">DATE(2012,12,31)-240</f>
        <v>41034</v>
      </c>
      <c r="D5339" s="4" t="s">
        <v>21</v>
      </c>
      <c r="E5339" s="4">
        <v>4.0</v>
      </c>
      <c r="F5339" s="4">
        <v>294.89</v>
      </c>
      <c r="G5339" s="4">
        <v>0.09</v>
      </c>
      <c r="H5339" s="4" t="s">
        <v>22</v>
      </c>
      <c r="I5339" s="6">
        <v>-321.84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ht="12.75" customHeight="1">
      <c r="A5340" s="4">
        <v>291.0</v>
      </c>
      <c r="B5340" s="4">
        <v>2023.0</v>
      </c>
      <c r="C5340" s="5">
        <f t="shared" si="2235"/>
        <v>41034</v>
      </c>
      <c r="D5340" s="4" t="s">
        <v>21</v>
      </c>
      <c r="E5340" s="4">
        <v>50.0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6">C5340+2</f>
        <v>41036</v>
      </c>
    </row>
    <row r="5341" ht="12.75" customHeight="1">
      <c r="A5341" s="4">
        <v>372.0</v>
      </c>
      <c r="B5341" s="4">
        <v>2593.0</v>
      </c>
      <c r="C5341" s="5">
        <f t="shared" ref="C5341:C5342" si="2237">DATE(2012,12,31)-850</f>
        <v>40424</v>
      </c>
      <c r="D5341" s="4" t="s">
        <v>30</v>
      </c>
      <c r="E5341" s="4">
        <v>5.0</v>
      </c>
      <c r="F5341" s="4">
        <v>2004.12</v>
      </c>
      <c r="G5341" s="4">
        <v>0.1</v>
      </c>
      <c r="H5341" s="4" t="s">
        <v>56</v>
      </c>
      <c r="I5341" s="6">
        <v>276.675</v>
      </c>
      <c r="J5341" s="4">
        <v>420.98</v>
      </c>
      <c r="K5341" s="4">
        <v>19.99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6"/>
        <v>40426</v>
      </c>
    </row>
    <row r="5342" ht="12.75" customHeight="1">
      <c r="A5342" s="4">
        <v>373.0</v>
      </c>
      <c r="B5342" s="4">
        <v>2593.0</v>
      </c>
      <c r="C5342" s="5">
        <f t="shared" si="2237"/>
        <v>40424</v>
      </c>
      <c r="D5342" s="4" t="s">
        <v>30</v>
      </c>
      <c r="E5342" s="4">
        <v>15.0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</v>
      </c>
      <c r="U5342" s="5">
        <f>C5342+1</f>
        <v>40425</v>
      </c>
    </row>
    <row r="5343" ht="12.75" customHeight="1">
      <c r="A5343" s="4">
        <v>501.0</v>
      </c>
      <c r="B5343" s="4">
        <v>3461.0</v>
      </c>
      <c r="C5343" s="5">
        <f t="shared" ref="C5343:C5344" si="2238">DATE(2012,12,31)-1066</f>
        <v>40208</v>
      </c>
      <c r="D5343" s="4" t="s">
        <v>78</v>
      </c>
      <c r="E5343" s="4">
        <v>47.0</v>
      </c>
      <c r="F5343" s="4">
        <v>2053.379</v>
      </c>
      <c r="G5343" s="4">
        <v>0.1</v>
      </c>
      <c r="H5343" s="4" t="s">
        <v>22</v>
      </c>
      <c r="I5343" s="6">
        <v>1040.4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9">C5343+2</f>
        <v>40210</v>
      </c>
    </row>
    <row r="5344" ht="12.75" customHeight="1">
      <c r="A5344" s="4">
        <v>502.0</v>
      </c>
      <c r="B5344" s="4">
        <v>3461.0</v>
      </c>
      <c r="C5344" s="5">
        <f t="shared" si="2238"/>
        <v>40208</v>
      </c>
      <c r="D5344" s="4" t="s">
        <v>78</v>
      </c>
      <c r="E5344" s="4">
        <v>35.0</v>
      </c>
      <c r="F5344" s="4">
        <v>3206.3955</v>
      </c>
      <c r="G5344" s="4">
        <v>0.08</v>
      </c>
      <c r="H5344" s="4" t="s">
        <v>22</v>
      </c>
      <c r="I5344" s="6">
        <v>784.773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</v>
      </c>
      <c r="U5344" s="5">
        <f t="shared" si="2239"/>
        <v>40210</v>
      </c>
    </row>
    <row r="5345" ht="12.75" customHeight="1">
      <c r="A5345" s="4">
        <v>517.0</v>
      </c>
      <c r="B5345" s="4">
        <v>3554.0</v>
      </c>
      <c r="C5345" s="5">
        <f>DATE(2012,12,31)-564</f>
        <v>40710</v>
      </c>
      <c r="D5345" s="4" t="s">
        <v>21</v>
      </c>
      <c r="E5345" s="4">
        <v>25.0</v>
      </c>
      <c r="F5345" s="4">
        <v>288.91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ht="12.75" customHeight="1">
      <c r="A5346" s="4">
        <v>610.0</v>
      </c>
      <c r="B5346" s="4">
        <v>4166.0</v>
      </c>
      <c r="C5346" s="5">
        <f>DATE(2012,12,31)-1038</f>
        <v>40236</v>
      </c>
      <c r="D5346" s="4" t="s">
        <v>21</v>
      </c>
      <c r="E5346" s="4">
        <v>19.0</v>
      </c>
      <c r="F5346" s="4">
        <v>138.85</v>
      </c>
      <c r="G5346" s="4">
        <v>0.08</v>
      </c>
      <c r="H5346" s="4" t="s">
        <v>22</v>
      </c>
      <c r="I5346" s="6">
        <v>-49.3465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ht="12.75" customHeight="1">
      <c r="A5347" s="4">
        <v>712.0</v>
      </c>
      <c r="B5347" s="4">
        <v>5059.0</v>
      </c>
      <c r="C5347" s="5">
        <f>DATE(2012,12,31)-783</f>
        <v>40491</v>
      </c>
      <c r="D5347" s="4" t="s">
        <v>30</v>
      </c>
      <c r="E5347" s="4">
        <v>5.0</v>
      </c>
      <c r="F5347" s="4">
        <v>41.18</v>
      </c>
      <c r="G5347" s="4">
        <v>0.1</v>
      </c>
      <c r="H5347" s="4" t="s">
        <v>56</v>
      </c>
      <c r="I5347" s="6">
        <v>-19.3085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40">C5347+2</f>
        <v>40493</v>
      </c>
    </row>
    <row r="5348" ht="12.75" customHeight="1">
      <c r="A5348" s="4">
        <v>730.0</v>
      </c>
      <c r="B5348" s="4">
        <v>5254.0</v>
      </c>
      <c r="C5348" s="5">
        <f>DATE(2012,12,31)-159</f>
        <v>41115</v>
      </c>
      <c r="D5348" s="4" t="s">
        <v>45</v>
      </c>
      <c r="E5348" s="4">
        <v>31.0</v>
      </c>
      <c r="F5348" s="4">
        <v>1735.3515</v>
      </c>
      <c r="G5348" s="4">
        <v>0.08</v>
      </c>
      <c r="H5348" s="4" t="s">
        <v>22</v>
      </c>
      <c r="I5348" s="6">
        <v>258.624</v>
      </c>
      <c r="J5348" s="4">
        <v>65.99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</v>
      </c>
      <c r="U5348" s="5">
        <f t="shared" si="2240"/>
        <v>41117</v>
      </c>
    </row>
    <row r="5349" ht="12.75" customHeight="1">
      <c r="A5349" s="4">
        <v>784.0</v>
      </c>
      <c r="B5349" s="4">
        <v>5575.0</v>
      </c>
      <c r="C5349" s="5">
        <f>DATE(2012,12,31)-527</f>
        <v>40747</v>
      </c>
      <c r="D5349" s="4" t="s">
        <v>21</v>
      </c>
      <c r="E5349" s="4">
        <v>41.0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ht="12.75" customHeight="1">
      <c r="A5350" s="4">
        <v>823.0</v>
      </c>
      <c r="B5350" s="4">
        <v>5954.0</v>
      </c>
      <c r="C5350" s="5">
        <f>DATE(2012,12,31)-29</f>
        <v>41245</v>
      </c>
      <c r="D5350" s="4" t="s">
        <v>78</v>
      </c>
      <c r="E5350" s="4">
        <v>32.0</v>
      </c>
      <c r="F5350" s="4">
        <v>18316.3</v>
      </c>
      <c r="G5350" s="4">
        <v>0.06</v>
      </c>
      <c r="H5350" s="4" t="s">
        <v>31</v>
      </c>
      <c r="I5350" s="6">
        <v>4569.06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0.57</v>
      </c>
      <c r="U5350" s="5">
        <f t="shared" ref="U5350:U5351" si="2241">C5350+2</f>
        <v>41247</v>
      </c>
    </row>
    <row r="5351" ht="12.75" customHeight="1">
      <c r="A5351" s="4">
        <v>840.0</v>
      </c>
      <c r="B5351" s="4">
        <v>6018.0</v>
      </c>
      <c r="C5351" s="5">
        <f t="shared" ref="C5351:C5352" si="2242">DATE(2012,12,31)-135</f>
        <v>41139</v>
      </c>
      <c r="D5351" s="4" t="s">
        <v>21</v>
      </c>
      <c r="E5351" s="4">
        <v>39.0</v>
      </c>
      <c r="F5351" s="4">
        <v>206.09</v>
      </c>
      <c r="G5351" s="4">
        <v>0.0</v>
      </c>
      <c r="H5351" s="4" t="s">
        <v>22</v>
      </c>
      <c r="I5351" s="6">
        <v>36.04</v>
      </c>
      <c r="J5351" s="4">
        <v>5.08</v>
      </c>
      <c r="K5351" s="4">
        <v>2.03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1"/>
        <v>41141</v>
      </c>
    </row>
    <row r="5352" ht="12.75" customHeight="1">
      <c r="A5352" s="4">
        <v>841.0</v>
      </c>
      <c r="B5352" s="4">
        <v>6018.0</v>
      </c>
      <c r="C5352" s="5">
        <f t="shared" si="2242"/>
        <v>41139</v>
      </c>
      <c r="D5352" s="4" t="s">
        <v>21</v>
      </c>
      <c r="E5352" s="4">
        <v>2.0</v>
      </c>
      <c r="F5352" s="4">
        <v>124.25</v>
      </c>
      <c r="G5352" s="4">
        <v>0.07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ht="12.75" customHeight="1">
      <c r="A5353" s="4">
        <v>881.0</v>
      </c>
      <c r="B5353" s="4">
        <v>6336.0</v>
      </c>
      <c r="C5353" s="5">
        <f>DATE(2012,12,31)-491</f>
        <v>40783</v>
      </c>
      <c r="D5353" s="4" t="s">
        <v>30</v>
      </c>
      <c r="E5353" s="4">
        <v>43.0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3">C5353+2</f>
        <v>40785</v>
      </c>
    </row>
    <row r="5354" ht="12.75" customHeight="1">
      <c r="A5354" s="4">
        <v>1037.0</v>
      </c>
      <c r="B5354" s="4">
        <v>7559.0</v>
      </c>
      <c r="C5354" s="5">
        <f t="shared" ref="C5354:C5355" si="2244">DATE(2012,12,31)-811</f>
        <v>40463</v>
      </c>
      <c r="D5354" s="4" t="s">
        <v>78</v>
      </c>
      <c r="E5354" s="4">
        <v>9.0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</v>
      </c>
      <c r="K5354" s="4">
        <v>49.0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3"/>
        <v>40465</v>
      </c>
    </row>
    <row r="5355" ht="12.75" customHeight="1">
      <c r="A5355" s="4">
        <v>1038.0</v>
      </c>
      <c r="B5355" s="4">
        <v>7559.0</v>
      </c>
      <c r="C5355" s="5">
        <f t="shared" si="2244"/>
        <v>40463</v>
      </c>
      <c r="D5355" s="4" t="s">
        <v>78</v>
      </c>
      <c r="E5355" s="4">
        <v>39.0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ht="12.75" customHeight="1">
      <c r="A5356" s="4">
        <v>1091.0</v>
      </c>
      <c r="B5356" s="4">
        <v>8007.0</v>
      </c>
      <c r="C5356" s="5">
        <f>DATE(2012,12,31)-324</f>
        <v>40950</v>
      </c>
      <c r="D5356" s="4" t="s">
        <v>21</v>
      </c>
      <c r="E5356" s="4">
        <v>35.0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19.99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ht="12.75" customHeight="1">
      <c r="A5357" s="4">
        <v>1100.0</v>
      </c>
      <c r="B5357" s="4">
        <v>8070.0</v>
      </c>
      <c r="C5357" s="5">
        <f>DATE(2012,12,31)-338</f>
        <v>40936</v>
      </c>
      <c r="D5357" s="4" t="s">
        <v>63</v>
      </c>
      <c r="E5357" s="4">
        <v>14.0</v>
      </c>
      <c r="F5357" s="4">
        <v>622.72</v>
      </c>
      <c r="G5357" s="4">
        <v>0.0</v>
      </c>
      <c r="H5357" s="4" t="s">
        <v>22</v>
      </c>
      <c r="I5357" s="6">
        <v>76.51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ht="12.75" customHeight="1">
      <c r="A5358" s="4">
        <v>1131.0</v>
      </c>
      <c r="B5358" s="4">
        <v>8259.0</v>
      </c>
      <c r="C5358" s="5">
        <f>DATE(2012,12,31)-1353</f>
        <v>39921</v>
      </c>
      <c r="D5358" s="4" t="s">
        <v>63</v>
      </c>
      <c r="E5358" s="4">
        <v>25.0</v>
      </c>
      <c r="F5358" s="4">
        <v>2130.22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42.0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ht="12.75" customHeight="1">
      <c r="A5359" s="4">
        <v>1180.0</v>
      </c>
      <c r="B5359" s="4">
        <v>8642.0</v>
      </c>
      <c r="C5359" s="5">
        <f t="shared" ref="C5359:C5360" si="2245">DATE(2012,12,31)-1080</f>
        <v>40194</v>
      </c>
      <c r="D5359" s="4" t="s">
        <v>30</v>
      </c>
      <c r="E5359" s="4">
        <v>26.0</v>
      </c>
      <c r="F5359" s="4">
        <v>151.05</v>
      </c>
      <c r="G5359" s="4">
        <v>0.09</v>
      </c>
      <c r="H5359" s="4" t="s">
        <v>22</v>
      </c>
      <c r="I5359" s="6">
        <v>-76.1415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6">C5359+1</f>
        <v>40195</v>
      </c>
    </row>
    <row r="5360" ht="12.75" customHeight="1">
      <c r="A5360" s="4">
        <v>1181.0</v>
      </c>
      <c r="B5360" s="4">
        <v>8642.0</v>
      </c>
      <c r="C5360" s="5">
        <f t="shared" si="2245"/>
        <v>40194</v>
      </c>
      <c r="D5360" s="4" t="s">
        <v>30</v>
      </c>
      <c r="E5360" s="4">
        <v>13.0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6"/>
        <v>40195</v>
      </c>
    </row>
    <row r="5361" ht="12.75" customHeight="1">
      <c r="A5361" s="4">
        <v>1200.0</v>
      </c>
      <c r="B5361" s="4">
        <v>8803.0</v>
      </c>
      <c r="C5361" s="5">
        <f t="shared" ref="C5361:C5362" si="2247">DATE(2012,12,31)-11</f>
        <v>41263</v>
      </c>
      <c r="D5361" s="4" t="s">
        <v>45</v>
      </c>
      <c r="E5361" s="4">
        <v>6.0</v>
      </c>
      <c r="F5361" s="4">
        <v>1184.11</v>
      </c>
      <c r="G5361" s="4">
        <v>0.07</v>
      </c>
      <c r="H5361" s="4" t="s">
        <v>22</v>
      </c>
      <c r="I5361" s="6">
        <v>-145.07</v>
      </c>
      <c r="J5361" s="4">
        <v>193.17</v>
      </c>
      <c r="K5361" s="4">
        <v>19.99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6"/>
        <v>41264</v>
      </c>
    </row>
    <row r="5362" ht="12.75" customHeight="1">
      <c r="A5362" s="4">
        <v>1201.0</v>
      </c>
      <c r="B5362" s="4">
        <v>8803.0</v>
      </c>
      <c r="C5362" s="5">
        <f t="shared" si="2247"/>
        <v>41263</v>
      </c>
      <c r="D5362" s="4" t="s">
        <v>45</v>
      </c>
      <c r="E5362" s="4">
        <v>17.0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ht="12.75" customHeight="1">
      <c r="A5363" s="4">
        <v>1287.0</v>
      </c>
      <c r="B5363" s="4">
        <v>9383.0</v>
      </c>
      <c r="C5363" s="5">
        <f>DATE(2012,12,31)-1386</f>
        <v>39888</v>
      </c>
      <c r="D5363" s="4" t="s">
        <v>45</v>
      </c>
      <c r="E5363" s="4">
        <v>11.0</v>
      </c>
      <c r="F5363" s="4">
        <v>82.42</v>
      </c>
      <c r="G5363" s="4">
        <v>0.07</v>
      </c>
      <c r="H5363" s="4" t="s">
        <v>22</v>
      </c>
      <c r="I5363" s="6">
        <v>18.53</v>
      </c>
      <c r="J5363" s="4">
        <v>7.59</v>
      </c>
      <c r="K5363" s="4">
        <v>4.0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ht="12.75" customHeight="1">
      <c r="A5364" s="4">
        <v>1418.0</v>
      </c>
      <c r="B5364" s="4">
        <v>10278.0</v>
      </c>
      <c r="C5364" s="5">
        <f>DATE(2012,12,31)-476</f>
        <v>40798</v>
      </c>
      <c r="D5364" s="4" t="s">
        <v>21</v>
      </c>
      <c r="E5364" s="4">
        <v>25.0</v>
      </c>
      <c r="F5364" s="4">
        <v>1907.71</v>
      </c>
      <c r="G5364" s="4">
        <v>0.0</v>
      </c>
      <c r="H5364" s="4" t="s">
        <v>31</v>
      </c>
      <c r="I5364" s="6">
        <v>32.55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ht="12.75" customHeight="1">
      <c r="A5365" s="4">
        <v>1515.0</v>
      </c>
      <c r="B5365" s="4">
        <v>10949.0</v>
      </c>
      <c r="C5365" s="5">
        <f>DATE(2012,12,31)-1372</f>
        <v>39902</v>
      </c>
      <c r="D5365" s="4" t="s">
        <v>63</v>
      </c>
      <c r="E5365" s="4">
        <v>46.0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8">C5365+1</f>
        <v>39903</v>
      </c>
    </row>
    <row r="5366" ht="12.75" customHeight="1">
      <c r="A5366" s="4">
        <v>1569.0</v>
      </c>
      <c r="B5366" s="4">
        <v>11335.0</v>
      </c>
      <c r="C5366" s="5">
        <f t="shared" ref="C5366:C5367" si="2249">DATE(2012,12,31)-1167</f>
        <v>40107</v>
      </c>
      <c r="D5366" s="4" t="s">
        <v>30</v>
      </c>
      <c r="E5366" s="4">
        <v>3.0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8"/>
        <v>40108</v>
      </c>
    </row>
    <row r="5367" ht="12.75" customHeight="1">
      <c r="A5367" s="4">
        <v>1570.0</v>
      </c>
      <c r="B5367" s="4">
        <v>11335.0</v>
      </c>
      <c r="C5367" s="5">
        <f t="shared" si="2249"/>
        <v>40107</v>
      </c>
      <c r="D5367" s="4" t="s">
        <v>30</v>
      </c>
      <c r="E5367" s="4">
        <v>8.0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14.0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ht="12.75" customHeight="1">
      <c r="A5368" s="4">
        <v>1719.0</v>
      </c>
      <c r="B5368" s="4">
        <v>12355.0</v>
      </c>
      <c r="C5368" s="5">
        <f t="shared" ref="C5368:C5369" si="2250">DATE(2012,12,31)-583</f>
        <v>40691</v>
      </c>
      <c r="D5368" s="4" t="s">
        <v>45</v>
      </c>
      <c r="E5368" s="4">
        <v>36.0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1">C5368+1</f>
        <v>40692</v>
      </c>
    </row>
    <row r="5369" ht="12.75" customHeight="1">
      <c r="A5369" s="4">
        <v>1720.0</v>
      </c>
      <c r="B5369" s="4">
        <v>12355.0</v>
      </c>
      <c r="C5369" s="5">
        <f t="shared" si="2250"/>
        <v>40691</v>
      </c>
      <c r="D5369" s="4" t="s">
        <v>45</v>
      </c>
      <c r="E5369" s="4">
        <v>14.0</v>
      </c>
      <c r="F5369" s="4">
        <v>225.47</v>
      </c>
      <c r="G5369" s="4">
        <v>0.0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0.57</v>
      </c>
      <c r="U5369" s="5">
        <f t="shared" si="2251"/>
        <v>40692</v>
      </c>
    </row>
    <row r="5370" ht="12.75" customHeight="1">
      <c r="A5370" s="4">
        <v>1834.0</v>
      </c>
      <c r="B5370" s="4">
        <v>13127.0</v>
      </c>
      <c r="C5370" s="5">
        <f>DATE(2012,12,31)-884</f>
        <v>40390</v>
      </c>
      <c r="D5370" s="4" t="s">
        <v>63</v>
      </c>
      <c r="E5370" s="4">
        <v>13.0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60.0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ht="12.75" customHeight="1">
      <c r="A5371" s="4">
        <v>2092.0</v>
      </c>
      <c r="B5371" s="4">
        <v>14978.0</v>
      </c>
      <c r="C5371" s="5">
        <f t="shared" ref="C5371:C5372" si="2252">DATE(2012,12,31)-949</f>
        <v>40325</v>
      </c>
      <c r="D5371" s="4" t="s">
        <v>78</v>
      </c>
      <c r="E5371" s="4">
        <v>14.0</v>
      </c>
      <c r="F5371" s="4">
        <v>12043.88</v>
      </c>
      <c r="G5371" s="4">
        <v>0.07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3">C5371+1</f>
        <v>40326</v>
      </c>
    </row>
    <row r="5372" ht="12.75" customHeight="1">
      <c r="A5372" s="4">
        <v>2093.0</v>
      </c>
      <c r="B5372" s="4">
        <v>14978.0</v>
      </c>
      <c r="C5372" s="5">
        <f t="shared" si="2252"/>
        <v>40325</v>
      </c>
      <c r="D5372" s="4" t="s">
        <v>78</v>
      </c>
      <c r="E5372" s="4">
        <v>14.0</v>
      </c>
      <c r="F5372" s="4">
        <v>195.12</v>
      </c>
      <c r="G5372" s="4">
        <v>0.0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3"/>
        <v>40326</v>
      </c>
    </row>
    <row r="5373" ht="12.75" customHeight="1">
      <c r="A5373" s="4">
        <v>2187.0</v>
      </c>
      <c r="B5373" s="4">
        <v>15751.0</v>
      </c>
      <c r="C5373" s="5">
        <f t="shared" ref="C5373:C5374" si="2254">DATE(2012,12,31)-1234</f>
        <v>40040</v>
      </c>
      <c r="D5373" s="4" t="s">
        <v>78</v>
      </c>
      <c r="E5373" s="4">
        <v>37.0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3"/>
        <v>40041</v>
      </c>
    </row>
    <row r="5374" ht="12.75" customHeight="1">
      <c r="A5374" s="4">
        <v>2188.0</v>
      </c>
      <c r="B5374" s="4">
        <v>15751.0</v>
      </c>
      <c r="C5374" s="5">
        <f t="shared" si="2254"/>
        <v>40040</v>
      </c>
      <c r="D5374" s="4" t="s">
        <v>78</v>
      </c>
      <c r="E5374" s="4">
        <v>21.0</v>
      </c>
      <c r="F5374" s="4">
        <v>397.732</v>
      </c>
      <c r="G5374" s="4">
        <v>0.01</v>
      </c>
      <c r="H5374" s="4" t="s">
        <v>22</v>
      </c>
      <c r="I5374" s="6">
        <v>-26.048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3"/>
        <v>40041</v>
      </c>
    </row>
    <row r="5375" ht="12.75" customHeight="1">
      <c r="A5375" s="4">
        <v>2197.0</v>
      </c>
      <c r="B5375" s="4">
        <v>15815.0</v>
      </c>
      <c r="C5375" s="5">
        <f t="shared" ref="C5375:C5376" si="2255">DATE(2012,12,31)-1340</f>
        <v>39934</v>
      </c>
      <c r="D5375" s="4" t="s">
        <v>78</v>
      </c>
      <c r="E5375" s="4">
        <v>43.0</v>
      </c>
      <c r="F5375" s="4">
        <v>528.6</v>
      </c>
      <c r="G5375" s="4">
        <v>0.01</v>
      </c>
      <c r="H5375" s="4" t="s">
        <v>22</v>
      </c>
      <c r="I5375" s="6">
        <v>52.5895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ht="12.75" customHeight="1">
      <c r="A5376" s="4">
        <v>2198.0</v>
      </c>
      <c r="B5376" s="4">
        <v>15815.0</v>
      </c>
      <c r="C5376" s="5">
        <f t="shared" si="2255"/>
        <v>39934</v>
      </c>
      <c r="D5376" s="4" t="s">
        <v>78</v>
      </c>
      <c r="E5376" s="4">
        <v>24.0</v>
      </c>
      <c r="F5376" s="4">
        <v>107.41</v>
      </c>
      <c r="G5376" s="4">
        <v>0.03</v>
      </c>
      <c r="H5376" s="4" t="s">
        <v>22</v>
      </c>
      <c r="I5376" s="6">
        <v>20.6805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ht="12.75" customHeight="1">
      <c r="A5377" s="4">
        <v>2322.0</v>
      </c>
      <c r="B5377" s="4">
        <v>16737.0</v>
      </c>
      <c r="C5377" s="5">
        <f>DATE(2012,12,31)-560</f>
        <v>40714</v>
      </c>
      <c r="D5377" s="4" t="s">
        <v>45</v>
      </c>
      <c r="E5377" s="4">
        <v>15.0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19.99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6">C5377+1</f>
        <v>40715</v>
      </c>
    </row>
    <row r="5378" ht="12.75" customHeight="1">
      <c r="A5378" s="4">
        <v>2366.0</v>
      </c>
      <c r="B5378" s="4">
        <v>17124.0</v>
      </c>
      <c r="C5378" s="5">
        <f>DATE(2012,12,31)-1163</f>
        <v>40111</v>
      </c>
      <c r="D5378" s="4" t="s">
        <v>78</v>
      </c>
      <c r="E5378" s="4">
        <v>39.0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6"/>
        <v>40112</v>
      </c>
    </row>
    <row r="5379" ht="12.75" customHeight="1">
      <c r="A5379" s="4">
        <v>2429.0</v>
      </c>
      <c r="B5379" s="4">
        <v>17666.0</v>
      </c>
      <c r="C5379" s="5">
        <f t="shared" ref="C5379:C5380" si="2257">DATE(2012,12,31)-845</f>
        <v>40429</v>
      </c>
      <c r="D5379" s="4" t="s">
        <v>63</v>
      </c>
      <c r="E5379" s="4">
        <v>19.0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4.0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ht="12.75" customHeight="1">
      <c r="A5380" s="4">
        <v>2430.0</v>
      </c>
      <c r="B5380" s="4">
        <v>17666.0</v>
      </c>
      <c r="C5380" s="5">
        <f t="shared" si="2257"/>
        <v>40429</v>
      </c>
      <c r="D5380" s="4" t="s">
        <v>63</v>
      </c>
      <c r="E5380" s="4">
        <v>11.0</v>
      </c>
      <c r="F5380" s="4">
        <v>141.07</v>
      </c>
      <c r="G5380" s="4">
        <v>0.08</v>
      </c>
      <c r="H5380" s="4" t="s">
        <v>22</v>
      </c>
      <c r="I5380" s="6">
        <v>-5.1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ht="12.75" customHeight="1">
      <c r="A5381" s="4">
        <v>2636.0</v>
      </c>
      <c r="B5381" s="4">
        <v>19075.0</v>
      </c>
      <c r="C5381" s="5">
        <f>DATE(2012,12,31)-1192</f>
        <v>40082</v>
      </c>
      <c r="D5381" s="4" t="s">
        <v>78</v>
      </c>
      <c r="E5381" s="4">
        <v>36.0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ht="12.75" customHeight="1">
      <c r="A5382" s="4">
        <v>2927.0</v>
      </c>
      <c r="B5382" s="4">
        <v>21220.0</v>
      </c>
      <c r="C5382" s="5">
        <f>DATE(2012,12,31)-9</f>
        <v>41265</v>
      </c>
      <c r="D5382" s="4" t="s">
        <v>45</v>
      </c>
      <c r="E5382" s="4">
        <v>4.0</v>
      </c>
      <c r="F5382" s="4">
        <v>476.31</v>
      </c>
      <c r="G5382" s="4">
        <v>0.07</v>
      </c>
      <c r="H5382" s="4" t="s">
        <v>31</v>
      </c>
      <c r="I5382" s="6">
        <v>-258.0768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ht="12.75" customHeight="1">
      <c r="A5383" s="4">
        <v>2991.0</v>
      </c>
      <c r="B5383" s="4">
        <v>21600.0</v>
      </c>
      <c r="C5383" s="5">
        <f>DATE(2012,12,31)-1002</f>
        <v>40272</v>
      </c>
      <c r="D5383" s="4" t="s">
        <v>21</v>
      </c>
      <c r="E5383" s="4">
        <v>17.0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ht="12.75" customHeight="1">
      <c r="A5384" s="4">
        <v>3082.0</v>
      </c>
      <c r="B5384" s="4">
        <v>22117.0</v>
      </c>
      <c r="C5384" s="5">
        <f t="shared" ref="C5384:C5385" si="2258">DATE(2012,12,31)-872</f>
        <v>40402</v>
      </c>
      <c r="D5384" s="4" t="s">
        <v>78</v>
      </c>
      <c r="E5384" s="4">
        <v>16.0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ht="12.75" customHeight="1">
      <c r="A5385" s="4">
        <v>3083.0</v>
      </c>
      <c r="B5385" s="4">
        <v>22117.0</v>
      </c>
      <c r="C5385" s="5">
        <f t="shared" si="2258"/>
        <v>40402</v>
      </c>
      <c r="D5385" s="4" t="s">
        <v>78</v>
      </c>
      <c r="E5385" s="4">
        <v>5.0</v>
      </c>
      <c r="F5385" s="4">
        <v>19.17</v>
      </c>
      <c r="G5385" s="4">
        <v>0.1</v>
      </c>
      <c r="H5385" s="4" t="s">
        <v>22</v>
      </c>
      <c r="I5385" s="6">
        <v>-16.42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</v>
      </c>
      <c r="U5385" s="5">
        <f>C5385+3</f>
        <v>40405</v>
      </c>
    </row>
    <row r="5386" ht="12.75" customHeight="1">
      <c r="A5386" s="4">
        <v>3099.0</v>
      </c>
      <c r="B5386" s="4">
        <v>22211.0</v>
      </c>
      <c r="C5386" s="5">
        <f t="shared" ref="C5386:C5387" si="2259">DATE(2012,12,31)-455</f>
        <v>40819</v>
      </c>
      <c r="D5386" s="4" t="s">
        <v>45</v>
      </c>
      <c r="E5386" s="4">
        <v>30.0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19.99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ht="12.75" customHeight="1">
      <c r="A5387" s="4">
        <v>3100.0</v>
      </c>
      <c r="B5387" s="4">
        <v>22211.0</v>
      </c>
      <c r="C5387" s="5">
        <f t="shared" si="2259"/>
        <v>40819</v>
      </c>
      <c r="D5387" s="4" t="s">
        <v>45</v>
      </c>
      <c r="E5387" s="4">
        <v>47.0</v>
      </c>
      <c r="F5387" s="4">
        <v>14493.84</v>
      </c>
      <c r="G5387" s="4">
        <v>0.0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ht="12.75" customHeight="1">
      <c r="A5388" s="4">
        <v>3119.0</v>
      </c>
      <c r="B5388" s="4">
        <v>22404.0</v>
      </c>
      <c r="C5388" s="5">
        <f>DATE(2012,12,31)-776</f>
        <v>40498</v>
      </c>
      <c r="D5388" s="4" t="s">
        <v>21</v>
      </c>
      <c r="E5388" s="4">
        <v>35.0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18.06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0.57</v>
      </c>
      <c r="U5388" s="5">
        <f>C5388+7</f>
        <v>40505</v>
      </c>
    </row>
    <row r="5389" ht="12.75" customHeight="1">
      <c r="A5389" s="4">
        <v>3266.0</v>
      </c>
      <c r="B5389" s="4">
        <v>23362.0</v>
      </c>
      <c r="C5389" s="5">
        <f>DATE(2012,12,31)-857</f>
        <v>40417</v>
      </c>
      <c r="D5389" s="4" t="s">
        <v>63</v>
      </c>
      <c r="E5389" s="4">
        <v>45.0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ht="12.75" customHeight="1">
      <c r="A5390" s="4">
        <v>3275.0</v>
      </c>
      <c r="B5390" s="4">
        <v>23399.0</v>
      </c>
      <c r="C5390" s="5">
        <f>DATE(2012,12,31)-733</f>
        <v>40541</v>
      </c>
      <c r="D5390" s="4" t="s">
        <v>30</v>
      </c>
      <c r="E5390" s="4">
        <v>14.0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ht="12.75" customHeight="1">
      <c r="A5391" s="4">
        <v>3326.0</v>
      </c>
      <c r="B5391" s="4">
        <v>23781.0</v>
      </c>
      <c r="C5391" s="5">
        <f>DATE(2012,12,31)-427</f>
        <v>40847</v>
      </c>
      <c r="D5391" s="4" t="s">
        <v>78</v>
      </c>
      <c r="E5391" s="4">
        <v>30.0</v>
      </c>
      <c r="F5391" s="4">
        <v>200.24</v>
      </c>
      <c r="G5391" s="4">
        <v>0.0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ht="12.75" customHeight="1">
      <c r="A5392" s="4">
        <v>3332.0</v>
      </c>
      <c r="B5392" s="4">
        <v>23812.0</v>
      </c>
      <c r="C5392" s="5">
        <f>DATE(2012,12,31)-157</f>
        <v>41117</v>
      </c>
      <c r="D5392" s="4" t="s">
        <v>78</v>
      </c>
      <c r="E5392" s="4">
        <v>32.0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ht="12.75" customHeight="1">
      <c r="A5393" s="4">
        <v>3399.0</v>
      </c>
      <c r="B5393" s="4">
        <v>24199.0</v>
      </c>
      <c r="C5393" s="5">
        <f>DATE(2012,12,31)-1294</f>
        <v>39980</v>
      </c>
      <c r="D5393" s="4" t="s">
        <v>78</v>
      </c>
      <c r="E5393" s="4">
        <v>16.0</v>
      </c>
      <c r="F5393" s="4">
        <v>706.53</v>
      </c>
      <c r="G5393" s="4">
        <v>0.0</v>
      </c>
      <c r="H5393" s="4" t="s">
        <v>22</v>
      </c>
      <c r="I5393" s="6">
        <v>-314.42</v>
      </c>
      <c r="J5393" s="4">
        <v>40.48</v>
      </c>
      <c r="K5393" s="4">
        <v>19.99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ht="12.75" customHeight="1">
      <c r="A5394" s="4">
        <v>3534.0</v>
      </c>
      <c r="B5394" s="4">
        <v>25155.0</v>
      </c>
      <c r="C5394" s="5">
        <f t="shared" ref="C5394:C5396" si="2260">DATE(2012,12,31)-1076</f>
        <v>40198</v>
      </c>
      <c r="D5394" s="4" t="s">
        <v>21</v>
      </c>
      <c r="E5394" s="4">
        <v>48.0</v>
      </c>
      <c r="F5394" s="4">
        <v>1038.99</v>
      </c>
      <c r="G5394" s="4">
        <v>0.0</v>
      </c>
      <c r="H5394" s="4" t="s">
        <v>22</v>
      </c>
      <c r="I5394" s="6">
        <v>-180.45</v>
      </c>
      <c r="J5394" s="4">
        <v>19.94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0.57</v>
      </c>
      <c r="U5394" s="5">
        <f t="shared" ref="U5394:U5395" si="2261">C5394+7</f>
        <v>40205</v>
      </c>
    </row>
    <row r="5395" ht="12.75" customHeight="1">
      <c r="A5395" s="4">
        <v>3535.0</v>
      </c>
      <c r="B5395" s="4">
        <v>25155.0</v>
      </c>
      <c r="C5395" s="5">
        <f t="shared" si="2260"/>
        <v>40198</v>
      </c>
      <c r="D5395" s="4" t="s">
        <v>21</v>
      </c>
      <c r="E5395" s="4">
        <v>17.0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1"/>
        <v>40205</v>
      </c>
    </row>
    <row r="5396" ht="12.75" customHeight="1">
      <c r="A5396" s="4">
        <v>3536.0</v>
      </c>
      <c r="B5396" s="4">
        <v>25155.0</v>
      </c>
      <c r="C5396" s="5">
        <f t="shared" si="2260"/>
        <v>40198</v>
      </c>
      <c r="D5396" s="4" t="s">
        <v>21</v>
      </c>
      <c r="E5396" s="4">
        <v>3.0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2">C5396+5</f>
        <v>40203</v>
      </c>
    </row>
    <row r="5397" ht="12.75" customHeight="1">
      <c r="A5397" s="4">
        <v>3648.0</v>
      </c>
      <c r="B5397" s="4">
        <v>26084.0</v>
      </c>
      <c r="C5397" s="5">
        <f>DATE(2012,12,31)-76</f>
        <v>41198</v>
      </c>
      <c r="D5397" s="4" t="s">
        <v>21</v>
      </c>
      <c r="E5397" s="4">
        <v>33.0</v>
      </c>
      <c r="F5397" s="4">
        <v>228.82</v>
      </c>
      <c r="G5397" s="4">
        <v>0.03</v>
      </c>
      <c r="H5397" s="4" t="s">
        <v>56</v>
      </c>
      <c r="I5397" s="6">
        <v>-107.0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2"/>
        <v>41203</v>
      </c>
    </row>
    <row r="5398" ht="12.75" customHeight="1">
      <c r="A5398" s="4">
        <v>3654.0</v>
      </c>
      <c r="B5398" s="4">
        <v>26146.0</v>
      </c>
      <c r="C5398" s="5">
        <f t="shared" ref="C5398:C5399" si="2263">DATE(2012,12,31)-1177</f>
        <v>40097</v>
      </c>
      <c r="D5398" s="4" t="s">
        <v>21</v>
      </c>
      <c r="E5398" s="4">
        <v>13.0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0.58</v>
      </c>
      <c r="U5398" s="5">
        <f>C5398+7</f>
        <v>40104</v>
      </c>
    </row>
    <row r="5399" ht="12.75" customHeight="1">
      <c r="A5399" s="4">
        <v>3655.0</v>
      </c>
      <c r="B5399" s="4">
        <v>26146.0</v>
      </c>
      <c r="C5399" s="5">
        <f t="shared" si="2263"/>
        <v>40097</v>
      </c>
      <c r="D5399" s="4" t="s">
        <v>21</v>
      </c>
      <c r="E5399" s="4">
        <v>49.0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0.58</v>
      </c>
      <c r="U5399" s="5">
        <f>C5399+9</f>
        <v>40106</v>
      </c>
    </row>
    <row r="5400" ht="12.75" customHeight="1">
      <c r="A5400" s="4">
        <v>3715.0</v>
      </c>
      <c r="B5400" s="4">
        <v>26529.0</v>
      </c>
      <c r="C5400" s="5">
        <f>DATE(2012,12,31)-703</f>
        <v>40571</v>
      </c>
      <c r="D5400" s="4" t="s">
        <v>21</v>
      </c>
      <c r="E5400" s="4">
        <v>41.0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0.57</v>
      </c>
      <c r="U5400" s="5">
        <f>C5400+4</f>
        <v>40575</v>
      </c>
    </row>
    <row r="5401" ht="12.75" customHeight="1">
      <c r="A5401" s="4">
        <v>3736.0</v>
      </c>
      <c r="B5401" s="4">
        <v>26693.0</v>
      </c>
      <c r="C5401" s="5">
        <f>DATE(2012,12,31)-863</f>
        <v>40411</v>
      </c>
      <c r="D5401" s="4" t="s">
        <v>63</v>
      </c>
      <c r="E5401" s="4">
        <v>44.0</v>
      </c>
      <c r="F5401" s="4">
        <v>2094.9779999999996</v>
      </c>
      <c r="G5401" s="4">
        <v>0.06</v>
      </c>
      <c r="H5401" s="4" t="s">
        <v>56</v>
      </c>
      <c r="I5401" s="6">
        <v>697.293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</v>
      </c>
      <c r="U5401" s="5">
        <f>C5401+2</f>
        <v>40413</v>
      </c>
    </row>
    <row r="5402" ht="12.75" customHeight="1">
      <c r="A5402" s="4">
        <v>3775.0</v>
      </c>
      <c r="B5402" s="4">
        <v>26948.0</v>
      </c>
      <c r="C5402" s="5">
        <f>DATE(2012,12,31)-405</f>
        <v>40869</v>
      </c>
      <c r="D5402" s="4" t="s">
        <v>30</v>
      </c>
      <c r="E5402" s="4">
        <v>38.0</v>
      </c>
      <c r="F5402" s="4">
        <v>273.89</v>
      </c>
      <c r="G5402" s="4">
        <v>0.05</v>
      </c>
      <c r="H5402" s="4" t="s">
        <v>22</v>
      </c>
      <c r="I5402" s="6">
        <v>-160.402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4">C5402+1</f>
        <v>40870</v>
      </c>
    </row>
    <row r="5403" ht="12.75" customHeight="1">
      <c r="A5403" s="4">
        <v>3777.0</v>
      </c>
      <c r="B5403" s="4">
        <v>26951.0</v>
      </c>
      <c r="C5403" s="5">
        <f>DATE(2012,12,31)-998</f>
        <v>40276</v>
      </c>
      <c r="D5403" s="4" t="s">
        <v>45</v>
      </c>
      <c r="E5403" s="4">
        <v>3.0</v>
      </c>
      <c r="F5403" s="4">
        <v>451.81</v>
      </c>
      <c r="G5403" s="4">
        <v>0.05</v>
      </c>
      <c r="H5403" s="4" t="s">
        <v>22</v>
      </c>
      <c r="I5403" s="6">
        <v>-318.594</v>
      </c>
      <c r="J5403" s="4">
        <v>150.98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4"/>
        <v>40277</v>
      </c>
    </row>
    <row r="5404" ht="12.75" customHeight="1">
      <c r="A5404" s="4">
        <v>3812.0</v>
      </c>
      <c r="B5404" s="4">
        <v>27141.0</v>
      </c>
      <c r="C5404" s="5">
        <f t="shared" ref="C5404:C5405" si="2265">DATE(2012,12,31)-1061</f>
        <v>40213</v>
      </c>
      <c r="D5404" s="4" t="s">
        <v>45</v>
      </c>
      <c r="E5404" s="4">
        <v>25.0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</v>
      </c>
      <c r="U5404" s="5">
        <f t="shared" si="2264"/>
        <v>40214</v>
      </c>
    </row>
    <row r="5405" ht="12.75" customHeight="1">
      <c r="A5405" s="4">
        <v>3813.0</v>
      </c>
      <c r="B5405" s="4">
        <v>27141.0</v>
      </c>
      <c r="C5405" s="5">
        <f t="shared" si="2265"/>
        <v>40213</v>
      </c>
      <c r="D5405" s="4" t="s">
        <v>45</v>
      </c>
      <c r="E5405" s="4">
        <v>28.0</v>
      </c>
      <c r="F5405" s="4">
        <v>1645.51</v>
      </c>
      <c r="G5405" s="4">
        <v>0.06</v>
      </c>
      <c r="H5405" s="4" t="s">
        <v>22</v>
      </c>
      <c r="I5405" s="6">
        <v>300.34</v>
      </c>
      <c r="J5405" s="4">
        <v>59.76</v>
      </c>
      <c r="K5405" s="4">
        <v>9.71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0.57</v>
      </c>
      <c r="U5405" s="5">
        <f t="shared" si="2264"/>
        <v>40214</v>
      </c>
    </row>
    <row r="5406" ht="12.75" customHeight="1">
      <c r="A5406" s="4">
        <v>3832.0</v>
      </c>
      <c r="B5406" s="4">
        <v>27302.0</v>
      </c>
      <c r="C5406" s="5">
        <f t="shared" ref="C5406:C5407" si="2266">DATE(2012,12,31)-110</f>
        <v>41164</v>
      </c>
      <c r="D5406" s="4" t="s">
        <v>21</v>
      </c>
      <c r="E5406" s="4">
        <v>16.0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8.78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7">C5406+0</f>
        <v>41164</v>
      </c>
    </row>
    <row r="5407" ht="12.75" customHeight="1">
      <c r="A5407" s="4">
        <v>3833.0</v>
      </c>
      <c r="B5407" s="4">
        <v>27302.0</v>
      </c>
      <c r="C5407" s="5">
        <f t="shared" si="2266"/>
        <v>41164</v>
      </c>
      <c r="D5407" s="4" t="s">
        <v>21</v>
      </c>
      <c r="E5407" s="4">
        <v>3.0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7"/>
        <v>41164</v>
      </c>
    </row>
    <row r="5408" ht="12.75" customHeight="1">
      <c r="A5408" s="4">
        <v>3843.0</v>
      </c>
      <c r="B5408" s="4">
        <v>27426.0</v>
      </c>
      <c r="C5408" s="5">
        <f t="shared" ref="C5408:C5409" si="2268">DATE(2012,12,31)-1042</f>
        <v>40232</v>
      </c>
      <c r="D5408" s="4" t="s">
        <v>21</v>
      </c>
      <c r="E5408" s="4">
        <v>41.0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ht="12.75" customHeight="1">
      <c r="A5409" s="4">
        <v>3844.0</v>
      </c>
      <c r="B5409" s="4">
        <v>27426.0</v>
      </c>
      <c r="C5409" s="5">
        <f t="shared" si="2268"/>
        <v>40232</v>
      </c>
      <c r="D5409" s="4" t="s">
        <v>21</v>
      </c>
      <c r="E5409" s="4">
        <v>32.0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ht="12.75" customHeight="1">
      <c r="A5410" s="4">
        <v>3898.0</v>
      </c>
      <c r="B5410" s="4">
        <v>27810.0</v>
      </c>
      <c r="C5410" s="5">
        <f>DATE(2012,12,31)-1068</f>
        <v>40206</v>
      </c>
      <c r="D5410" s="4" t="s">
        <v>30</v>
      </c>
      <c r="E5410" s="4">
        <v>32.0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ht="12.75" customHeight="1">
      <c r="A5411" s="4">
        <v>4016.0</v>
      </c>
      <c r="B5411" s="4">
        <v>28674.0</v>
      </c>
      <c r="C5411" s="5">
        <f>DATE(2012,12,31)-504</f>
        <v>40770</v>
      </c>
      <c r="D5411" s="4" t="s">
        <v>30</v>
      </c>
      <c r="E5411" s="4">
        <v>26.0</v>
      </c>
      <c r="F5411" s="4">
        <v>161.96</v>
      </c>
      <c r="G5411" s="4">
        <v>0.0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ht="12.75" customHeight="1">
      <c r="A5412" s="4">
        <v>4025.0</v>
      </c>
      <c r="B5412" s="4">
        <v>28742.0</v>
      </c>
      <c r="C5412" s="5">
        <f t="shared" ref="C5412:C5413" si="2269">DATE(2012,12,31)-246</f>
        <v>41028</v>
      </c>
      <c r="D5412" s="4" t="s">
        <v>21</v>
      </c>
      <c r="E5412" s="4">
        <v>35.0</v>
      </c>
      <c r="F5412" s="4">
        <v>587.92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0.58</v>
      </c>
      <c r="U5412" s="5">
        <f>C5412+0</f>
        <v>41028</v>
      </c>
    </row>
    <row r="5413" ht="12.75" customHeight="1">
      <c r="A5413" s="4">
        <v>4026.0</v>
      </c>
      <c r="B5413" s="4">
        <v>28742.0</v>
      </c>
      <c r="C5413" s="5">
        <f t="shared" si="2269"/>
        <v>41028</v>
      </c>
      <c r="D5413" s="4" t="s">
        <v>21</v>
      </c>
      <c r="E5413" s="4">
        <v>7.0</v>
      </c>
      <c r="F5413" s="4">
        <v>2171.464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ht="12.75" customHeight="1">
      <c r="A5414" s="4">
        <v>4028.0</v>
      </c>
      <c r="B5414" s="4">
        <v>28772.0</v>
      </c>
      <c r="C5414" s="5">
        <f t="shared" ref="C5414:C5415" si="2270">DATE(2012,12,31)-1424</f>
        <v>39850</v>
      </c>
      <c r="D5414" s="4" t="s">
        <v>30</v>
      </c>
      <c r="E5414" s="4">
        <v>16.0</v>
      </c>
      <c r="F5414" s="4">
        <v>950.4639999999999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69.0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ht="12.75" customHeight="1">
      <c r="A5415" s="4">
        <v>4029.0</v>
      </c>
      <c r="B5415" s="4">
        <v>28772.0</v>
      </c>
      <c r="C5415" s="5">
        <f t="shared" si="2270"/>
        <v>39850</v>
      </c>
      <c r="D5415" s="4" t="s">
        <v>30</v>
      </c>
      <c r="E5415" s="4">
        <v>4.0</v>
      </c>
      <c r="F5415" s="4">
        <v>705.687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ht="12.75" customHeight="1">
      <c r="A5416" s="4">
        <v>4087.0</v>
      </c>
      <c r="B5416" s="4">
        <v>29152.0</v>
      </c>
      <c r="C5416" s="5">
        <f t="shared" ref="C5416:C5417" si="2271">DATE(2012,12,31)-527</f>
        <v>40747</v>
      </c>
      <c r="D5416" s="4" t="s">
        <v>21</v>
      </c>
      <c r="E5416" s="4">
        <v>3.0</v>
      </c>
      <c r="F5416" s="4">
        <v>58.63</v>
      </c>
      <c r="G5416" s="4">
        <v>0.0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ht="12.75" customHeight="1">
      <c r="A5417" s="4">
        <v>4088.0</v>
      </c>
      <c r="B5417" s="4">
        <v>29152.0</v>
      </c>
      <c r="C5417" s="5">
        <f t="shared" si="2271"/>
        <v>40747</v>
      </c>
      <c r="D5417" s="4" t="s">
        <v>21</v>
      </c>
      <c r="E5417" s="4">
        <v>13.0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ht="12.75" customHeight="1">
      <c r="A5418" s="4">
        <v>4177.0</v>
      </c>
      <c r="B5418" s="4">
        <v>29639.0</v>
      </c>
      <c r="C5418" s="5">
        <f>DATE(2012,12,31)-624</f>
        <v>40650</v>
      </c>
      <c r="D5418" s="4" t="s">
        <v>78</v>
      </c>
      <c r="E5418" s="4">
        <v>8.0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0.58</v>
      </c>
      <c r="U5418" s="5">
        <f>C5418+2</f>
        <v>40652</v>
      </c>
    </row>
    <row r="5419" ht="12.75" customHeight="1">
      <c r="A5419" s="4">
        <v>4275.0</v>
      </c>
      <c r="B5419" s="4">
        <v>30407.0</v>
      </c>
      <c r="C5419" s="5">
        <f>DATE(2012,12,31)-1354</f>
        <v>39920</v>
      </c>
      <c r="D5419" s="4" t="s">
        <v>21</v>
      </c>
      <c r="E5419" s="4">
        <v>41.0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19.99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0.58</v>
      </c>
      <c r="U5419" s="5">
        <f>C5419+0</f>
        <v>39920</v>
      </c>
    </row>
    <row r="5420" ht="12.75" customHeight="1">
      <c r="A5420" s="4">
        <v>4378.0</v>
      </c>
      <c r="B5420" s="4">
        <v>31175.0</v>
      </c>
      <c r="C5420" s="5">
        <f>DATE(2012,12,31)-1192</f>
        <v>40082</v>
      </c>
      <c r="D5420" s="4" t="s">
        <v>78</v>
      </c>
      <c r="E5420" s="4">
        <v>26.0</v>
      </c>
      <c r="F5420" s="4">
        <v>539.66</v>
      </c>
      <c r="G5420" s="4">
        <v>0.0</v>
      </c>
      <c r="H5420" s="4" t="s">
        <v>56</v>
      </c>
      <c r="I5420" s="6">
        <v>147.08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ht="12.75" customHeight="1">
      <c r="A5421" s="4">
        <v>4565.0</v>
      </c>
      <c r="B5421" s="4">
        <v>32455.0</v>
      </c>
      <c r="C5421" s="5">
        <f>DATE(2012,12,31)-830</f>
        <v>40444</v>
      </c>
      <c r="D5421" s="4" t="s">
        <v>30</v>
      </c>
      <c r="E5421" s="4">
        <v>43.0</v>
      </c>
      <c r="F5421" s="4">
        <v>4620.53</v>
      </c>
      <c r="G5421" s="4">
        <v>0.0</v>
      </c>
      <c r="H5421" s="4" t="s">
        <v>22</v>
      </c>
      <c r="I5421" s="6">
        <v>1025.23</v>
      </c>
      <c r="J5421" s="4">
        <v>99.99</v>
      </c>
      <c r="K5421" s="4">
        <v>19.99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2">C5421+1</f>
        <v>40445</v>
      </c>
    </row>
    <row r="5422" ht="12.75" customHeight="1">
      <c r="A5422" s="4">
        <v>4566.0</v>
      </c>
      <c r="B5422" s="4">
        <v>32484.0</v>
      </c>
      <c r="C5422" s="5">
        <f>DATE(2012,12,31)-696</f>
        <v>40578</v>
      </c>
      <c r="D5422" s="4" t="s">
        <v>45</v>
      </c>
      <c r="E5422" s="4">
        <v>9.0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</v>
      </c>
      <c r="U5422" s="5">
        <f t="shared" si="2272"/>
        <v>40579</v>
      </c>
    </row>
    <row r="5423" ht="12.75" customHeight="1">
      <c r="A5423" s="4">
        <v>4835.0</v>
      </c>
      <c r="B5423" s="4">
        <v>34402.0</v>
      </c>
      <c r="C5423" s="5">
        <f t="shared" ref="C5423:C5424" si="2273">DATE(2012,12,31)-974</f>
        <v>40300</v>
      </c>
      <c r="D5423" s="4" t="s">
        <v>30</v>
      </c>
      <c r="E5423" s="4">
        <v>38.0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35.0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ht="12.75" customHeight="1">
      <c r="A5424" s="4">
        <v>4836.0</v>
      </c>
      <c r="B5424" s="4">
        <v>34402.0</v>
      </c>
      <c r="C5424" s="5">
        <f t="shared" si="2273"/>
        <v>40300</v>
      </c>
      <c r="D5424" s="4" t="s">
        <v>30</v>
      </c>
      <c r="E5424" s="4">
        <v>11.0</v>
      </c>
      <c r="F5424" s="4">
        <v>48.5</v>
      </c>
      <c r="G5424" s="4">
        <v>0.07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ht="12.75" customHeight="1">
      <c r="A5425" s="4">
        <v>4880.0</v>
      </c>
      <c r="B5425" s="4">
        <v>34723.0</v>
      </c>
      <c r="C5425" s="5">
        <f t="shared" ref="C5425:C5427" si="2274">DATE(2012,12,31)-22</f>
        <v>41252</v>
      </c>
      <c r="D5425" s="4" t="s">
        <v>63</v>
      </c>
      <c r="E5425" s="4">
        <v>4.0</v>
      </c>
      <c r="F5425" s="4">
        <v>6095.14</v>
      </c>
      <c r="G5425" s="4">
        <v>0.06</v>
      </c>
      <c r="H5425" s="4" t="s">
        <v>31</v>
      </c>
      <c r="I5425" s="6">
        <v>-3001.2825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0.57</v>
      </c>
      <c r="U5425" s="5">
        <f>C5425+2</f>
        <v>41254</v>
      </c>
    </row>
    <row r="5426" ht="12.75" customHeight="1">
      <c r="A5426" s="4">
        <v>4881.0</v>
      </c>
      <c r="B5426" s="4">
        <v>34723.0</v>
      </c>
      <c r="C5426" s="5">
        <f t="shared" si="2274"/>
        <v>41252</v>
      </c>
      <c r="D5426" s="4" t="s">
        <v>63</v>
      </c>
      <c r="E5426" s="4">
        <v>46.0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ht="12.75" customHeight="1">
      <c r="A5427" s="4">
        <v>4882.0</v>
      </c>
      <c r="B5427" s="4">
        <v>34723.0</v>
      </c>
      <c r="C5427" s="5">
        <f t="shared" si="2274"/>
        <v>41252</v>
      </c>
      <c r="D5427" s="4" t="s">
        <v>63</v>
      </c>
      <c r="E5427" s="4">
        <v>29.0</v>
      </c>
      <c r="F5427" s="4">
        <v>1487.8995</v>
      </c>
      <c r="G5427" s="4">
        <v>0.09</v>
      </c>
      <c r="H5427" s="4" t="s">
        <v>22</v>
      </c>
      <c r="I5427" s="6">
        <v>79.317</v>
      </c>
      <c r="J5427" s="4">
        <v>65.99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</v>
      </c>
      <c r="U5427" s="5">
        <f t="shared" ref="U5427:U5429" si="2275">C5427+2</f>
        <v>41254</v>
      </c>
    </row>
    <row r="5428" ht="12.75" customHeight="1">
      <c r="A5428" s="4">
        <v>4887.0</v>
      </c>
      <c r="B5428" s="4">
        <v>34757.0</v>
      </c>
      <c r="C5428" s="5">
        <f>DATE(2012,12,31)-217</f>
        <v>41057</v>
      </c>
      <c r="D5428" s="4" t="s">
        <v>30</v>
      </c>
      <c r="E5428" s="4">
        <v>40.0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5"/>
        <v>41059</v>
      </c>
    </row>
    <row r="5429" ht="12.75" customHeight="1">
      <c r="A5429" s="4">
        <v>4905.0</v>
      </c>
      <c r="B5429" s="4">
        <v>34913.0</v>
      </c>
      <c r="C5429" s="5">
        <f>DATE(2012,12,31)-405</f>
        <v>40869</v>
      </c>
      <c r="D5429" s="4" t="s">
        <v>63</v>
      </c>
      <c r="E5429" s="4">
        <v>15.0</v>
      </c>
      <c r="F5429" s="4">
        <v>107.63</v>
      </c>
      <c r="G5429" s="4">
        <v>0.0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5"/>
        <v>40871</v>
      </c>
    </row>
    <row r="5430" ht="12.75" customHeight="1">
      <c r="A5430" s="4">
        <v>4938.0</v>
      </c>
      <c r="B5430" s="4">
        <v>35136.0</v>
      </c>
      <c r="C5430" s="5">
        <f>DATE(2012,12,31)-1180</f>
        <v>40094</v>
      </c>
      <c r="D5430" s="4" t="s">
        <v>78</v>
      </c>
      <c r="E5430" s="4">
        <v>23.0</v>
      </c>
      <c r="F5430" s="4">
        <v>68.73</v>
      </c>
      <c r="G5430" s="4">
        <v>0.07</v>
      </c>
      <c r="H5430" s="4" t="s">
        <v>22</v>
      </c>
      <c r="I5430" s="6">
        <v>17.17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ht="12.75" customHeight="1">
      <c r="A5431" s="4">
        <v>4961.0</v>
      </c>
      <c r="B5431" s="4">
        <v>35299.0</v>
      </c>
      <c r="C5431" s="5">
        <f>DATE(2012,12,31)-143</f>
        <v>41131</v>
      </c>
      <c r="D5431" s="4" t="s">
        <v>45</v>
      </c>
      <c r="E5431" s="4">
        <v>41.0</v>
      </c>
      <c r="F5431" s="4">
        <v>4359.0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19.99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6">C5431+2</f>
        <v>41133</v>
      </c>
    </row>
    <row r="5432" ht="12.75" customHeight="1">
      <c r="A5432" s="4">
        <v>5145.0</v>
      </c>
      <c r="B5432" s="4">
        <v>36676.0</v>
      </c>
      <c r="C5432" s="5">
        <f t="shared" ref="C5432:C5433" si="2277">DATE(2012,12,31)-494</f>
        <v>40780</v>
      </c>
      <c r="D5432" s="4" t="s">
        <v>45</v>
      </c>
      <c r="E5432" s="4">
        <v>32.0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14.0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6"/>
        <v>40782</v>
      </c>
    </row>
    <row r="5433" ht="12.75" customHeight="1">
      <c r="A5433" s="4">
        <v>5146.0</v>
      </c>
      <c r="B5433" s="4">
        <v>36676.0</v>
      </c>
      <c r="C5433" s="5">
        <f t="shared" si="2277"/>
        <v>40780</v>
      </c>
      <c r="D5433" s="4" t="s">
        <v>45</v>
      </c>
      <c r="E5433" s="4">
        <v>15.0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ht="12.75" customHeight="1">
      <c r="A5434" s="4">
        <v>5155.0</v>
      </c>
      <c r="B5434" s="4">
        <v>36708.0</v>
      </c>
      <c r="C5434" s="5">
        <f t="shared" ref="C5434:C5435" si="2278">DATE(2012,12,31)-469</f>
        <v>40805</v>
      </c>
      <c r="D5434" s="4" t="s">
        <v>45</v>
      </c>
      <c r="E5434" s="4">
        <v>46.0</v>
      </c>
      <c r="F5434" s="4">
        <v>636.5</v>
      </c>
      <c r="G5434" s="4">
        <v>0.01</v>
      </c>
      <c r="H5434" s="4" t="s">
        <v>22</v>
      </c>
      <c r="I5434" s="6">
        <v>-71.9838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9">C5434+2</f>
        <v>40807</v>
      </c>
    </row>
    <row r="5435" ht="12.75" customHeight="1">
      <c r="A5435" s="4">
        <v>5156.0</v>
      </c>
      <c r="B5435" s="4">
        <v>36708.0</v>
      </c>
      <c r="C5435" s="5">
        <f t="shared" si="2278"/>
        <v>40805</v>
      </c>
      <c r="D5435" s="4" t="s">
        <v>45</v>
      </c>
      <c r="E5435" s="4">
        <v>25.0</v>
      </c>
      <c r="F5435" s="4">
        <v>2614.3705</v>
      </c>
      <c r="G5435" s="4">
        <v>0.07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0.58</v>
      </c>
      <c r="U5435" s="5">
        <f t="shared" si="2279"/>
        <v>40807</v>
      </c>
    </row>
    <row r="5436" ht="12.75" customHeight="1">
      <c r="A5436" s="4">
        <v>5181.0</v>
      </c>
      <c r="B5436" s="4">
        <v>36835.0</v>
      </c>
      <c r="C5436" s="5">
        <f t="shared" ref="C5436:C5438" si="2280">DATE(2012,12,31)-1168</f>
        <v>40106</v>
      </c>
      <c r="D5436" s="4" t="s">
        <v>78</v>
      </c>
      <c r="E5436" s="4">
        <v>39.0</v>
      </c>
      <c r="F5436" s="4">
        <v>12073.06</v>
      </c>
      <c r="G5436" s="4">
        <v>0.03</v>
      </c>
      <c r="H5436" s="4" t="s">
        <v>22</v>
      </c>
      <c r="I5436" s="6">
        <v>5081.8695</v>
      </c>
      <c r="J5436" s="4">
        <v>315.98</v>
      </c>
      <c r="K5436" s="4">
        <v>19.99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9"/>
        <v>40108</v>
      </c>
    </row>
    <row r="5437" ht="12.75" customHeight="1">
      <c r="A5437" s="4">
        <v>5182.0</v>
      </c>
      <c r="B5437" s="4">
        <v>36835.0</v>
      </c>
      <c r="C5437" s="5">
        <f t="shared" si="2280"/>
        <v>40106</v>
      </c>
      <c r="D5437" s="4" t="s">
        <v>78</v>
      </c>
      <c r="E5437" s="4">
        <v>25.0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1">C5437+1</f>
        <v>40107</v>
      </c>
    </row>
    <row r="5438" ht="12.75" customHeight="1">
      <c r="A5438" s="4">
        <v>5183.0</v>
      </c>
      <c r="B5438" s="4">
        <v>36835.0</v>
      </c>
      <c r="C5438" s="5">
        <f t="shared" si="2280"/>
        <v>40106</v>
      </c>
      <c r="D5438" s="4" t="s">
        <v>78</v>
      </c>
      <c r="E5438" s="4">
        <v>18.0</v>
      </c>
      <c r="F5438" s="4">
        <v>1175.53</v>
      </c>
      <c r="G5438" s="4">
        <v>0.03</v>
      </c>
      <c r="H5438" s="4" t="s">
        <v>22</v>
      </c>
      <c r="I5438" s="6">
        <v>257.59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1"/>
        <v>40107</v>
      </c>
    </row>
    <row r="5439" ht="12.75" customHeight="1">
      <c r="A5439" s="4">
        <v>5218.0</v>
      </c>
      <c r="B5439" s="4">
        <v>37127.0</v>
      </c>
      <c r="C5439" s="5">
        <f>DATE(2012,12,31)-821</f>
        <v>40453</v>
      </c>
      <c r="D5439" s="4" t="s">
        <v>30</v>
      </c>
      <c r="E5439" s="4">
        <v>19.0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1"/>
        <v>40454</v>
      </c>
    </row>
    <row r="5440" ht="12.75" customHeight="1">
      <c r="A5440" s="4">
        <v>5288.0</v>
      </c>
      <c r="B5440" s="4">
        <v>37667.0</v>
      </c>
      <c r="C5440" s="5">
        <f>DATE(2012,12,31)-395</f>
        <v>40879</v>
      </c>
      <c r="D5440" s="4" t="s">
        <v>30</v>
      </c>
      <c r="E5440" s="4">
        <v>31.0</v>
      </c>
      <c r="F5440" s="4">
        <v>472.35</v>
      </c>
      <c r="G5440" s="4">
        <v>0.03</v>
      </c>
      <c r="H5440" s="4" t="s">
        <v>22</v>
      </c>
      <c r="I5440" s="6">
        <v>61.676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1"/>
        <v>40880</v>
      </c>
    </row>
    <row r="5441" ht="12.75" customHeight="1">
      <c r="A5441" s="4">
        <v>5316.0</v>
      </c>
      <c r="B5441" s="4">
        <v>37825.0</v>
      </c>
      <c r="C5441" s="5">
        <f t="shared" ref="C5441:C5442" si="2282">DATE(2012,12,31)-1258</f>
        <v>40016</v>
      </c>
      <c r="D5441" s="4" t="s">
        <v>21</v>
      </c>
      <c r="E5441" s="4">
        <v>44.0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0.58</v>
      </c>
      <c r="U5441" s="5">
        <f>C5441+2</f>
        <v>40018</v>
      </c>
    </row>
    <row r="5442" ht="12.75" customHeight="1">
      <c r="A5442" s="4">
        <v>5317.0</v>
      </c>
      <c r="B5442" s="4">
        <v>37825.0</v>
      </c>
      <c r="C5442" s="5">
        <f t="shared" si="2282"/>
        <v>40016</v>
      </c>
      <c r="D5442" s="4" t="s">
        <v>21</v>
      </c>
      <c r="E5442" s="4">
        <v>41.0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ht="12.75" customHeight="1">
      <c r="A5443" s="4">
        <v>5326.0</v>
      </c>
      <c r="B5443" s="4">
        <v>37861.0</v>
      </c>
      <c r="C5443" s="5">
        <f>DATE(2012,12,31)-369</f>
        <v>40905</v>
      </c>
      <c r="D5443" s="4" t="s">
        <v>45</v>
      </c>
      <c r="E5443" s="4">
        <v>32.0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3">C5443+2</f>
        <v>40907</v>
      </c>
    </row>
    <row r="5444" ht="12.75" customHeight="1">
      <c r="A5444" s="4">
        <v>5342.0</v>
      </c>
      <c r="B5444" s="4">
        <v>37926.0</v>
      </c>
      <c r="C5444" s="5">
        <f>DATE(2012,12,31)-1210</f>
        <v>40064</v>
      </c>
      <c r="D5444" s="4" t="s">
        <v>78</v>
      </c>
      <c r="E5444" s="4">
        <v>31.0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</v>
      </c>
      <c r="U5444" s="5">
        <f t="shared" si="2283"/>
        <v>40066</v>
      </c>
    </row>
    <row r="5445" ht="12.75" customHeight="1">
      <c r="A5445" s="4">
        <v>5385.0</v>
      </c>
      <c r="B5445" s="4">
        <v>38304.0</v>
      </c>
      <c r="C5445" s="5">
        <f>DATE(2012,12,31)-650</f>
        <v>40624</v>
      </c>
      <c r="D5445" s="4" t="s">
        <v>30</v>
      </c>
      <c r="E5445" s="4">
        <v>7.0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3"/>
        <v>40626</v>
      </c>
    </row>
    <row r="5446" ht="12.75" customHeight="1">
      <c r="A5446" s="4">
        <v>5495.0</v>
      </c>
      <c r="B5446" s="4">
        <v>38978.0</v>
      </c>
      <c r="C5446" s="5">
        <f>DATE(2012,12,31)-1246</f>
        <v>40028</v>
      </c>
      <c r="D5446" s="4" t="s">
        <v>21</v>
      </c>
      <c r="E5446" s="4">
        <v>24.0</v>
      </c>
      <c r="F5446" s="4">
        <v>4547.26</v>
      </c>
      <c r="G5446" s="4">
        <v>0.0</v>
      </c>
      <c r="H5446" s="4" t="s">
        <v>31</v>
      </c>
      <c r="I5446" s="6">
        <v>468.27</v>
      </c>
      <c r="J5446" s="4">
        <v>180.98</v>
      </c>
      <c r="K5446" s="4">
        <v>30.0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3"/>
        <v>40030</v>
      </c>
    </row>
    <row r="5447" ht="12.75" customHeight="1">
      <c r="A5447" s="4">
        <v>5543.0</v>
      </c>
      <c r="B5447" s="4">
        <v>39267.0</v>
      </c>
      <c r="C5447" s="5">
        <f t="shared" ref="C5447:C5448" si="2284">DATE(2012,12,31)-1078</f>
        <v>40196</v>
      </c>
      <c r="D5447" s="4" t="s">
        <v>30</v>
      </c>
      <c r="E5447" s="4">
        <v>26.0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3"/>
        <v>40198</v>
      </c>
    </row>
    <row r="5448" ht="12.75" customHeight="1">
      <c r="A5448" s="4">
        <v>5544.0</v>
      </c>
      <c r="B5448" s="4">
        <v>39267.0</v>
      </c>
      <c r="C5448" s="5">
        <f t="shared" si="2284"/>
        <v>40196</v>
      </c>
      <c r="D5448" s="4" t="s">
        <v>30</v>
      </c>
      <c r="E5448" s="4">
        <v>46.0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0.58</v>
      </c>
      <c r="U5448" s="5">
        <f t="shared" ref="U5448:U5449" si="2285">C5448+1</f>
        <v>40197</v>
      </c>
    </row>
    <row r="5449" ht="12.75" customHeight="1">
      <c r="A5449" s="4">
        <v>5738.0</v>
      </c>
      <c r="B5449" s="4">
        <v>40772.0</v>
      </c>
      <c r="C5449" s="5">
        <f>DATE(2012,12,31)-322</f>
        <v>40952</v>
      </c>
      <c r="D5449" s="4" t="s">
        <v>78</v>
      </c>
      <c r="E5449" s="4">
        <v>15.0</v>
      </c>
      <c r="F5449" s="4">
        <v>128.27</v>
      </c>
      <c r="G5449" s="4">
        <v>0.0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5"/>
        <v>40953</v>
      </c>
    </row>
    <row r="5450" ht="12.75" customHeight="1">
      <c r="A5450" s="4">
        <v>5765.0</v>
      </c>
      <c r="B5450" s="4">
        <v>40928.0</v>
      </c>
      <c r="C5450" s="5">
        <f>DATE(2012,12,31)-1206</f>
        <v>40068</v>
      </c>
      <c r="D5450" s="4" t="s">
        <v>21</v>
      </c>
      <c r="E5450" s="4">
        <v>4.0</v>
      </c>
      <c r="F5450" s="4">
        <v>292.3405</v>
      </c>
      <c r="G5450" s="4">
        <v>0.01</v>
      </c>
      <c r="H5450" s="4" t="s">
        <v>22</v>
      </c>
      <c r="I5450" s="6">
        <v>-420.585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ht="12.75" customHeight="1">
      <c r="A5451" s="4">
        <v>5812.0</v>
      </c>
      <c r="B5451" s="4">
        <v>41216.0</v>
      </c>
      <c r="C5451" s="5">
        <f t="shared" ref="C5451:C5452" si="2286">DATE(2012,12,31)-1279</f>
        <v>39995</v>
      </c>
      <c r="D5451" s="4" t="s">
        <v>45</v>
      </c>
      <c r="E5451" s="4">
        <v>8.0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ht="12.75" customHeight="1">
      <c r="A5452" s="4">
        <v>5813.0</v>
      </c>
      <c r="B5452" s="4">
        <v>41216.0</v>
      </c>
      <c r="C5452" s="5">
        <f t="shared" si="2286"/>
        <v>39995</v>
      </c>
      <c r="D5452" s="4" t="s">
        <v>45</v>
      </c>
      <c r="E5452" s="4">
        <v>45.0</v>
      </c>
      <c r="F5452" s="4">
        <v>6865.072</v>
      </c>
      <c r="G5452" s="4">
        <v>0.0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ht="12.75" customHeight="1">
      <c r="A5453" s="4">
        <v>5966.0</v>
      </c>
      <c r="B5453" s="4">
        <v>42310.0</v>
      </c>
      <c r="C5453" s="5">
        <f>DATE(2012,12,31)-1259</f>
        <v>40015</v>
      </c>
      <c r="D5453" s="4" t="s">
        <v>78</v>
      </c>
      <c r="E5453" s="4">
        <v>20.0</v>
      </c>
      <c r="F5453" s="4">
        <v>3361.7585</v>
      </c>
      <c r="G5453" s="4">
        <v>0.04</v>
      </c>
      <c r="H5453" s="4" t="s">
        <v>22</v>
      </c>
      <c r="I5453" s="6">
        <v>394.353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</v>
      </c>
      <c r="U5453" s="5">
        <f t="shared" ref="U5453:U5455" si="2287">C5453+1</f>
        <v>40016</v>
      </c>
    </row>
    <row r="5454" ht="12.75" customHeight="1">
      <c r="A5454" s="4">
        <v>5983.0</v>
      </c>
      <c r="B5454" s="4">
        <v>42403.0</v>
      </c>
      <c r="C5454" s="5">
        <f t="shared" ref="C5454:C5455" si="2288">DATE(2012,12,31)-1290</f>
        <v>39984</v>
      </c>
      <c r="D5454" s="4" t="s">
        <v>45</v>
      </c>
      <c r="E5454" s="4">
        <v>38.0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7"/>
        <v>39985</v>
      </c>
    </row>
    <row r="5455" ht="12.75" customHeight="1">
      <c r="A5455" s="4">
        <v>5984.0</v>
      </c>
      <c r="B5455" s="4">
        <v>42403.0</v>
      </c>
      <c r="C5455" s="5">
        <f t="shared" si="2288"/>
        <v>39984</v>
      </c>
      <c r="D5455" s="4" t="s">
        <v>45</v>
      </c>
      <c r="E5455" s="4">
        <v>47.0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7"/>
        <v>39985</v>
      </c>
    </row>
    <row r="5456" ht="12.75" customHeight="1">
      <c r="A5456" s="4">
        <v>6089.0</v>
      </c>
      <c r="B5456" s="4">
        <v>43138.0</v>
      </c>
      <c r="C5456" s="5">
        <f t="shared" ref="C5456:C5457" si="2289">DATE(2012,12,31)-292</f>
        <v>40982</v>
      </c>
      <c r="D5456" s="4" t="s">
        <v>21</v>
      </c>
      <c r="E5456" s="4">
        <v>43.0</v>
      </c>
      <c r="F5456" s="4">
        <v>1334.05</v>
      </c>
      <c r="G5456" s="4">
        <v>0.06</v>
      </c>
      <c r="H5456" s="4" t="s">
        <v>22</v>
      </c>
      <c r="I5456" s="6">
        <v>581.7655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ht="12.75" customHeight="1">
      <c r="A5457" s="4">
        <v>6090.0</v>
      </c>
      <c r="B5457" s="4">
        <v>43138.0</v>
      </c>
      <c r="C5457" s="5">
        <f t="shared" si="2289"/>
        <v>40982</v>
      </c>
      <c r="D5457" s="4" t="s">
        <v>21</v>
      </c>
      <c r="E5457" s="4">
        <v>50.0</v>
      </c>
      <c r="F5457" s="4">
        <v>6552.86</v>
      </c>
      <c r="G5457" s="4">
        <v>0.07</v>
      </c>
      <c r="H5457" s="4" t="s">
        <v>31</v>
      </c>
      <c r="I5457" s="6">
        <v>-692.82</v>
      </c>
      <c r="J5457" s="4">
        <v>137.48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ht="12.75" customHeight="1">
      <c r="A5458" s="4">
        <v>6098.0</v>
      </c>
      <c r="B5458" s="4">
        <v>43206.0</v>
      </c>
      <c r="C5458" s="5">
        <f>DATE(2012,12,31)-1226</f>
        <v>40048</v>
      </c>
      <c r="D5458" s="4" t="s">
        <v>63</v>
      </c>
      <c r="E5458" s="4">
        <v>16.0</v>
      </c>
      <c r="F5458" s="4">
        <v>587.88</v>
      </c>
      <c r="G5458" s="4">
        <v>0.0</v>
      </c>
      <c r="H5458" s="4" t="s">
        <v>56</v>
      </c>
      <c r="I5458" s="6">
        <v>135.37</v>
      </c>
      <c r="J5458" s="4">
        <v>35.41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ht="12.75" customHeight="1">
      <c r="A5459" s="4">
        <v>6099.0</v>
      </c>
      <c r="B5459" s="4">
        <v>43207.0</v>
      </c>
      <c r="C5459" s="5">
        <f t="shared" ref="C5459:C5461" si="2290">DATE(2012,12,31)-936</f>
        <v>40338</v>
      </c>
      <c r="D5459" s="4" t="s">
        <v>21</v>
      </c>
      <c r="E5459" s="4">
        <v>45.0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0.57</v>
      </c>
      <c r="U5459" s="5">
        <f>C5459+4</f>
        <v>40342</v>
      </c>
    </row>
    <row r="5460" ht="12.75" customHeight="1">
      <c r="A5460" s="4">
        <v>6100.0</v>
      </c>
      <c r="B5460" s="4">
        <v>43207.0</v>
      </c>
      <c r="C5460" s="5">
        <f t="shared" si="2290"/>
        <v>40338</v>
      </c>
      <c r="D5460" s="4" t="s">
        <v>21</v>
      </c>
      <c r="E5460" s="4">
        <v>41.0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ht="12.75" customHeight="1">
      <c r="A5461" s="4">
        <v>6101.0</v>
      </c>
      <c r="B5461" s="4">
        <v>43207.0</v>
      </c>
      <c r="C5461" s="5">
        <f t="shared" si="2290"/>
        <v>40338</v>
      </c>
      <c r="D5461" s="4" t="s">
        <v>21</v>
      </c>
      <c r="E5461" s="4">
        <v>8.0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ht="12.75" customHeight="1">
      <c r="A5462" s="4">
        <v>6160.0</v>
      </c>
      <c r="B5462" s="4">
        <v>43650.0</v>
      </c>
      <c r="C5462" s="5">
        <f t="shared" ref="C5462:C5463" si="2291">DATE(2012,12,31)-1379</f>
        <v>39895</v>
      </c>
      <c r="D5462" s="4" t="s">
        <v>45</v>
      </c>
      <c r="E5462" s="4">
        <v>3.0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ht="12.75" customHeight="1">
      <c r="A5463" s="4">
        <v>6161.0</v>
      </c>
      <c r="B5463" s="4">
        <v>43650.0</v>
      </c>
      <c r="C5463" s="5">
        <f t="shared" si="2291"/>
        <v>39895</v>
      </c>
      <c r="D5463" s="4" t="s">
        <v>45</v>
      </c>
      <c r="E5463" s="4">
        <v>7.0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2">C5463+2</f>
        <v>39897</v>
      </c>
    </row>
    <row r="5464" ht="12.75" customHeight="1">
      <c r="A5464" s="4">
        <v>6253.0</v>
      </c>
      <c r="B5464" s="4">
        <v>44290.0</v>
      </c>
      <c r="C5464" s="5">
        <f t="shared" ref="C5464:C5466" si="2293">DATE(2012,12,31)-1016</f>
        <v>40258</v>
      </c>
      <c r="D5464" s="4" t="s">
        <v>63</v>
      </c>
      <c r="E5464" s="4">
        <v>49.0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2"/>
        <v>40260</v>
      </c>
    </row>
    <row r="5465" ht="12.75" customHeight="1">
      <c r="A5465" s="4">
        <v>6254.0</v>
      </c>
      <c r="B5465" s="4">
        <v>44290.0</v>
      </c>
      <c r="C5465" s="5">
        <f t="shared" si="2293"/>
        <v>40258</v>
      </c>
      <c r="D5465" s="4" t="s">
        <v>63</v>
      </c>
      <c r="E5465" s="4">
        <v>28.0</v>
      </c>
      <c r="F5465" s="4">
        <v>281.09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2"/>
        <v>40260</v>
      </c>
    </row>
    <row r="5466" ht="12.75" customHeight="1">
      <c r="A5466" s="4">
        <v>6255.0</v>
      </c>
      <c r="B5466" s="4">
        <v>44290.0</v>
      </c>
      <c r="C5466" s="5">
        <f t="shared" si="2293"/>
        <v>40258</v>
      </c>
      <c r="D5466" s="4" t="s">
        <v>63</v>
      </c>
      <c r="E5466" s="4">
        <v>41.0</v>
      </c>
      <c r="F5466" s="4">
        <v>276.65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2"/>
        <v>40260</v>
      </c>
    </row>
    <row r="5467" ht="12.75" customHeight="1">
      <c r="A5467" s="4">
        <v>6304.0</v>
      </c>
      <c r="B5467" s="4">
        <v>44613.0</v>
      </c>
      <c r="C5467" s="5">
        <f t="shared" ref="C5467:C5469" si="2294">DATE(2012,12,31)-854</f>
        <v>40420</v>
      </c>
      <c r="D5467" s="4" t="s">
        <v>30</v>
      </c>
      <c r="E5467" s="4">
        <v>34.0</v>
      </c>
      <c r="F5467" s="4">
        <v>1911.69</v>
      </c>
      <c r="G5467" s="4">
        <v>0.07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5">C5467+1</f>
        <v>40421</v>
      </c>
    </row>
    <row r="5468" ht="12.75" customHeight="1">
      <c r="A5468" s="4">
        <v>6305.0</v>
      </c>
      <c r="B5468" s="4">
        <v>44613.0</v>
      </c>
      <c r="C5468" s="5">
        <f t="shared" si="2294"/>
        <v>40420</v>
      </c>
      <c r="D5468" s="4" t="s">
        <v>30</v>
      </c>
      <c r="E5468" s="4">
        <v>17.0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5"/>
        <v>40421</v>
      </c>
    </row>
    <row r="5469" ht="12.75" customHeight="1">
      <c r="A5469" s="4">
        <v>6306.0</v>
      </c>
      <c r="B5469" s="4">
        <v>44613.0</v>
      </c>
      <c r="C5469" s="5">
        <f t="shared" si="2294"/>
        <v>40420</v>
      </c>
      <c r="D5469" s="4" t="s">
        <v>30</v>
      </c>
      <c r="E5469" s="4">
        <v>45.0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5"/>
        <v>40421</v>
      </c>
    </row>
    <row r="5470" ht="12.75" customHeight="1">
      <c r="A5470" s="4">
        <v>6344.0</v>
      </c>
      <c r="B5470" s="4">
        <v>44965.0</v>
      </c>
      <c r="C5470" s="5">
        <f t="shared" ref="C5470:C5471" si="2296">DATE(2012,12,31)-456</f>
        <v>40818</v>
      </c>
      <c r="D5470" s="4" t="s">
        <v>21</v>
      </c>
      <c r="E5470" s="4">
        <v>19.0</v>
      </c>
      <c r="F5470" s="4">
        <v>28.82</v>
      </c>
      <c r="G5470" s="4">
        <v>0.0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7">C5470+4</f>
        <v>40822</v>
      </c>
    </row>
    <row r="5471" ht="12.75" customHeight="1">
      <c r="A5471" s="4">
        <v>6345.0</v>
      </c>
      <c r="B5471" s="4">
        <v>44965.0</v>
      </c>
      <c r="C5471" s="5">
        <f t="shared" si="2296"/>
        <v>40818</v>
      </c>
      <c r="D5471" s="4" t="s">
        <v>21</v>
      </c>
      <c r="E5471" s="4">
        <v>45.0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7"/>
        <v>40822</v>
      </c>
    </row>
    <row r="5472" ht="12.75" customHeight="1">
      <c r="A5472" s="4">
        <v>6435.0</v>
      </c>
      <c r="B5472" s="4">
        <v>45733.0</v>
      </c>
      <c r="C5472" s="5">
        <f>DATE(2012,12,31)-756</f>
        <v>40518</v>
      </c>
      <c r="D5472" s="4" t="s">
        <v>78</v>
      </c>
      <c r="E5472" s="4">
        <v>39.0</v>
      </c>
      <c r="F5472" s="4">
        <v>851.17</v>
      </c>
      <c r="G5472" s="4">
        <v>0.07</v>
      </c>
      <c r="H5472" s="4" t="s">
        <v>22</v>
      </c>
      <c r="I5472" s="6">
        <v>-131.284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8">C5472+1</f>
        <v>40519</v>
      </c>
    </row>
    <row r="5473" ht="12.75" customHeight="1">
      <c r="A5473" s="4">
        <v>6448.0</v>
      </c>
      <c r="B5473" s="4">
        <v>45893.0</v>
      </c>
      <c r="C5473" s="5">
        <f>DATE(2012,12,31)-585</f>
        <v>40689</v>
      </c>
      <c r="D5473" s="4" t="s">
        <v>30</v>
      </c>
      <c r="E5473" s="4">
        <v>15.0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8"/>
        <v>40690</v>
      </c>
    </row>
    <row r="5474" ht="12.75" customHeight="1">
      <c r="A5474" s="4">
        <v>6476.0</v>
      </c>
      <c r="B5474" s="4">
        <v>46113.0</v>
      </c>
      <c r="C5474" s="5">
        <f>DATE(2012,12,31)-1125</f>
        <v>40149</v>
      </c>
      <c r="D5474" s="4" t="s">
        <v>45</v>
      </c>
      <c r="E5474" s="4">
        <v>18.0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136.98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8"/>
        <v>40150</v>
      </c>
    </row>
    <row r="5475" ht="12.75" customHeight="1">
      <c r="A5475" s="4">
        <v>6507.0</v>
      </c>
      <c r="B5475" s="4">
        <v>46311.0</v>
      </c>
      <c r="C5475" s="5">
        <f t="shared" ref="C5475:C5477" si="2299">DATE(2012,12,31)-525</f>
        <v>40749</v>
      </c>
      <c r="D5475" s="4" t="s">
        <v>30</v>
      </c>
      <c r="E5475" s="4">
        <v>42.0</v>
      </c>
      <c r="F5475" s="4">
        <v>1244.01</v>
      </c>
      <c r="G5475" s="4">
        <v>0.0</v>
      </c>
      <c r="H5475" s="4" t="s">
        <v>22</v>
      </c>
      <c r="I5475" s="6">
        <v>539.57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ht="12.75" customHeight="1">
      <c r="A5476" s="4">
        <v>6508.0</v>
      </c>
      <c r="B5476" s="4">
        <v>46311.0</v>
      </c>
      <c r="C5476" s="5">
        <f t="shared" si="2299"/>
        <v>40749</v>
      </c>
      <c r="D5476" s="4" t="s">
        <v>30</v>
      </c>
      <c r="E5476" s="4">
        <v>42.0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ht="12.75" customHeight="1">
      <c r="A5477" s="4">
        <v>6509.0</v>
      </c>
      <c r="B5477" s="4">
        <v>46311.0</v>
      </c>
      <c r="C5477" s="5">
        <f t="shared" si="2299"/>
        <v>40749</v>
      </c>
      <c r="D5477" s="4" t="s">
        <v>30</v>
      </c>
      <c r="E5477" s="4">
        <v>44.0</v>
      </c>
      <c r="F5477" s="4">
        <v>302.07</v>
      </c>
      <c r="G5477" s="4">
        <v>0.0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300">C5477+2</f>
        <v>40751</v>
      </c>
    </row>
    <row r="5478" ht="12.75" customHeight="1">
      <c r="A5478" s="4">
        <v>6660.0</v>
      </c>
      <c r="B5478" s="4">
        <v>47398.0</v>
      </c>
      <c r="C5478" s="5">
        <f>DATE(2012,12,31)-563</f>
        <v>40711</v>
      </c>
      <c r="D5478" s="4" t="s">
        <v>63</v>
      </c>
      <c r="E5478" s="4">
        <v>6.0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300"/>
        <v>40713</v>
      </c>
    </row>
    <row r="5479" ht="12.75" customHeight="1">
      <c r="A5479" s="4">
        <v>6685.0</v>
      </c>
      <c r="B5479" s="4">
        <v>47554.0</v>
      </c>
      <c r="C5479" s="5">
        <f t="shared" ref="C5479:C5480" si="2301">DATE(2012,12,31)-1024</f>
        <v>40250</v>
      </c>
      <c r="D5479" s="4" t="s">
        <v>21</v>
      </c>
      <c r="E5479" s="4">
        <v>9.0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</v>
      </c>
      <c r="U5479" s="5">
        <f>C5479+0</f>
        <v>40250</v>
      </c>
    </row>
    <row r="5480" ht="12.75" customHeight="1">
      <c r="A5480" s="4">
        <v>6686.0</v>
      </c>
      <c r="B5480" s="4">
        <v>47554.0</v>
      </c>
      <c r="C5480" s="5">
        <f t="shared" si="2301"/>
        <v>40250</v>
      </c>
      <c r="D5480" s="4" t="s">
        <v>21</v>
      </c>
      <c r="E5480" s="4">
        <v>47.0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4.0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ht="12.75" customHeight="1">
      <c r="A5481" s="4">
        <v>6757.0</v>
      </c>
      <c r="B5481" s="4">
        <v>48135.0</v>
      </c>
      <c r="C5481" s="5">
        <f>DATE(2012,12,31)-1352</f>
        <v>39922</v>
      </c>
      <c r="D5481" s="4" t="s">
        <v>30</v>
      </c>
      <c r="E5481" s="4">
        <v>40.0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ht="12.75" customHeight="1">
      <c r="A5482" s="4">
        <v>6917.0</v>
      </c>
      <c r="B5482" s="4">
        <v>49346.0</v>
      </c>
      <c r="C5482" s="5">
        <f t="shared" ref="C5482:C5483" si="2302">DATE(2012,12,31)-606</f>
        <v>40668</v>
      </c>
      <c r="D5482" s="4" t="s">
        <v>45</v>
      </c>
      <c r="E5482" s="4">
        <v>8.0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</v>
      </c>
      <c r="U5482" s="5">
        <f>C5482+3</f>
        <v>40671</v>
      </c>
    </row>
    <row r="5483" ht="12.75" customHeight="1">
      <c r="A5483" s="4">
        <v>6918.0</v>
      </c>
      <c r="B5483" s="4">
        <v>49346.0</v>
      </c>
      <c r="C5483" s="5">
        <f t="shared" si="2302"/>
        <v>40668</v>
      </c>
      <c r="D5483" s="4" t="s">
        <v>45</v>
      </c>
      <c r="E5483" s="4">
        <v>50.0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3">C5483+1</f>
        <v>40669</v>
      </c>
    </row>
    <row r="5484" ht="12.75" customHeight="1">
      <c r="A5484" s="4">
        <v>6954.0</v>
      </c>
      <c r="B5484" s="4">
        <v>49735.0</v>
      </c>
      <c r="C5484" s="5">
        <f>DATE(2012,12,31)-1195</f>
        <v>40079</v>
      </c>
      <c r="D5484" s="4" t="s">
        <v>45</v>
      </c>
      <c r="E5484" s="4">
        <v>32.0</v>
      </c>
      <c r="F5484" s="4">
        <v>1929.19</v>
      </c>
      <c r="G5484" s="4">
        <v>0.04</v>
      </c>
      <c r="H5484" s="4" t="s">
        <v>22</v>
      </c>
      <c r="I5484" s="6">
        <v>570.67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</v>
      </c>
      <c r="U5484" s="5">
        <f t="shared" si="2303"/>
        <v>40080</v>
      </c>
    </row>
    <row r="5485" ht="12.75" customHeight="1">
      <c r="A5485" s="4">
        <v>7020.0</v>
      </c>
      <c r="B5485" s="4">
        <v>50087.0</v>
      </c>
      <c r="C5485" s="5">
        <f>DATE(2012,12,31)-961</f>
        <v>40313</v>
      </c>
      <c r="D5485" s="4" t="s">
        <v>45</v>
      </c>
      <c r="E5485" s="4">
        <v>17.0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4">C5485+2</f>
        <v>40315</v>
      </c>
    </row>
    <row r="5486" ht="12.75" customHeight="1">
      <c r="A5486" s="4">
        <v>7071.0</v>
      </c>
      <c r="B5486" s="4">
        <v>50466.0</v>
      </c>
      <c r="C5486" s="5">
        <f>DATE(2012,12,31)-186</f>
        <v>41088</v>
      </c>
      <c r="D5486" s="4" t="s">
        <v>78</v>
      </c>
      <c r="E5486" s="4">
        <v>32.0</v>
      </c>
      <c r="F5486" s="4">
        <v>6892.07</v>
      </c>
      <c r="G5486" s="4">
        <v>0.05</v>
      </c>
      <c r="H5486" s="4" t="s">
        <v>56</v>
      </c>
      <c r="I5486" s="6">
        <v>2754.1615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4"/>
        <v>41090</v>
      </c>
    </row>
    <row r="5487" ht="12.75" customHeight="1">
      <c r="A5487" s="4">
        <v>7078.0</v>
      </c>
      <c r="B5487" s="4">
        <v>50501.0</v>
      </c>
      <c r="C5487" s="5">
        <f>DATE(2012,12,31)-1312</f>
        <v>39962</v>
      </c>
      <c r="D5487" s="4" t="s">
        <v>30</v>
      </c>
      <c r="E5487" s="4">
        <v>31.0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4"/>
        <v>39964</v>
      </c>
    </row>
    <row r="5488" ht="12.75" customHeight="1">
      <c r="A5488" s="4">
        <v>7123.0</v>
      </c>
      <c r="B5488" s="4">
        <v>50818.0</v>
      </c>
      <c r="C5488" s="5">
        <f>DATE(2012,12,31)-86</f>
        <v>41188</v>
      </c>
      <c r="D5488" s="4" t="s">
        <v>63</v>
      </c>
      <c r="E5488" s="4">
        <v>34.0</v>
      </c>
      <c r="F5488" s="4">
        <v>5518.5315</v>
      </c>
      <c r="G5488" s="4">
        <v>0.1</v>
      </c>
      <c r="H5488" s="4" t="s">
        <v>22</v>
      </c>
      <c r="I5488" s="6">
        <v>1111.257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</v>
      </c>
      <c r="U5488" s="5">
        <f t="shared" si="2304"/>
        <v>41190</v>
      </c>
    </row>
    <row r="5489" ht="12.75" customHeight="1">
      <c r="A5489" s="4">
        <v>7130.0</v>
      </c>
      <c r="B5489" s="4">
        <v>50852.0</v>
      </c>
      <c r="C5489" s="5">
        <f>DATE(2012,12,31)-568</f>
        <v>40706</v>
      </c>
      <c r="D5489" s="4" t="s">
        <v>63</v>
      </c>
      <c r="E5489" s="4">
        <v>24.0</v>
      </c>
      <c r="F5489" s="4">
        <v>188.47</v>
      </c>
      <c r="G5489" s="4">
        <v>0.03</v>
      </c>
      <c r="H5489" s="4" t="s">
        <v>22</v>
      </c>
      <c r="I5489" s="6">
        <v>-191.2335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ht="12.75" customHeight="1">
      <c r="A5490" s="4">
        <v>7300.0</v>
      </c>
      <c r="B5490" s="4">
        <v>52068.0</v>
      </c>
      <c r="C5490" s="5">
        <f t="shared" ref="C5490:C5493" si="2305">DATE(2012,12,31)-353</f>
        <v>40921</v>
      </c>
      <c r="D5490" s="4" t="s">
        <v>45</v>
      </c>
      <c r="E5490" s="4">
        <v>31.0</v>
      </c>
      <c r="F5490" s="4">
        <v>163.27</v>
      </c>
      <c r="G5490" s="4">
        <v>0.04</v>
      </c>
      <c r="H5490" s="4" t="s">
        <v>22</v>
      </c>
      <c r="I5490" s="6">
        <v>-0.6210000000000011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6">C5490+0</f>
        <v>40921</v>
      </c>
    </row>
    <row r="5491" ht="12.75" customHeight="1">
      <c r="A5491" s="4">
        <v>7301.0</v>
      </c>
      <c r="B5491" s="4">
        <v>52068.0</v>
      </c>
      <c r="C5491" s="5">
        <f t="shared" si="2305"/>
        <v>40921</v>
      </c>
      <c r="D5491" s="4" t="s">
        <v>45</v>
      </c>
      <c r="E5491" s="4">
        <v>47.0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6"/>
        <v>40921</v>
      </c>
    </row>
    <row r="5492" ht="12.75" customHeight="1">
      <c r="A5492" s="4">
        <v>7302.0</v>
      </c>
      <c r="B5492" s="4">
        <v>52068.0</v>
      </c>
      <c r="C5492" s="5">
        <f t="shared" si="2305"/>
        <v>40921</v>
      </c>
      <c r="D5492" s="4" t="s">
        <v>45</v>
      </c>
      <c r="E5492" s="4">
        <v>21.0</v>
      </c>
      <c r="F5492" s="4">
        <v>1217.5</v>
      </c>
      <c r="G5492" s="4">
        <v>0.07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ht="12.75" customHeight="1">
      <c r="A5493" s="4">
        <v>7303.0</v>
      </c>
      <c r="B5493" s="4">
        <v>52068.0</v>
      </c>
      <c r="C5493" s="5">
        <f t="shared" si="2305"/>
        <v>40921</v>
      </c>
      <c r="D5493" s="4" t="s">
        <v>45</v>
      </c>
      <c r="E5493" s="4">
        <v>17.0</v>
      </c>
      <c r="F5493" s="4">
        <v>441.53</v>
      </c>
      <c r="G5493" s="4">
        <v>0.07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7">C5493+2</f>
        <v>40923</v>
      </c>
    </row>
    <row r="5494" ht="12.75" customHeight="1">
      <c r="A5494" s="4">
        <v>7383.0</v>
      </c>
      <c r="B5494" s="4">
        <v>52641.0</v>
      </c>
      <c r="C5494" s="5">
        <f>DATE(2012,12,31)-815</f>
        <v>40459</v>
      </c>
      <c r="D5494" s="4" t="s">
        <v>45</v>
      </c>
      <c r="E5494" s="4">
        <v>6.0</v>
      </c>
      <c r="F5494" s="4">
        <v>834.2154999999999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7"/>
        <v>40461</v>
      </c>
    </row>
    <row r="5495" ht="12.75" customHeight="1">
      <c r="A5495" s="4">
        <v>7474.0</v>
      </c>
      <c r="B5495" s="4">
        <v>53378.0</v>
      </c>
      <c r="C5495" s="5">
        <f t="shared" ref="C5495:C5497" si="2308">DATE(2012,12,31)-171</f>
        <v>41103</v>
      </c>
      <c r="D5495" s="4" t="s">
        <v>63</v>
      </c>
      <c r="E5495" s="4">
        <v>50.0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9">C5495+1</f>
        <v>41104</v>
      </c>
    </row>
    <row r="5496" ht="12.75" customHeight="1">
      <c r="A5496" s="4">
        <v>7475.0</v>
      </c>
      <c r="B5496" s="4">
        <v>53378.0</v>
      </c>
      <c r="C5496" s="5">
        <f t="shared" si="2308"/>
        <v>41103</v>
      </c>
      <c r="D5496" s="4" t="s">
        <v>63</v>
      </c>
      <c r="E5496" s="4">
        <v>38.0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33.98</v>
      </c>
      <c r="K5496" s="4">
        <v>19.99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</v>
      </c>
      <c r="U5496" s="5">
        <f t="shared" si="2309"/>
        <v>41104</v>
      </c>
    </row>
    <row r="5497" ht="12.75" customHeight="1">
      <c r="A5497" s="4">
        <v>7476.0</v>
      </c>
      <c r="B5497" s="4">
        <v>53378.0</v>
      </c>
      <c r="C5497" s="5">
        <f t="shared" si="2308"/>
        <v>41103</v>
      </c>
      <c r="D5497" s="4" t="s">
        <v>63</v>
      </c>
      <c r="E5497" s="4">
        <v>49.0</v>
      </c>
      <c r="F5497" s="4">
        <v>2377.28</v>
      </c>
      <c r="G5497" s="4">
        <v>0.04</v>
      </c>
      <c r="H5497" s="4" t="s">
        <v>22</v>
      </c>
      <c r="I5497" s="6">
        <v>-5.786</v>
      </c>
      <c r="J5497" s="4">
        <v>55.99</v>
      </c>
      <c r="K5497" s="4">
        <v>5.0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9"/>
        <v>41104</v>
      </c>
    </row>
    <row r="5498" ht="12.75" customHeight="1">
      <c r="A5498" s="4">
        <v>7689.0</v>
      </c>
      <c r="B5498" s="4">
        <v>55136.0</v>
      </c>
      <c r="C5498" s="5">
        <f>DATE(2012,12,31)-814</f>
        <v>40460</v>
      </c>
      <c r="D5498" s="4" t="s">
        <v>78</v>
      </c>
      <c r="E5498" s="4">
        <v>29.0</v>
      </c>
      <c r="F5498" s="4">
        <v>134.68</v>
      </c>
      <c r="G5498" s="4">
        <v>0.1</v>
      </c>
      <c r="H5498" s="4" t="s">
        <v>22</v>
      </c>
      <c r="I5498" s="6">
        <v>-66.46</v>
      </c>
      <c r="J5498" s="4">
        <v>4.98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10">C5498+2</f>
        <v>40462</v>
      </c>
    </row>
    <row r="5499" ht="12.75" customHeight="1">
      <c r="A5499" s="4">
        <v>7780.0</v>
      </c>
      <c r="B5499" s="4">
        <v>55655.0</v>
      </c>
      <c r="C5499" s="5">
        <f>DATE(2012,12,31)-98</f>
        <v>41176</v>
      </c>
      <c r="D5499" s="4" t="s">
        <v>21</v>
      </c>
      <c r="E5499" s="4">
        <v>33.0</v>
      </c>
      <c r="F5499" s="4">
        <v>3671.1414999999997</v>
      </c>
      <c r="G5499" s="4">
        <v>0.02</v>
      </c>
      <c r="H5499" s="4" t="s">
        <v>22</v>
      </c>
      <c r="I5499" s="6">
        <v>995.085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</v>
      </c>
      <c r="U5499" s="5">
        <f t="shared" si="2310"/>
        <v>41178</v>
      </c>
    </row>
    <row r="5500" ht="12.75" customHeight="1">
      <c r="A5500" s="4">
        <v>7794.0</v>
      </c>
      <c r="B5500" s="4">
        <v>55750.0</v>
      </c>
      <c r="C5500" s="5">
        <f>DATE(2012,12,31)-857</f>
        <v>40417</v>
      </c>
      <c r="D5500" s="4" t="s">
        <v>78</v>
      </c>
      <c r="E5500" s="4">
        <v>31.0</v>
      </c>
      <c r="F5500" s="4">
        <v>5445.992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10"/>
        <v>40419</v>
      </c>
    </row>
    <row r="5501" ht="12.75" customHeight="1">
      <c r="A5501" s="4">
        <v>7841.0</v>
      </c>
      <c r="B5501" s="4">
        <v>56064.0</v>
      </c>
      <c r="C5501" s="5">
        <f>DATE(2012,12,31)-1159</f>
        <v>40115</v>
      </c>
      <c r="D5501" s="4" t="s">
        <v>63</v>
      </c>
      <c r="E5501" s="4">
        <v>41.0</v>
      </c>
      <c r="F5501" s="4">
        <v>1169.26</v>
      </c>
      <c r="G5501" s="4">
        <v>0.02</v>
      </c>
      <c r="H5501" s="4" t="s">
        <v>22</v>
      </c>
      <c r="I5501" s="6">
        <v>515.6185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ht="12.75" customHeight="1">
      <c r="A5502" s="4">
        <v>7950.0</v>
      </c>
      <c r="B5502" s="4">
        <v>56804.0</v>
      </c>
      <c r="C5502" s="5">
        <f t="shared" ref="C5502:C5503" si="2311">DATE(2012,12,31)-645</f>
        <v>40629</v>
      </c>
      <c r="D5502" s="4" t="s">
        <v>78</v>
      </c>
      <c r="E5502" s="4">
        <v>41.0</v>
      </c>
      <c r="F5502" s="4">
        <v>136.45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ht="12.75" customHeight="1">
      <c r="A5503" s="4">
        <v>7951.0</v>
      </c>
      <c r="B5503" s="4">
        <v>56804.0</v>
      </c>
      <c r="C5503" s="5">
        <f t="shared" si="2311"/>
        <v>40629</v>
      </c>
      <c r="D5503" s="4" t="s">
        <v>78</v>
      </c>
      <c r="E5503" s="4">
        <v>24.0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</v>
      </c>
      <c r="K5503" s="4">
        <v>4.86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ht="12.75" customHeight="1">
      <c r="A5504" s="4">
        <v>8000.0</v>
      </c>
      <c r="B5504" s="4">
        <v>57157.0</v>
      </c>
      <c r="C5504" s="5">
        <f>DATE(2012,12,31)-309</f>
        <v>40965</v>
      </c>
      <c r="D5504" s="4" t="s">
        <v>78</v>
      </c>
      <c r="E5504" s="4">
        <v>18.0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0.58</v>
      </c>
      <c r="U5504" s="5">
        <f>C5504+3</f>
        <v>40968</v>
      </c>
    </row>
    <row r="5505" ht="12.75" customHeight="1">
      <c r="A5505" s="4">
        <v>8122.0</v>
      </c>
      <c r="B5505" s="4">
        <v>58053.0</v>
      </c>
      <c r="C5505" s="5">
        <f>DATE(2012,12,31)-1088</f>
        <v>40186</v>
      </c>
      <c r="D5505" s="4" t="s">
        <v>63</v>
      </c>
      <c r="E5505" s="4">
        <v>42.0</v>
      </c>
      <c r="F5505" s="4">
        <v>287.75</v>
      </c>
      <c r="G5505" s="4">
        <v>0.02</v>
      </c>
      <c r="H5505" s="4" t="s">
        <v>22</v>
      </c>
      <c r="I5505" s="6">
        <v>-136.02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ht="12.75" customHeight="1">
      <c r="A5506" s="4">
        <v>8131.0</v>
      </c>
      <c r="B5506" s="4">
        <v>58116.0</v>
      </c>
      <c r="C5506" s="5">
        <f>DATE(2012,12,31)-1374</f>
        <v>39900</v>
      </c>
      <c r="D5506" s="4" t="s">
        <v>78</v>
      </c>
      <c r="E5506" s="4">
        <v>6.0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ht="12.75" customHeight="1">
      <c r="A5507" s="4">
        <v>8140.0</v>
      </c>
      <c r="B5507" s="4">
        <v>58181.0</v>
      </c>
      <c r="C5507" s="5">
        <f>DATE(2012,12,31)-85</f>
        <v>41189</v>
      </c>
      <c r="D5507" s="4" t="s">
        <v>45</v>
      </c>
      <c r="E5507" s="4">
        <v>5.0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ht="12.75" customHeight="1">
      <c r="A5508" s="4">
        <v>8152.0</v>
      </c>
      <c r="B5508" s="4">
        <v>58308.0</v>
      </c>
      <c r="C5508" s="5">
        <f t="shared" ref="C5508:C5510" si="2312">DATE(2012,12,31)-955</f>
        <v>40319</v>
      </c>
      <c r="D5508" s="4" t="s">
        <v>45</v>
      </c>
      <c r="E5508" s="4">
        <v>35.0</v>
      </c>
      <c r="F5508" s="4">
        <v>2173.26</v>
      </c>
      <c r="G5508" s="4">
        <v>0.0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ht="12.75" customHeight="1">
      <c r="A5509" s="4">
        <v>8153.0</v>
      </c>
      <c r="B5509" s="4">
        <v>58308.0</v>
      </c>
      <c r="C5509" s="5">
        <f t="shared" si="2312"/>
        <v>40319</v>
      </c>
      <c r="D5509" s="4" t="s">
        <v>45</v>
      </c>
      <c r="E5509" s="4">
        <v>20.0</v>
      </c>
      <c r="F5509" s="4">
        <v>623.29</v>
      </c>
      <c r="G5509" s="4">
        <v>0.0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ht="12.75" customHeight="1">
      <c r="A5510" s="4">
        <v>8154.0</v>
      </c>
      <c r="B5510" s="4">
        <v>58308.0</v>
      </c>
      <c r="C5510" s="5">
        <f t="shared" si="2312"/>
        <v>40319</v>
      </c>
      <c r="D5510" s="4" t="s">
        <v>45</v>
      </c>
      <c r="E5510" s="4">
        <v>2.0</v>
      </c>
      <c r="F5510" s="4">
        <v>40.34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ht="12.75" customHeight="1">
      <c r="A5511" s="4">
        <v>8157.0</v>
      </c>
      <c r="B5511" s="4">
        <v>58339.0</v>
      </c>
      <c r="C5511" s="5">
        <f t="shared" ref="C5511:C5512" si="2313">DATE(2012,12,31)-1297</f>
        <v>39977</v>
      </c>
      <c r="D5511" s="4" t="s">
        <v>30</v>
      </c>
      <c r="E5511" s="4">
        <v>9.0</v>
      </c>
      <c r="F5511" s="4">
        <v>1608.87</v>
      </c>
      <c r="G5511" s="4">
        <v>0.07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</v>
      </c>
      <c r="U5511" s="5">
        <f>C5511+0</f>
        <v>39977</v>
      </c>
    </row>
    <row r="5512" ht="12.75" customHeight="1">
      <c r="A5512" s="4">
        <v>8158.0</v>
      </c>
      <c r="B5512" s="4">
        <v>58339.0</v>
      </c>
      <c r="C5512" s="5">
        <f t="shared" si="2313"/>
        <v>39977</v>
      </c>
      <c r="D5512" s="4" t="s">
        <v>30</v>
      </c>
      <c r="E5512" s="4">
        <v>11.0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ht="12.75" customHeight="1">
      <c r="A5513" s="4">
        <v>8237.0</v>
      </c>
      <c r="B5513" s="4">
        <v>58883.0</v>
      </c>
      <c r="C5513" s="5">
        <f>DATE(2012,12,31)-141</f>
        <v>41133</v>
      </c>
      <c r="D5513" s="4" t="s">
        <v>21</v>
      </c>
      <c r="E5513" s="4">
        <v>36.0</v>
      </c>
      <c r="F5513" s="4">
        <v>161.56</v>
      </c>
      <c r="G5513" s="4">
        <v>0.0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ht="12.75" customHeight="1">
      <c r="A5514" s="4">
        <v>8363.0</v>
      </c>
      <c r="B5514" s="4">
        <v>59777.0</v>
      </c>
      <c r="C5514" s="5">
        <f>DATE(2012,12,31)-750</f>
        <v>40524</v>
      </c>
      <c r="D5514" s="4" t="s">
        <v>30</v>
      </c>
      <c r="E5514" s="4">
        <v>19.0</v>
      </c>
      <c r="F5514" s="4">
        <v>917.31</v>
      </c>
      <c r="G5514" s="4">
        <v>0.05</v>
      </c>
      <c r="H5514" s="4" t="s">
        <v>56</v>
      </c>
      <c r="I5514" s="6">
        <v>-139.86</v>
      </c>
      <c r="J5514" s="4">
        <v>49.99</v>
      </c>
      <c r="K5514" s="4">
        <v>19.99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4">C5514+1</f>
        <v>40525</v>
      </c>
    </row>
    <row r="5515" ht="12.75" customHeight="1">
      <c r="A5515" s="4">
        <v>87.0</v>
      </c>
      <c r="B5515" s="4">
        <v>548.0</v>
      </c>
      <c r="C5515" s="5">
        <f t="shared" ref="C5515:C5517" si="2315">DATE(2012,12,31)-1198</f>
        <v>40076</v>
      </c>
      <c r="D5515" s="4" t="s">
        <v>78</v>
      </c>
      <c r="E5515" s="4">
        <v>41.0</v>
      </c>
      <c r="F5515" s="4">
        <v>129.49</v>
      </c>
      <c r="G5515" s="4">
        <v>0.04</v>
      </c>
      <c r="H5515" s="4" t="s">
        <v>22</v>
      </c>
      <c r="I5515" s="6">
        <v>36.02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4"/>
        <v>40077</v>
      </c>
    </row>
    <row r="5516" ht="12.75" customHeight="1">
      <c r="A5516" s="4">
        <v>88.0</v>
      </c>
      <c r="B5516" s="4">
        <v>548.0</v>
      </c>
      <c r="C5516" s="5">
        <f t="shared" si="2315"/>
        <v>40076</v>
      </c>
      <c r="D5516" s="4" t="s">
        <v>78</v>
      </c>
      <c r="E5516" s="4">
        <v>29.0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4"/>
        <v>40077</v>
      </c>
    </row>
    <row r="5517" ht="12.75" customHeight="1">
      <c r="A5517" s="4">
        <v>89.0</v>
      </c>
      <c r="B5517" s="4">
        <v>548.0</v>
      </c>
      <c r="C5517" s="5">
        <f t="shared" si="2315"/>
        <v>40076</v>
      </c>
      <c r="D5517" s="4" t="s">
        <v>78</v>
      </c>
      <c r="E5517" s="4">
        <v>26.0</v>
      </c>
      <c r="F5517" s="4">
        <v>2753.1925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ht="12.75" customHeight="1">
      <c r="A5518" s="4">
        <v>116.0</v>
      </c>
      <c r="B5518" s="4">
        <v>771.0</v>
      </c>
      <c r="C5518" s="5">
        <f>DATE(2012,12,31)-564</f>
        <v>40710</v>
      </c>
      <c r="D5518" s="4" t="s">
        <v>78</v>
      </c>
      <c r="E5518" s="4">
        <v>18.0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ht="12.75" customHeight="1">
      <c r="A5519" s="4">
        <v>279.0</v>
      </c>
      <c r="B5519" s="4">
        <v>1925.0</v>
      </c>
      <c r="C5519" s="5">
        <f>DATE(2012,12,31)-302</f>
        <v>40972</v>
      </c>
      <c r="D5519" s="4" t="s">
        <v>78</v>
      </c>
      <c r="E5519" s="4">
        <v>40.0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6">C5519+2</f>
        <v>40974</v>
      </c>
    </row>
    <row r="5520" ht="12.75" customHeight="1">
      <c r="A5520" s="4">
        <v>303.0</v>
      </c>
      <c r="B5520" s="4">
        <v>2086.0</v>
      </c>
      <c r="C5520" s="5">
        <f t="shared" ref="C5520:C5522" si="2317">DATE(2012,12,31)-1170</f>
        <v>40104</v>
      </c>
      <c r="D5520" s="4" t="s">
        <v>78</v>
      </c>
      <c r="E5520" s="4">
        <v>24.0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6"/>
        <v>40106</v>
      </c>
    </row>
    <row r="5521" ht="12.75" customHeight="1">
      <c r="A5521" s="4">
        <v>304.0</v>
      </c>
      <c r="B5521" s="4">
        <v>2086.0</v>
      </c>
      <c r="C5521" s="5">
        <f t="shared" si="2317"/>
        <v>40104</v>
      </c>
      <c r="D5521" s="4" t="s">
        <v>78</v>
      </c>
      <c r="E5521" s="4">
        <v>38.0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65.99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</v>
      </c>
      <c r="U5521" s="5">
        <f>C5521+1</f>
        <v>40105</v>
      </c>
    </row>
    <row r="5522" ht="12.75" customHeight="1">
      <c r="A5522" s="4">
        <v>305.0</v>
      </c>
      <c r="B5522" s="4">
        <v>2086.0</v>
      </c>
      <c r="C5522" s="5">
        <f t="shared" si="2317"/>
        <v>40104</v>
      </c>
      <c r="D5522" s="4" t="s">
        <v>78</v>
      </c>
      <c r="E5522" s="4">
        <v>9.0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ht="12.75" customHeight="1">
      <c r="A5523" s="4">
        <v>912.0</v>
      </c>
      <c r="B5523" s="4">
        <v>6560.0</v>
      </c>
      <c r="C5523" s="5">
        <f t="shared" ref="C5523:C5524" si="2318">DATE(2012,12,31)-727</f>
        <v>40547</v>
      </c>
      <c r="D5523" s="4" t="s">
        <v>21</v>
      </c>
      <c r="E5523" s="4">
        <v>20.0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0.58</v>
      </c>
      <c r="U5523" s="5">
        <f>C5523+4</f>
        <v>40551</v>
      </c>
    </row>
    <row r="5524" ht="12.75" customHeight="1">
      <c r="A5524" s="4">
        <v>913.0</v>
      </c>
      <c r="B5524" s="4">
        <v>6560.0</v>
      </c>
      <c r="C5524" s="5">
        <f t="shared" si="2318"/>
        <v>40547</v>
      </c>
      <c r="D5524" s="4" t="s">
        <v>21</v>
      </c>
      <c r="E5524" s="4">
        <v>37.0</v>
      </c>
      <c r="F5524" s="4">
        <v>8252.392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ht="12.75" customHeight="1">
      <c r="A5525" s="4">
        <v>981.0</v>
      </c>
      <c r="B5525" s="4">
        <v>7105.0</v>
      </c>
      <c r="C5525" s="5">
        <f>DATE(2012,12,31)-924</f>
        <v>40350</v>
      </c>
      <c r="D5525" s="4" t="s">
        <v>21</v>
      </c>
      <c r="E5525" s="4">
        <v>17.0</v>
      </c>
      <c r="F5525" s="4">
        <v>77.19</v>
      </c>
      <c r="G5525" s="4">
        <v>0.03</v>
      </c>
      <c r="H5525" s="4" t="s">
        <v>22</v>
      </c>
      <c r="I5525" s="6">
        <v>-81.35</v>
      </c>
      <c r="J5525" s="4">
        <v>4.06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ht="12.75" customHeight="1">
      <c r="A5526" s="4">
        <v>1052.0</v>
      </c>
      <c r="B5526" s="4">
        <v>7776.0</v>
      </c>
      <c r="C5526" s="5">
        <f t="shared" ref="C5526:C5527" si="2319">DATE(2012,12,31)-1388</f>
        <v>39886</v>
      </c>
      <c r="D5526" s="4" t="s">
        <v>63</v>
      </c>
      <c r="E5526" s="4">
        <v>36.0</v>
      </c>
      <c r="F5526" s="4">
        <v>7223.59</v>
      </c>
      <c r="G5526" s="4">
        <v>0.07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0.58</v>
      </c>
      <c r="U5526" s="5">
        <f>C5526+1</f>
        <v>39887</v>
      </c>
    </row>
    <row r="5527" ht="12.75" customHeight="1">
      <c r="A5527" s="4">
        <v>1053.0</v>
      </c>
      <c r="B5527" s="4">
        <v>7776.0</v>
      </c>
      <c r="C5527" s="5">
        <f t="shared" si="2319"/>
        <v>39886</v>
      </c>
      <c r="D5527" s="4" t="s">
        <v>63</v>
      </c>
      <c r="E5527" s="4">
        <v>6.0</v>
      </c>
      <c r="F5527" s="4">
        <v>934.216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ht="12.75" customHeight="1">
      <c r="A5528" s="4">
        <v>1160.0</v>
      </c>
      <c r="B5528" s="4">
        <v>8450.0</v>
      </c>
      <c r="C5528" s="5">
        <f t="shared" ref="C5528:C5529" si="2320">DATE(2012,12,31)-262</f>
        <v>41012</v>
      </c>
      <c r="D5528" s="4" t="s">
        <v>45</v>
      </c>
      <c r="E5528" s="4">
        <v>24.0</v>
      </c>
      <c r="F5528" s="4">
        <v>1307.0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0.57</v>
      </c>
      <c r="U5528" s="5">
        <f>C5528+2</f>
        <v>41014</v>
      </c>
    </row>
    <row r="5529" ht="12.75" customHeight="1">
      <c r="A5529" s="4">
        <v>1161.0</v>
      </c>
      <c r="B5529" s="4">
        <v>8450.0</v>
      </c>
      <c r="C5529" s="5">
        <f t="shared" si="2320"/>
        <v>41012</v>
      </c>
      <c r="D5529" s="4" t="s">
        <v>45</v>
      </c>
      <c r="E5529" s="4">
        <v>22.0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ht="12.75" customHeight="1">
      <c r="A5530" s="4">
        <v>2241.0</v>
      </c>
      <c r="B5530" s="4">
        <v>16164.0</v>
      </c>
      <c r="C5530" s="5">
        <f>DATE(2012,12,31)-363</f>
        <v>40911</v>
      </c>
      <c r="D5530" s="4" t="s">
        <v>21</v>
      </c>
      <c r="E5530" s="4">
        <v>26.0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14.0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ht="12.75" customHeight="1">
      <c r="A5531" s="4">
        <v>2601.0</v>
      </c>
      <c r="B5531" s="4">
        <v>18789.0</v>
      </c>
      <c r="C5531" s="5">
        <f>DATE(2012,12,31)-656</f>
        <v>40618</v>
      </c>
      <c r="D5531" s="4" t="s">
        <v>30</v>
      </c>
      <c r="E5531" s="4">
        <v>50.0</v>
      </c>
      <c r="F5531" s="4">
        <v>1558.18</v>
      </c>
      <c r="G5531" s="4">
        <v>0.0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1">C5531+2</f>
        <v>40620</v>
      </c>
    </row>
    <row r="5532" ht="12.75" customHeight="1">
      <c r="A5532" s="4">
        <v>2639.0</v>
      </c>
      <c r="B5532" s="4">
        <v>19105.0</v>
      </c>
      <c r="C5532" s="5">
        <f t="shared" ref="C5532:C5533" si="2322">DATE(2012,12,31)-1160</f>
        <v>40114</v>
      </c>
      <c r="D5532" s="4" t="s">
        <v>30</v>
      </c>
      <c r="E5532" s="4">
        <v>31.0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1"/>
        <v>40116</v>
      </c>
    </row>
    <row r="5533" ht="12.75" customHeight="1">
      <c r="A5533" s="4">
        <v>2640.0</v>
      </c>
      <c r="B5533" s="4">
        <v>19105.0</v>
      </c>
      <c r="C5533" s="5">
        <f t="shared" si="2322"/>
        <v>40114</v>
      </c>
      <c r="D5533" s="4" t="s">
        <v>30</v>
      </c>
      <c r="E5533" s="4">
        <v>29.0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ht="12.75" customHeight="1">
      <c r="A5534" s="4">
        <v>2642.0</v>
      </c>
      <c r="B5534" s="4">
        <v>19136.0</v>
      </c>
      <c r="C5534" s="5">
        <f>DATE(2012,12,31)-880</f>
        <v>40394</v>
      </c>
      <c r="D5534" s="4" t="s">
        <v>45</v>
      </c>
      <c r="E5534" s="4">
        <v>44.0</v>
      </c>
      <c r="F5534" s="4">
        <v>1372.9455</v>
      </c>
      <c r="G5534" s="4">
        <v>0.0</v>
      </c>
      <c r="H5534" s="4" t="s">
        <v>22</v>
      </c>
      <c r="I5534" s="6">
        <v>429.885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0.57</v>
      </c>
      <c r="U5534" s="5">
        <f>C5534+2</f>
        <v>40396</v>
      </c>
    </row>
    <row r="5535" ht="12.75" customHeight="1">
      <c r="A5535" s="4">
        <v>2657.0</v>
      </c>
      <c r="B5535" s="4">
        <v>19206.0</v>
      </c>
      <c r="C5535" s="5">
        <f t="shared" ref="C5535:C5536" si="2323">DATE(2012,12,31)-1007</f>
        <v>40267</v>
      </c>
      <c r="D5535" s="4" t="s">
        <v>21</v>
      </c>
      <c r="E5535" s="4">
        <v>40.0</v>
      </c>
      <c r="F5535" s="4">
        <v>88.02</v>
      </c>
      <c r="G5535" s="4">
        <v>0.0</v>
      </c>
      <c r="H5535" s="4" t="s">
        <v>22</v>
      </c>
      <c r="I5535" s="6">
        <v>-6.543500000000001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ht="12.75" customHeight="1">
      <c r="A5536" s="4">
        <v>2658.0</v>
      </c>
      <c r="B5536" s="4">
        <v>19206.0</v>
      </c>
      <c r="C5536" s="5">
        <f t="shared" si="2323"/>
        <v>40267</v>
      </c>
      <c r="D5536" s="4" t="s">
        <v>21</v>
      </c>
      <c r="E5536" s="4">
        <v>32.0</v>
      </c>
      <c r="F5536" s="4">
        <v>800.0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ht="12.75" customHeight="1">
      <c r="A5537" s="4">
        <v>2725.0</v>
      </c>
      <c r="B5537" s="4">
        <v>19654.0</v>
      </c>
      <c r="C5537" s="5">
        <f>DATE(2012,12,31)-722</f>
        <v>40552</v>
      </c>
      <c r="D5537" s="4" t="s">
        <v>30</v>
      </c>
      <c r="E5537" s="4">
        <v>8.0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ht="12.75" customHeight="1">
      <c r="A5538" s="4">
        <v>2775.0</v>
      </c>
      <c r="B5538" s="4">
        <v>20037.0</v>
      </c>
      <c r="C5538" s="5">
        <f t="shared" ref="C5538:C5539" si="2324">DATE(2012,12,31)-1451</f>
        <v>39823</v>
      </c>
      <c r="D5538" s="4" t="s">
        <v>21</v>
      </c>
      <c r="E5538" s="4">
        <v>35.0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5">C5538+5</f>
        <v>39828</v>
      </c>
    </row>
    <row r="5539" ht="12.75" customHeight="1">
      <c r="A5539" s="4">
        <v>2776.0</v>
      </c>
      <c r="B5539" s="4">
        <v>20037.0</v>
      </c>
      <c r="C5539" s="5">
        <f t="shared" si="2324"/>
        <v>39823</v>
      </c>
      <c r="D5539" s="4" t="s">
        <v>21</v>
      </c>
      <c r="E5539" s="4">
        <v>49.0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0.57</v>
      </c>
      <c r="U5539" s="5">
        <f t="shared" si="2325"/>
        <v>39828</v>
      </c>
    </row>
    <row r="5540" ht="12.75" customHeight="1">
      <c r="A5540" s="4">
        <v>2855.0</v>
      </c>
      <c r="B5540" s="4">
        <v>20549.0</v>
      </c>
      <c r="C5540" s="5">
        <f>DATE(2012,12,31)-1449</f>
        <v>39825</v>
      </c>
      <c r="D5540" s="4" t="s">
        <v>45</v>
      </c>
      <c r="E5540" s="4">
        <v>40.0</v>
      </c>
      <c r="F5540" s="4">
        <v>1030.09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19.99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ht="12.75" customHeight="1">
      <c r="A5541" s="4">
        <v>2888.0</v>
      </c>
      <c r="B5541" s="4">
        <v>20832.0</v>
      </c>
      <c r="C5541" s="5">
        <f t="shared" ref="C5541:C5542" si="2326">DATE(2012,12,31)-885</f>
        <v>40389</v>
      </c>
      <c r="D5541" s="4" t="s">
        <v>45</v>
      </c>
      <c r="E5541" s="4">
        <v>47.0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ht="12.75" customHeight="1">
      <c r="A5542" s="4">
        <v>2889.0</v>
      </c>
      <c r="B5542" s="4">
        <v>20832.0</v>
      </c>
      <c r="C5542" s="5">
        <f t="shared" si="2326"/>
        <v>40389</v>
      </c>
      <c r="D5542" s="4" t="s">
        <v>45</v>
      </c>
      <c r="E5542" s="4">
        <v>39.0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ht="12.75" customHeight="1">
      <c r="A5543" s="4">
        <v>3191.0</v>
      </c>
      <c r="B5543" s="4">
        <v>22887.0</v>
      </c>
      <c r="C5543" s="5">
        <f>DATE(2012,12,31)-774</f>
        <v>40500</v>
      </c>
      <c r="D5543" s="4" t="s">
        <v>45</v>
      </c>
      <c r="E5543" s="4">
        <v>34.0</v>
      </c>
      <c r="F5543" s="4">
        <v>9107.27</v>
      </c>
      <c r="G5543" s="4">
        <v>0.07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ht="12.75" customHeight="1">
      <c r="A5544" s="4">
        <v>3345.0</v>
      </c>
      <c r="B5544" s="4">
        <v>23936.0</v>
      </c>
      <c r="C5544" s="5">
        <f>DATE(2012,12,31)-1110</f>
        <v>40164</v>
      </c>
      <c r="D5544" s="4" t="s">
        <v>63</v>
      </c>
      <c r="E5544" s="4">
        <v>27.0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0.58</v>
      </c>
      <c r="U5544" s="5">
        <f t="shared" ref="U5544:U5545" si="2327">C5544+2</f>
        <v>40166</v>
      </c>
    </row>
    <row r="5545" ht="12.75" customHeight="1">
      <c r="A5545" s="4">
        <v>3407.0</v>
      </c>
      <c r="B5545" s="4">
        <v>24326.0</v>
      </c>
      <c r="C5545" s="5">
        <f t="shared" ref="C5545:C5546" si="2328">DATE(2012,12,31)-459</f>
        <v>40815</v>
      </c>
      <c r="D5545" s="4" t="s">
        <v>78</v>
      </c>
      <c r="E5545" s="4">
        <v>37.0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7"/>
        <v>40817</v>
      </c>
    </row>
    <row r="5546" ht="12.75" customHeight="1">
      <c r="A5546" s="4">
        <v>3408.0</v>
      </c>
      <c r="B5546" s="4">
        <v>24326.0</v>
      </c>
      <c r="C5546" s="5">
        <f t="shared" si="2328"/>
        <v>40815</v>
      </c>
      <c r="D5546" s="4" t="s">
        <v>78</v>
      </c>
      <c r="E5546" s="4">
        <v>12.0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9">C5546+1</f>
        <v>40816</v>
      </c>
    </row>
    <row r="5547" ht="12.75" customHeight="1">
      <c r="A5547" s="4">
        <v>3627.0</v>
      </c>
      <c r="B5547" s="4">
        <v>25926.0</v>
      </c>
      <c r="C5547" s="5">
        <f t="shared" ref="C5547:C5548" si="2330">DATE(2012,12,31)-1137</f>
        <v>40137</v>
      </c>
      <c r="D5547" s="4" t="s">
        <v>30</v>
      </c>
      <c r="E5547" s="4">
        <v>20.0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9"/>
        <v>40138</v>
      </c>
    </row>
    <row r="5548" ht="12.75" customHeight="1">
      <c r="A5548" s="4">
        <v>3628.0</v>
      </c>
      <c r="B5548" s="4">
        <v>25926.0</v>
      </c>
      <c r="C5548" s="5">
        <f t="shared" si="2330"/>
        <v>40137</v>
      </c>
      <c r="D5548" s="4" t="s">
        <v>30</v>
      </c>
      <c r="E5548" s="4">
        <v>23.0</v>
      </c>
      <c r="F5548" s="4">
        <v>331.54</v>
      </c>
      <c r="G5548" s="4">
        <v>0.05</v>
      </c>
      <c r="H5548" s="4" t="s">
        <v>22</v>
      </c>
      <c r="I5548" s="6">
        <v>9.4095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1">C5548+2</f>
        <v>40139</v>
      </c>
    </row>
    <row r="5549" ht="12.75" customHeight="1">
      <c r="A5549" s="4">
        <v>3878.0</v>
      </c>
      <c r="B5549" s="4">
        <v>27687.0</v>
      </c>
      <c r="C5549" s="5">
        <f>DATE(2012,12,31)-984</f>
        <v>40290</v>
      </c>
      <c r="D5549" s="4" t="s">
        <v>63</v>
      </c>
      <c r="E5549" s="4">
        <v>38.0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1"/>
        <v>40292</v>
      </c>
    </row>
    <row r="5550" ht="12.75" customHeight="1">
      <c r="A5550" s="4">
        <v>3889.0</v>
      </c>
      <c r="B5550" s="4">
        <v>27776.0</v>
      </c>
      <c r="C5550" s="5">
        <f>DATE(2012,12,31)-972</f>
        <v>40302</v>
      </c>
      <c r="D5550" s="4" t="s">
        <v>21</v>
      </c>
      <c r="E5550" s="4">
        <v>41.0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ht="12.75" customHeight="1">
      <c r="A5551" s="4">
        <v>3901.0</v>
      </c>
      <c r="B5551" s="4">
        <v>27813.0</v>
      </c>
      <c r="C5551" s="5">
        <f>DATE(2012,12,31)-1449</f>
        <v>39825</v>
      </c>
      <c r="D5551" s="4" t="s">
        <v>63</v>
      </c>
      <c r="E5551" s="4">
        <v>10.0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ht="12.75" customHeight="1">
      <c r="A5552" s="4">
        <v>3958.0</v>
      </c>
      <c r="B5552" s="4">
        <v>28256.0</v>
      </c>
      <c r="C5552" s="5">
        <f>DATE(2012,12,31)-1407</f>
        <v>39867</v>
      </c>
      <c r="D5552" s="4" t="s">
        <v>30</v>
      </c>
      <c r="E5552" s="4">
        <v>19.0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ht="12.75" customHeight="1">
      <c r="A5553" s="4">
        <v>4001.0</v>
      </c>
      <c r="B5553" s="4">
        <v>28550.0</v>
      </c>
      <c r="C5553" s="5">
        <f t="shared" ref="C5553:C5554" si="2332">DATE(2012,12,31)-652</f>
        <v>40622</v>
      </c>
      <c r="D5553" s="4" t="s">
        <v>45</v>
      </c>
      <c r="E5553" s="4">
        <v>44.0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ht="12.75" customHeight="1">
      <c r="A5554" s="4">
        <v>4002.0</v>
      </c>
      <c r="B5554" s="4">
        <v>28550.0</v>
      </c>
      <c r="C5554" s="5">
        <f t="shared" si="2332"/>
        <v>40622</v>
      </c>
      <c r="D5554" s="4" t="s">
        <v>45</v>
      </c>
      <c r="E5554" s="4">
        <v>1.0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3">C5554+1</f>
        <v>40623</v>
      </c>
    </row>
    <row r="5555" ht="12.75" customHeight="1">
      <c r="A5555" s="4">
        <v>4049.0</v>
      </c>
      <c r="B5555" s="4">
        <v>28870.0</v>
      </c>
      <c r="C5555" s="5">
        <f>DATE(2012,12,31)-417</f>
        <v>40857</v>
      </c>
      <c r="D5555" s="4" t="s">
        <v>30</v>
      </c>
      <c r="E5555" s="4">
        <v>27.0</v>
      </c>
      <c r="F5555" s="4">
        <v>1154.89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3"/>
        <v>40858</v>
      </c>
    </row>
    <row r="5556" ht="12.75" customHeight="1">
      <c r="A5556" s="4">
        <v>4268.0</v>
      </c>
      <c r="B5556" s="4">
        <v>30374.0</v>
      </c>
      <c r="C5556" s="5">
        <f t="shared" ref="C5556:C5557" si="2334">DATE(2012,12,31)-1016</f>
        <v>40258</v>
      </c>
      <c r="D5556" s="4" t="s">
        <v>78</v>
      </c>
      <c r="E5556" s="4">
        <v>12.0</v>
      </c>
      <c r="F5556" s="4">
        <v>709.54</v>
      </c>
      <c r="G5556" s="4">
        <v>0.07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0.57</v>
      </c>
      <c r="U5556" s="5">
        <f t="shared" si="2333"/>
        <v>40259</v>
      </c>
    </row>
    <row r="5557" ht="12.75" customHeight="1">
      <c r="A5557" s="4">
        <v>4269.0</v>
      </c>
      <c r="B5557" s="4">
        <v>30374.0</v>
      </c>
      <c r="C5557" s="5">
        <f t="shared" si="2334"/>
        <v>40258</v>
      </c>
      <c r="D5557" s="4" t="s">
        <v>78</v>
      </c>
      <c r="E5557" s="4">
        <v>42.0</v>
      </c>
      <c r="F5557" s="4">
        <v>1220.08</v>
      </c>
      <c r="G5557" s="4">
        <v>0.0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3"/>
        <v>40259</v>
      </c>
    </row>
    <row r="5558" ht="12.75" customHeight="1">
      <c r="A5558" s="4">
        <v>4288.0</v>
      </c>
      <c r="B5558" s="4">
        <v>30564.0</v>
      </c>
      <c r="C5558" s="5">
        <f>DATE(2012,12,31)-1404</f>
        <v>39870</v>
      </c>
      <c r="D5558" s="4" t="s">
        <v>78</v>
      </c>
      <c r="E5558" s="4">
        <v>20.0</v>
      </c>
      <c r="F5558" s="4">
        <v>606.3985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3"/>
        <v>39871</v>
      </c>
    </row>
    <row r="5559" ht="12.75" customHeight="1">
      <c r="A5559" s="4">
        <v>4440.0</v>
      </c>
      <c r="B5559" s="4">
        <v>31620.0</v>
      </c>
      <c r="C5559" s="5">
        <f>DATE(2012,12,31)-508</f>
        <v>40766</v>
      </c>
      <c r="D5559" s="4" t="s">
        <v>78</v>
      </c>
      <c r="E5559" s="4">
        <v>20.0</v>
      </c>
      <c r="F5559" s="4">
        <v>1108.366</v>
      </c>
      <c r="G5559" s="4">
        <v>0.05</v>
      </c>
      <c r="H5559" s="4" t="s">
        <v>22</v>
      </c>
      <c r="I5559" s="6">
        <v>178.308</v>
      </c>
      <c r="J5559" s="4">
        <v>65.99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</v>
      </c>
      <c r="U5559" s="5">
        <f t="shared" ref="U5559:U5560" si="2335">C5559+2</f>
        <v>40768</v>
      </c>
    </row>
    <row r="5560" ht="12.75" customHeight="1">
      <c r="A5560" s="4">
        <v>4458.0</v>
      </c>
      <c r="B5560" s="4">
        <v>31780.0</v>
      </c>
      <c r="C5560" s="5">
        <f>DATE(2012,12,31)-1067</f>
        <v>40207</v>
      </c>
      <c r="D5560" s="4" t="s">
        <v>63</v>
      </c>
      <c r="E5560" s="4">
        <v>17.0</v>
      </c>
      <c r="F5560" s="4">
        <v>734.25</v>
      </c>
      <c r="G5560" s="4">
        <v>0.08</v>
      </c>
      <c r="H5560" s="4" t="s">
        <v>56</v>
      </c>
      <c r="I5560" s="6">
        <v>160.58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</v>
      </c>
      <c r="U5560" s="5">
        <f t="shared" si="2335"/>
        <v>40209</v>
      </c>
    </row>
    <row r="5561" ht="12.75" customHeight="1">
      <c r="A5561" s="4">
        <v>4479.0</v>
      </c>
      <c r="B5561" s="4">
        <v>31876.0</v>
      </c>
      <c r="C5561" s="5">
        <f>DATE(2012,12,31)-604</f>
        <v>40670</v>
      </c>
      <c r="D5561" s="4" t="s">
        <v>30</v>
      </c>
      <c r="E5561" s="4">
        <v>8.0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35.0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6">C5561+1</f>
        <v>40671</v>
      </c>
    </row>
    <row r="5562" ht="12.75" customHeight="1">
      <c r="A5562" s="4">
        <v>4549.0</v>
      </c>
      <c r="B5562" s="4">
        <v>32356.0</v>
      </c>
      <c r="C5562" s="5">
        <f t="shared" ref="C5562:C5563" si="2337">DATE(2012,12,31)-82</f>
        <v>41192</v>
      </c>
      <c r="D5562" s="4" t="s">
        <v>45</v>
      </c>
      <c r="E5562" s="4">
        <v>12.0</v>
      </c>
      <c r="F5562" s="4">
        <v>768.41</v>
      </c>
      <c r="G5562" s="4">
        <v>0.1</v>
      </c>
      <c r="H5562" s="4" t="s">
        <v>22</v>
      </c>
      <c r="I5562" s="6">
        <v>60.3755</v>
      </c>
      <c r="J5562" s="4">
        <v>67.28</v>
      </c>
      <c r="K5562" s="4">
        <v>19.99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6"/>
        <v>41193</v>
      </c>
    </row>
    <row r="5563" ht="12.75" customHeight="1">
      <c r="A5563" s="4">
        <v>4550.0</v>
      </c>
      <c r="B5563" s="4">
        <v>32356.0</v>
      </c>
      <c r="C5563" s="5">
        <f t="shared" si="2337"/>
        <v>41192</v>
      </c>
      <c r="D5563" s="4" t="s">
        <v>45</v>
      </c>
      <c r="E5563" s="4">
        <v>47.0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145.98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ht="12.75" customHeight="1">
      <c r="A5564" s="4">
        <v>4696.0</v>
      </c>
      <c r="B5564" s="4">
        <v>33473.0</v>
      </c>
      <c r="C5564" s="5">
        <f>DATE(2012,12,31)-727</f>
        <v>40547</v>
      </c>
      <c r="D5564" s="4" t="s">
        <v>21</v>
      </c>
      <c r="E5564" s="4">
        <v>50.0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ht="12.75" customHeight="1">
      <c r="A5565" s="4">
        <v>4923.0</v>
      </c>
      <c r="B5565" s="4">
        <v>35043.0</v>
      </c>
      <c r="C5565" s="5">
        <f t="shared" ref="C5565:C5566" si="2338">DATE(2012,12,31)-896</f>
        <v>40378</v>
      </c>
      <c r="D5565" s="4" t="s">
        <v>45</v>
      </c>
      <c r="E5565" s="4">
        <v>45.0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9">C5565+1</f>
        <v>40379</v>
      </c>
    </row>
    <row r="5566" ht="12.75" customHeight="1">
      <c r="A5566" s="4">
        <v>4924.0</v>
      </c>
      <c r="B5566" s="4">
        <v>35043.0</v>
      </c>
      <c r="C5566" s="5">
        <f t="shared" si="2338"/>
        <v>40378</v>
      </c>
      <c r="D5566" s="4" t="s">
        <v>45</v>
      </c>
      <c r="E5566" s="4">
        <v>9.0</v>
      </c>
      <c r="F5566" s="4">
        <v>924.1115</v>
      </c>
      <c r="G5566" s="4">
        <v>0.06</v>
      </c>
      <c r="H5566" s="4" t="s">
        <v>22</v>
      </c>
      <c r="I5566" s="6">
        <v>-287.991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0.57</v>
      </c>
      <c r="U5566" s="5">
        <f t="shared" si="2339"/>
        <v>40379</v>
      </c>
    </row>
    <row r="5567" ht="12.75" customHeight="1">
      <c r="A5567" s="4">
        <v>5281.0</v>
      </c>
      <c r="B5567" s="4">
        <v>37603.0</v>
      </c>
      <c r="C5567" s="5">
        <f t="shared" ref="C5567:C5568" si="2340">DATE(2012,12,31)-768</f>
        <v>40506</v>
      </c>
      <c r="D5567" s="4" t="s">
        <v>63</v>
      </c>
      <c r="E5567" s="4">
        <v>50.0</v>
      </c>
      <c r="F5567" s="4">
        <v>2440.26</v>
      </c>
      <c r="G5567" s="4">
        <v>0.0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</v>
      </c>
      <c r="U5567" s="5">
        <f t="shared" ref="U5567:U5569" si="2341">C5567+2</f>
        <v>40508</v>
      </c>
    </row>
    <row r="5568" ht="12.75" customHeight="1">
      <c r="A5568" s="4">
        <v>5282.0</v>
      </c>
      <c r="B5568" s="4">
        <v>37603.0</v>
      </c>
      <c r="C5568" s="5">
        <f t="shared" si="2340"/>
        <v>40506</v>
      </c>
      <c r="D5568" s="4" t="s">
        <v>63</v>
      </c>
      <c r="E5568" s="4">
        <v>23.0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</v>
      </c>
      <c r="U5568" s="5">
        <f t="shared" si="2341"/>
        <v>40508</v>
      </c>
    </row>
    <row r="5569" ht="12.75" customHeight="1">
      <c r="A5569" s="4">
        <v>5426.0</v>
      </c>
      <c r="B5569" s="4">
        <v>38561.0</v>
      </c>
      <c r="C5569" s="5">
        <f>DATE(2012,12,31)-489</f>
        <v>40785</v>
      </c>
      <c r="D5569" s="4" t="s">
        <v>78</v>
      </c>
      <c r="E5569" s="4">
        <v>19.0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1"/>
        <v>40787</v>
      </c>
    </row>
    <row r="5570" ht="12.75" customHeight="1">
      <c r="A5570" s="4">
        <v>5629.0</v>
      </c>
      <c r="B5570" s="4">
        <v>39846.0</v>
      </c>
      <c r="C5570" s="5">
        <f>DATE(2012,12,31)-1403</f>
        <v>39871</v>
      </c>
      <c r="D5570" s="4" t="s">
        <v>21</v>
      </c>
      <c r="E5570" s="4">
        <v>10.0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130.98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ht="12.75" customHeight="1">
      <c r="A5571" s="4">
        <v>5722.0</v>
      </c>
      <c r="B5571" s="4">
        <v>40547.0</v>
      </c>
      <c r="C5571" s="5">
        <f>DATE(2012,12,31)-1271</f>
        <v>40003</v>
      </c>
      <c r="D5571" s="4" t="s">
        <v>78</v>
      </c>
      <c r="E5571" s="4">
        <v>45.0</v>
      </c>
      <c r="F5571" s="4">
        <v>6944.092000000001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0.57</v>
      </c>
      <c r="U5571" s="5">
        <f t="shared" ref="U5571:U5575" si="2342">C5571+2</f>
        <v>40005</v>
      </c>
    </row>
    <row r="5572" ht="12.75" customHeight="1">
      <c r="A5572" s="4">
        <v>5725.0</v>
      </c>
      <c r="B5572" s="4">
        <v>40611.0</v>
      </c>
      <c r="C5572" s="5">
        <f t="shared" ref="C5572:C5573" si="2343">DATE(2012,12,31)-278</f>
        <v>40996</v>
      </c>
      <c r="D5572" s="4" t="s">
        <v>45</v>
      </c>
      <c r="E5572" s="4">
        <v>12.0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2"/>
        <v>40998</v>
      </c>
    </row>
    <row r="5573" ht="12.75" customHeight="1">
      <c r="A5573" s="4">
        <v>5726.0</v>
      </c>
      <c r="B5573" s="4">
        <v>40611.0</v>
      </c>
      <c r="C5573" s="5">
        <f t="shared" si="2343"/>
        <v>40996</v>
      </c>
      <c r="D5573" s="4" t="s">
        <v>45</v>
      </c>
      <c r="E5573" s="4">
        <v>43.0</v>
      </c>
      <c r="F5573" s="4">
        <v>1407.515</v>
      </c>
      <c r="G5573" s="4">
        <v>0.0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2"/>
        <v>40998</v>
      </c>
    </row>
    <row r="5574" ht="12.75" customHeight="1">
      <c r="A5574" s="4">
        <v>5762.0</v>
      </c>
      <c r="B5574" s="4">
        <v>40901.0</v>
      </c>
      <c r="C5574" s="5">
        <f t="shared" ref="C5574:C5575" si="2344">DATE(2012,12,31)-155</f>
        <v>41119</v>
      </c>
      <c r="D5574" s="4" t="s">
        <v>63</v>
      </c>
      <c r="E5574" s="4">
        <v>40.0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2"/>
        <v>41121</v>
      </c>
    </row>
    <row r="5575" ht="12.75" customHeight="1">
      <c r="A5575" s="4">
        <v>5763.0</v>
      </c>
      <c r="B5575" s="4">
        <v>40901.0</v>
      </c>
      <c r="C5575" s="5">
        <f t="shared" si="2344"/>
        <v>41119</v>
      </c>
      <c r="D5575" s="4" t="s">
        <v>63</v>
      </c>
      <c r="E5575" s="4">
        <v>22.0</v>
      </c>
      <c r="F5575" s="4">
        <v>3100.1115</v>
      </c>
      <c r="G5575" s="4">
        <v>0.02</v>
      </c>
      <c r="H5575" s="4" t="s">
        <v>56</v>
      </c>
      <c r="I5575" s="6">
        <v>567.3689999999999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2"/>
        <v>41121</v>
      </c>
    </row>
    <row r="5576" ht="12.75" customHeight="1">
      <c r="A5576" s="4">
        <v>5867.0</v>
      </c>
      <c r="B5576" s="4">
        <v>41634.0</v>
      </c>
      <c r="C5576" s="5">
        <f t="shared" ref="C5576:C5577" si="2345">DATE(2012,12,31)-23</f>
        <v>41251</v>
      </c>
      <c r="D5576" s="4" t="s">
        <v>45</v>
      </c>
      <c r="E5576" s="4">
        <v>7.0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ht="12.75" customHeight="1">
      <c r="A5577" s="4">
        <v>5868.0</v>
      </c>
      <c r="B5577" s="4">
        <v>41634.0</v>
      </c>
      <c r="C5577" s="5">
        <f t="shared" si="2345"/>
        <v>41251</v>
      </c>
      <c r="D5577" s="4" t="s">
        <v>45</v>
      </c>
      <c r="E5577" s="4">
        <v>10.0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ht="12.75" customHeight="1">
      <c r="A5578" s="4">
        <v>5889.0</v>
      </c>
      <c r="B5578" s="4">
        <v>41766.0</v>
      </c>
      <c r="C5578" s="5">
        <f>DATE(2012,12,31)-111</f>
        <v>41163</v>
      </c>
      <c r="D5578" s="4" t="s">
        <v>78</v>
      </c>
      <c r="E5578" s="4">
        <v>10.0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6">C5578+1</f>
        <v>41164</v>
      </c>
    </row>
    <row r="5579" ht="12.75" customHeight="1">
      <c r="A5579" s="4">
        <v>5916.0</v>
      </c>
      <c r="B5579" s="4">
        <v>41956.0</v>
      </c>
      <c r="C5579" s="5">
        <f t="shared" ref="C5579:C5580" si="2347">DATE(2012,12,31)-385</f>
        <v>40889</v>
      </c>
      <c r="D5579" s="4" t="s">
        <v>63</v>
      </c>
      <c r="E5579" s="4">
        <v>22.0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0.58</v>
      </c>
      <c r="U5579" s="5">
        <f t="shared" si="2346"/>
        <v>40890</v>
      </c>
    </row>
    <row r="5580" ht="12.75" customHeight="1">
      <c r="A5580" s="4">
        <v>5917.0</v>
      </c>
      <c r="B5580" s="4">
        <v>41956.0</v>
      </c>
      <c r="C5580" s="5">
        <f t="shared" si="2347"/>
        <v>40889</v>
      </c>
      <c r="D5580" s="4" t="s">
        <v>63</v>
      </c>
      <c r="E5580" s="4">
        <v>16.0</v>
      </c>
      <c r="F5580" s="4">
        <v>86.3</v>
      </c>
      <c r="G5580" s="4">
        <v>0.0</v>
      </c>
      <c r="H5580" s="4" t="s">
        <v>22</v>
      </c>
      <c r="I5580" s="6">
        <v>-68.67</v>
      </c>
      <c r="J5580" s="4">
        <v>4.89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ht="12.75" customHeight="1">
      <c r="A5581" s="4">
        <v>6310.0</v>
      </c>
      <c r="B5581" s="4">
        <v>44646.0</v>
      </c>
      <c r="C5581" s="5">
        <f>DATE(2012,12,31)-362</f>
        <v>40912</v>
      </c>
      <c r="D5581" s="4" t="s">
        <v>21</v>
      </c>
      <c r="E5581" s="4">
        <v>47.0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35.0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ht="12.75" customHeight="1">
      <c r="A5582" s="4">
        <v>6444.0</v>
      </c>
      <c r="B5582" s="4">
        <v>45825.0</v>
      </c>
      <c r="C5582" s="5">
        <f>DATE(2012,12,31)-85</f>
        <v>41189</v>
      </c>
      <c r="D5582" s="4" t="s">
        <v>63</v>
      </c>
      <c r="E5582" s="4">
        <v>43.0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ht="12.75" customHeight="1">
      <c r="A5583" s="4">
        <v>6641.0</v>
      </c>
      <c r="B5583" s="4">
        <v>47232.0</v>
      </c>
      <c r="C5583" s="5">
        <f>DATE(2012,12,31)-867</f>
        <v>40407</v>
      </c>
      <c r="D5583" s="4" t="s">
        <v>45</v>
      </c>
      <c r="E5583" s="4">
        <v>39.0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ht="12.75" customHeight="1">
      <c r="A5584" s="4">
        <v>6915.0</v>
      </c>
      <c r="B5584" s="4">
        <v>49344.0</v>
      </c>
      <c r="C5584" s="5">
        <f t="shared" ref="C5584:C5585" si="2348">DATE(2012,12,31)-1</f>
        <v>41273</v>
      </c>
      <c r="D5584" s="4" t="s">
        <v>21</v>
      </c>
      <c r="E5584" s="4">
        <v>31.0</v>
      </c>
      <c r="F5584" s="4">
        <v>672.93</v>
      </c>
      <c r="G5584" s="4">
        <v>0.0</v>
      </c>
      <c r="H5584" s="4" t="s">
        <v>22</v>
      </c>
      <c r="I5584" s="6">
        <v>27.85</v>
      </c>
      <c r="J5584" s="4">
        <v>19.98</v>
      </c>
      <c r="K5584" s="4">
        <v>4.0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9">C5584+0</f>
        <v>41273</v>
      </c>
    </row>
    <row r="5585" ht="12.75" customHeight="1">
      <c r="A5585" s="4">
        <v>6916.0</v>
      </c>
      <c r="B5585" s="4">
        <v>49344.0</v>
      </c>
      <c r="C5585" s="5">
        <f t="shared" si="2348"/>
        <v>41273</v>
      </c>
      <c r="D5585" s="4" t="s">
        <v>21</v>
      </c>
      <c r="E5585" s="4">
        <v>1.0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9"/>
        <v>41273</v>
      </c>
    </row>
    <row r="5586" ht="12.75" customHeight="1">
      <c r="A5586" s="4">
        <v>6922.0</v>
      </c>
      <c r="B5586" s="4">
        <v>49351.0</v>
      </c>
      <c r="C5586" s="5">
        <f>DATE(2012,12,31)-276</f>
        <v>40998</v>
      </c>
      <c r="D5586" s="4" t="s">
        <v>21</v>
      </c>
      <c r="E5586" s="4">
        <v>27.0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ht="12.75" customHeight="1">
      <c r="A5587" s="4">
        <v>6939.0</v>
      </c>
      <c r="B5587" s="4">
        <v>49511.0</v>
      </c>
      <c r="C5587" s="5">
        <f>DATE(2012,12,31)-1351</f>
        <v>39923</v>
      </c>
      <c r="D5587" s="4" t="s">
        <v>30</v>
      </c>
      <c r="E5587" s="4">
        <v>35.0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ht="12.75" customHeight="1">
      <c r="A5588" s="4">
        <v>7358.0</v>
      </c>
      <c r="B5588" s="4">
        <v>52419.0</v>
      </c>
      <c r="C5588" s="5">
        <f>DATE(2012,12,31)-104</f>
        <v>41170</v>
      </c>
      <c r="D5588" s="4" t="s">
        <v>30</v>
      </c>
      <c r="E5588" s="4">
        <v>32.0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ht="12.75" customHeight="1">
      <c r="A5589" s="4">
        <v>7440.0</v>
      </c>
      <c r="B5589" s="4">
        <v>53029.0</v>
      </c>
      <c r="C5589" s="5">
        <f>DATE(2012,12,31)-1253</f>
        <v>40021</v>
      </c>
      <c r="D5589" s="4" t="s">
        <v>21</v>
      </c>
      <c r="E5589" s="4">
        <v>39.0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ht="12.75" customHeight="1">
      <c r="A5590" s="4">
        <v>7644.0</v>
      </c>
      <c r="B5590" s="4">
        <v>54786.0</v>
      </c>
      <c r="C5590" s="5">
        <f>DATE(2012,12,31)-355</f>
        <v>40919</v>
      </c>
      <c r="D5590" s="4" t="s">
        <v>45</v>
      </c>
      <c r="E5590" s="4">
        <v>30.0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50">C5590+2</f>
        <v>40921</v>
      </c>
    </row>
    <row r="5591" ht="12.75" customHeight="1">
      <c r="A5591" s="4">
        <v>7728.0</v>
      </c>
      <c r="B5591" s="4">
        <v>55362.0</v>
      </c>
      <c r="C5591" s="5">
        <f>DATE(2012,12,31)-621</f>
        <v>40653</v>
      </c>
      <c r="D5591" s="4" t="s">
        <v>30</v>
      </c>
      <c r="E5591" s="4">
        <v>24.0</v>
      </c>
      <c r="F5591" s="4">
        <v>67.84</v>
      </c>
      <c r="G5591" s="4">
        <v>0.07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50"/>
        <v>40655</v>
      </c>
    </row>
    <row r="5592" ht="12.75" customHeight="1">
      <c r="A5592" s="4">
        <v>7844.0</v>
      </c>
      <c r="B5592" s="4">
        <v>56099.0</v>
      </c>
      <c r="C5592" s="5">
        <f>DATE(2012,12,31)-818</f>
        <v>40456</v>
      </c>
      <c r="D5592" s="4" t="s">
        <v>21</v>
      </c>
      <c r="E5592" s="4">
        <v>11.0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0.58</v>
      </c>
      <c r="U5592" s="5">
        <f>C5592+7</f>
        <v>40463</v>
      </c>
    </row>
    <row r="5593" ht="12.75" customHeight="1">
      <c r="A5593" s="4">
        <v>7903.0</v>
      </c>
      <c r="B5593" s="4">
        <v>56516.0</v>
      </c>
      <c r="C5593" s="5">
        <f t="shared" ref="C5593:C5594" si="2351">DATE(2012,12,31)-1246</f>
        <v>40028</v>
      </c>
      <c r="D5593" s="4" t="s">
        <v>63</v>
      </c>
      <c r="E5593" s="4">
        <v>6.0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ht="12.75" customHeight="1">
      <c r="A5594" s="4">
        <v>7904.0</v>
      </c>
      <c r="B5594" s="4">
        <v>56516.0</v>
      </c>
      <c r="C5594" s="5">
        <f t="shared" si="2351"/>
        <v>40028</v>
      </c>
      <c r="D5594" s="4" t="s">
        <v>63</v>
      </c>
      <c r="E5594" s="4">
        <v>24.0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2">C5594+2</f>
        <v>40030</v>
      </c>
    </row>
    <row r="5595" ht="12.75" customHeight="1">
      <c r="A5595" s="4">
        <v>8331.0</v>
      </c>
      <c r="B5595" s="4">
        <v>59556.0</v>
      </c>
      <c r="C5595" s="5">
        <f t="shared" ref="C5595:C5596" si="2353">DATE(2012,12,31)-1112</f>
        <v>40162</v>
      </c>
      <c r="D5595" s="4" t="s">
        <v>45</v>
      </c>
      <c r="E5595" s="4">
        <v>27.0</v>
      </c>
      <c r="F5595" s="4">
        <v>43.46</v>
      </c>
      <c r="G5595" s="4">
        <v>0.0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2"/>
        <v>40164</v>
      </c>
    </row>
    <row r="5596" ht="12.75" customHeight="1">
      <c r="A5596" s="4">
        <v>8332.0</v>
      </c>
      <c r="B5596" s="4">
        <v>59556.0</v>
      </c>
      <c r="C5596" s="5">
        <f t="shared" si="2353"/>
        <v>40162</v>
      </c>
      <c r="D5596" s="4" t="s">
        <v>45</v>
      </c>
      <c r="E5596" s="4">
        <v>5.0</v>
      </c>
      <c r="F5596" s="4">
        <v>927.9875</v>
      </c>
      <c r="G5596" s="4">
        <v>0.0</v>
      </c>
      <c r="H5596" s="4" t="s">
        <v>22</v>
      </c>
      <c r="I5596" s="6">
        <v>-615.9119999999999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</v>
      </c>
      <c r="U5596" s="5">
        <f>C5596+1</f>
        <v>40163</v>
      </c>
    </row>
    <row r="5597" ht="12.75" customHeight="1">
      <c r="A5597" s="4">
        <v>8364.0</v>
      </c>
      <c r="B5597" s="4">
        <v>59779.0</v>
      </c>
      <c r="C5597" s="5">
        <f>DATE(2012,12,31)-1324</f>
        <v>39950</v>
      </c>
      <c r="D5597" s="4" t="s">
        <v>21</v>
      </c>
      <c r="E5597" s="4">
        <v>30.0</v>
      </c>
      <c r="F5597" s="4">
        <v>3575.23</v>
      </c>
      <c r="G5597" s="4">
        <v>0.04</v>
      </c>
      <c r="H5597" s="4" t="s">
        <v>31</v>
      </c>
      <c r="I5597" s="6">
        <v>87.87999999999995</v>
      </c>
      <c r="J5597" s="4">
        <v>113.98</v>
      </c>
      <c r="K5597" s="4">
        <v>30.0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ht="12.75" customHeight="1">
      <c r="A5598" s="4">
        <v>183.0</v>
      </c>
      <c r="B5598" s="4">
        <v>1217.0</v>
      </c>
      <c r="C5598" s="5">
        <f>DATE(2012,12,31)-250</f>
        <v>41024</v>
      </c>
      <c r="D5598" s="4" t="s">
        <v>45</v>
      </c>
      <c r="E5598" s="4">
        <v>25.0</v>
      </c>
      <c r="F5598" s="4">
        <v>662.16</v>
      </c>
      <c r="G5598" s="4">
        <v>0.07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ht="12.75" customHeight="1">
      <c r="A5599" s="4">
        <v>245.0</v>
      </c>
      <c r="B5599" s="4">
        <v>1666.0</v>
      </c>
      <c r="C5599" s="5">
        <f>DATE(2012,12,31)-441</f>
        <v>40833</v>
      </c>
      <c r="D5599" s="4" t="s">
        <v>78</v>
      </c>
      <c r="E5599" s="4">
        <v>19.0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19.99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ht="12.75" customHeight="1">
      <c r="A5600" s="4">
        <v>265.0</v>
      </c>
      <c r="B5600" s="4">
        <v>1829.0</v>
      </c>
      <c r="C5600" s="5">
        <f>DATE(2012,12,31)-1334</f>
        <v>39940</v>
      </c>
      <c r="D5600" s="4" t="s">
        <v>30</v>
      </c>
      <c r="E5600" s="4">
        <v>48.0</v>
      </c>
      <c r="F5600" s="4">
        <v>133.04</v>
      </c>
      <c r="G5600" s="4">
        <v>0.07</v>
      </c>
      <c r="H5600" s="4" t="s">
        <v>22</v>
      </c>
      <c r="I5600" s="6">
        <v>6.732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ht="12.75" customHeight="1">
      <c r="A5601" s="4">
        <v>468.0</v>
      </c>
      <c r="B5601" s="4">
        <v>3202.0</v>
      </c>
      <c r="C5601" s="5">
        <f>DATE(2012,12,31)-8</f>
        <v>41266</v>
      </c>
      <c r="D5601" s="4" t="s">
        <v>21</v>
      </c>
      <c r="E5601" s="4">
        <v>10.0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ht="12.75" customHeight="1">
      <c r="A5602" s="4">
        <v>697.0</v>
      </c>
      <c r="B5602" s="4">
        <v>4871.0</v>
      </c>
      <c r="C5602" s="5">
        <f t="shared" ref="C5602:C5603" si="2354">DATE(2012,12,31)-569</f>
        <v>40705</v>
      </c>
      <c r="D5602" s="4" t="s">
        <v>78</v>
      </c>
      <c r="E5602" s="4">
        <v>8.0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42.0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ht="12.75" customHeight="1">
      <c r="A5603" s="4">
        <v>698.0</v>
      </c>
      <c r="B5603" s="4">
        <v>4871.0</v>
      </c>
      <c r="C5603" s="5">
        <f t="shared" si="2354"/>
        <v>40705</v>
      </c>
      <c r="D5603" s="4" t="s">
        <v>78</v>
      </c>
      <c r="E5603" s="4">
        <v>26.0</v>
      </c>
      <c r="F5603" s="4">
        <v>238.34</v>
      </c>
      <c r="G5603" s="4">
        <v>0.06</v>
      </c>
      <c r="H5603" s="4" t="s">
        <v>22</v>
      </c>
      <c r="I5603" s="6">
        <v>-19.31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</v>
      </c>
      <c r="U5603" s="5">
        <f>C5603+3</f>
        <v>40708</v>
      </c>
    </row>
    <row r="5604" ht="12.75" customHeight="1">
      <c r="A5604" s="4">
        <v>866.0</v>
      </c>
      <c r="B5604" s="4">
        <v>6211.0</v>
      </c>
      <c r="C5604" s="5">
        <f t="shared" ref="C5604:C5605" si="2355">DATE(2012,12,31)-1134</f>
        <v>40140</v>
      </c>
      <c r="D5604" s="4" t="s">
        <v>78</v>
      </c>
      <c r="E5604" s="4">
        <v>28.0</v>
      </c>
      <c r="F5604" s="4">
        <v>67.72</v>
      </c>
      <c r="G5604" s="4">
        <v>0.01</v>
      </c>
      <c r="H5604" s="4" t="s">
        <v>22</v>
      </c>
      <c r="I5604" s="6">
        <v>-142.669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6">C5604+2</f>
        <v>40142</v>
      </c>
    </row>
    <row r="5605" ht="12.75" customHeight="1">
      <c r="A5605" s="4">
        <v>867.0</v>
      </c>
      <c r="B5605" s="4">
        <v>6211.0</v>
      </c>
      <c r="C5605" s="5">
        <f t="shared" si="2355"/>
        <v>40140</v>
      </c>
      <c r="D5605" s="4" t="s">
        <v>78</v>
      </c>
      <c r="E5605" s="4">
        <v>3.0</v>
      </c>
      <c r="F5605" s="4">
        <v>68.64</v>
      </c>
      <c r="G5605" s="4">
        <v>0.07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6"/>
        <v>40142</v>
      </c>
    </row>
    <row r="5606" ht="12.75" customHeight="1">
      <c r="A5606" s="4">
        <v>1007.0</v>
      </c>
      <c r="B5606" s="4">
        <v>7363.0</v>
      </c>
      <c r="C5606" s="5">
        <f>DATE(2012,12,31)-783</f>
        <v>40491</v>
      </c>
      <c r="D5606" s="4" t="s">
        <v>63</v>
      </c>
      <c r="E5606" s="4">
        <v>24.0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6"/>
        <v>40493</v>
      </c>
    </row>
    <row r="5607" ht="12.75" customHeight="1">
      <c r="A5607" s="4">
        <v>1109.0</v>
      </c>
      <c r="B5607" s="4">
        <v>8133.0</v>
      </c>
      <c r="C5607" s="5">
        <f>DATE(2012,12,31)-674</f>
        <v>40600</v>
      </c>
      <c r="D5607" s="4" t="s">
        <v>63</v>
      </c>
      <c r="E5607" s="4">
        <v>11.0</v>
      </c>
      <c r="F5607" s="4">
        <v>405.53</v>
      </c>
      <c r="G5607" s="4">
        <v>0.04</v>
      </c>
      <c r="H5607" s="4" t="s">
        <v>22</v>
      </c>
      <c r="I5607" s="6">
        <v>130.52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ht="12.75" customHeight="1">
      <c r="A5608" s="4">
        <v>1155.0</v>
      </c>
      <c r="B5608" s="4">
        <v>8416.0</v>
      </c>
      <c r="C5608" s="5">
        <f>DATE(2012,12,31)-878</f>
        <v>40396</v>
      </c>
      <c r="D5608" s="4" t="s">
        <v>21</v>
      </c>
      <c r="E5608" s="4">
        <v>2.0</v>
      </c>
      <c r="F5608" s="4">
        <v>22.07</v>
      </c>
      <c r="G5608" s="4">
        <v>0.07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ht="12.75" customHeight="1">
      <c r="A5609" s="4">
        <v>1199.0</v>
      </c>
      <c r="B5609" s="4">
        <v>8802.0</v>
      </c>
      <c r="C5609" s="5">
        <f>DATE(2012,12,31)-700</f>
        <v>40574</v>
      </c>
      <c r="D5609" s="4" t="s">
        <v>63</v>
      </c>
      <c r="E5609" s="4">
        <v>15.0</v>
      </c>
      <c r="F5609" s="4">
        <v>1866.12</v>
      </c>
      <c r="G5609" s="4">
        <v>0.07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7">C5609+2</f>
        <v>40576</v>
      </c>
    </row>
    <row r="5610" ht="12.75" customHeight="1">
      <c r="A5610" s="4">
        <v>1315.0</v>
      </c>
      <c r="B5610" s="4">
        <v>9637.0</v>
      </c>
      <c r="C5610" s="5">
        <f t="shared" ref="C5610:C5612" si="2358">DATE(2012,12,31)-1458</f>
        <v>39816</v>
      </c>
      <c r="D5610" s="4" t="s">
        <v>21</v>
      </c>
      <c r="E5610" s="4">
        <v>12.0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7"/>
        <v>39818</v>
      </c>
    </row>
    <row r="5611" ht="12.75" customHeight="1">
      <c r="A5611" s="4">
        <v>1316.0</v>
      </c>
      <c r="B5611" s="4">
        <v>9637.0</v>
      </c>
      <c r="C5611" s="5">
        <f t="shared" si="2358"/>
        <v>39816</v>
      </c>
      <c r="D5611" s="4" t="s">
        <v>21</v>
      </c>
      <c r="E5611" s="4">
        <v>49.0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ht="12.75" customHeight="1">
      <c r="A5612" s="4">
        <v>1317.0</v>
      </c>
      <c r="B5612" s="4">
        <v>9637.0</v>
      </c>
      <c r="C5612" s="5">
        <f t="shared" si="2358"/>
        <v>39816</v>
      </c>
      <c r="D5612" s="4" t="s">
        <v>21</v>
      </c>
      <c r="E5612" s="4">
        <v>12.0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ht="12.75" customHeight="1">
      <c r="A5613" s="4">
        <v>1327.0</v>
      </c>
      <c r="B5613" s="4">
        <v>9671.0</v>
      </c>
      <c r="C5613" s="5">
        <f>DATE(2012,12,31)-476</f>
        <v>40798</v>
      </c>
      <c r="D5613" s="4" t="s">
        <v>30</v>
      </c>
      <c r="E5613" s="4">
        <v>6.0</v>
      </c>
      <c r="F5613" s="4">
        <v>12.61</v>
      </c>
      <c r="G5613" s="4">
        <v>0.07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ht="12.75" customHeight="1">
      <c r="A5614" s="4">
        <v>1378.0</v>
      </c>
      <c r="B5614" s="4">
        <v>9957.0</v>
      </c>
      <c r="C5614" s="5">
        <f>DATE(2012,12,31)-762</f>
        <v>40512</v>
      </c>
      <c r="D5614" s="4" t="s">
        <v>45</v>
      </c>
      <c r="E5614" s="4">
        <v>31.0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9">C5614+1</f>
        <v>40513</v>
      </c>
    </row>
    <row r="5615" ht="12.75" customHeight="1">
      <c r="A5615" s="4">
        <v>1467.0</v>
      </c>
      <c r="B5615" s="4">
        <v>10567.0</v>
      </c>
      <c r="C5615" s="5">
        <f>DATE(2012,12,31)-277</f>
        <v>40997</v>
      </c>
      <c r="D5615" s="4" t="s">
        <v>30</v>
      </c>
      <c r="E5615" s="4">
        <v>10.0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9"/>
        <v>40998</v>
      </c>
    </row>
    <row r="5616" ht="12.75" customHeight="1">
      <c r="A5616" s="4">
        <v>1760.0</v>
      </c>
      <c r="B5616" s="4">
        <v>12613.0</v>
      </c>
      <c r="C5616" s="5">
        <f t="shared" ref="C5616:C5618" si="2360">DATE(2012,12,31)-996</f>
        <v>40278</v>
      </c>
      <c r="D5616" s="4" t="s">
        <v>63</v>
      </c>
      <c r="E5616" s="4">
        <v>3.0</v>
      </c>
      <c r="F5616" s="4">
        <v>15.64</v>
      </c>
      <c r="G5616" s="4">
        <v>0.08</v>
      </c>
      <c r="H5616" s="4" t="s">
        <v>22</v>
      </c>
      <c r="I5616" s="6">
        <v>-16.008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ht="12.75" customHeight="1">
      <c r="A5617" s="4">
        <v>1761.0</v>
      </c>
      <c r="B5617" s="4">
        <v>12613.0</v>
      </c>
      <c r="C5617" s="5">
        <f t="shared" si="2360"/>
        <v>40278</v>
      </c>
      <c r="D5617" s="4" t="s">
        <v>63</v>
      </c>
      <c r="E5617" s="4">
        <v>28.0</v>
      </c>
      <c r="F5617" s="4">
        <v>1751.08</v>
      </c>
      <c r="G5617" s="4">
        <v>0.0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1">C5617+1</f>
        <v>40279</v>
      </c>
    </row>
    <row r="5618" ht="12.75" customHeight="1">
      <c r="A5618" s="4">
        <v>1762.0</v>
      </c>
      <c r="B5618" s="4">
        <v>12613.0</v>
      </c>
      <c r="C5618" s="5">
        <f t="shared" si="2360"/>
        <v>40278</v>
      </c>
      <c r="D5618" s="4" t="s">
        <v>63</v>
      </c>
      <c r="E5618" s="4">
        <v>18.0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</v>
      </c>
      <c r="U5618" s="5">
        <f t="shared" si="2361"/>
        <v>40279</v>
      </c>
    </row>
    <row r="5619" ht="12.75" customHeight="1">
      <c r="A5619" s="4">
        <v>1776.0</v>
      </c>
      <c r="B5619" s="4">
        <v>12711.0</v>
      </c>
      <c r="C5619" s="5">
        <f t="shared" ref="C5619:C5620" si="2362">DATE(2012,12,31)-316</f>
        <v>40958</v>
      </c>
      <c r="D5619" s="4" t="s">
        <v>78</v>
      </c>
      <c r="E5619" s="4">
        <v>32.0</v>
      </c>
      <c r="F5619" s="4">
        <v>1486.72</v>
      </c>
      <c r="G5619" s="4">
        <v>0.0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0.58</v>
      </c>
      <c r="U5619" s="5">
        <f t="shared" si="2361"/>
        <v>40959</v>
      </c>
    </row>
    <row r="5620" ht="12.75" customHeight="1">
      <c r="A5620" s="4">
        <v>1777.0</v>
      </c>
      <c r="B5620" s="4">
        <v>12711.0</v>
      </c>
      <c r="C5620" s="5">
        <f t="shared" si="2362"/>
        <v>40958</v>
      </c>
      <c r="D5620" s="4" t="s">
        <v>78</v>
      </c>
      <c r="E5620" s="4">
        <v>45.0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1"/>
        <v>40959</v>
      </c>
    </row>
    <row r="5621" ht="12.75" customHeight="1">
      <c r="A5621" s="4">
        <v>1886.0</v>
      </c>
      <c r="B5621" s="4">
        <v>13543.0</v>
      </c>
      <c r="C5621" s="5">
        <f>DATE(2012,12,31)-145</f>
        <v>41129</v>
      </c>
      <c r="D5621" s="4" t="s">
        <v>63</v>
      </c>
      <c r="E5621" s="4">
        <v>2.0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</v>
      </c>
      <c r="K5621" s="4">
        <v>9.45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ht="12.75" customHeight="1">
      <c r="A5622" s="4">
        <v>1924.0</v>
      </c>
      <c r="B5622" s="4">
        <v>13767.0</v>
      </c>
      <c r="C5622" s="5">
        <f t="shared" ref="C5622:C5624" si="2363">DATE(2012,12,31)-858</f>
        <v>40416</v>
      </c>
      <c r="D5622" s="4" t="s">
        <v>30</v>
      </c>
      <c r="E5622" s="4">
        <v>29.0</v>
      </c>
      <c r="F5622" s="4">
        <v>597.66</v>
      </c>
      <c r="G5622" s="4">
        <v>0.08</v>
      </c>
      <c r="H5622" s="4" t="s">
        <v>22</v>
      </c>
      <c r="I5622" s="6">
        <v>-178.0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4">C5622+2</f>
        <v>40418</v>
      </c>
    </row>
    <row r="5623" ht="12.75" customHeight="1">
      <c r="A5623" s="4">
        <v>1925.0</v>
      </c>
      <c r="B5623" s="4">
        <v>13767.0</v>
      </c>
      <c r="C5623" s="5">
        <f t="shared" si="2363"/>
        <v>40416</v>
      </c>
      <c r="D5623" s="4" t="s">
        <v>30</v>
      </c>
      <c r="E5623" s="4">
        <v>45.0</v>
      </c>
      <c r="F5623" s="4">
        <v>1403.741</v>
      </c>
      <c r="G5623" s="4">
        <v>0.01</v>
      </c>
      <c r="H5623" s="4" t="s">
        <v>22</v>
      </c>
      <c r="I5623" s="6">
        <v>622.251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4"/>
        <v>40418</v>
      </c>
    </row>
    <row r="5624" ht="12.75" customHeight="1">
      <c r="A5624" s="4">
        <v>1926.0</v>
      </c>
      <c r="B5624" s="4">
        <v>13767.0</v>
      </c>
      <c r="C5624" s="5">
        <f t="shared" si="2363"/>
        <v>40416</v>
      </c>
      <c r="D5624" s="4" t="s">
        <v>30</v>
      </c>
      <c r="E5624" s="4">
        <v>10.0</v>
      </c>
      <c r="F5624" s="4">
        <v>1246.3635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0.58</v>
      </c>
      <c r="U5624" s="5">
        <f>C5624+1</f>
        <v>40417</v>
      </c>
    </row>
    <row r="5625" ht="12.75" customHeight="1">
      <c r="A5625" s="4">
        <v>2462.0</v>
      </c>
      <c r="B5625" s="4">
        <v>17924.0</v>
      </c>
      <c r="C5625" s="5">
        <f>DATE(2012,12,31)-493</f>
        <v>40781</v>
      </c>
      <c r="D5625" s="4" t="s">
        <v>78</v>
      </c>
      <c r="E5625" s="4">
        <v>42.0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</v>
      </c>
      <c r="U5625" s="5">
        <f>C5625+0</f>
        <v>40781</v>
      </c>
    </row>
    <row r="5626" ht="12.75" customHeight="1">
      <c r="A5626" s="4">
        <v>2533.0</v>
      </c>
      <c r="B5626" s="4">
        <v>18374.0</v>
      </c>
      <c r="C5626" s="5">
        <f>DATE(2012,12,31)-92</f>
        <v>41182</v>
      </c>
      <c r="D5626" s="4" t="s">
        <v>21</v>
      </c>
      <c r="E5626" s="4">
        <v>21.0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ht="12.75" customHeight="1">
      <c r="A5627" s="4">
        <v>2750.0</v>
      </c>
      <c r="B5627" s="4">
        <v>19841.0</v>
      </c>
      <c r="C5627" s="5">
        <f>DATE(2012,12,31)-736</f>
        <v>40538</v>
      </c>
      <c r="D5627" s="4" t="s">
        <v>21</v>
      </c>
      <c r="E5627" s="4">
        <v>43.0</v>
      </c>
      <c r="F5627" s="4">
        <v>4687.6735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0.57</v>
      </c>
      <c r="U5627" s="5">
        <f>C5627+19</f>
        <v>40557</v>
      </c>
    </row>
    <row r="5628" ht="12.75" customHeight="1">
      <c r="A5628" s="4">
        <v>2953.0</v>
      </c>
      <c r="B5628" s="4">
        <v>21382.0</v>
      </c>
      <c r="C5628" s="5">
        <f t="shared" ref="C5628:C5629" si="2365">DATE(2012,12,31)-354</f>
        <v>40920</v>
      </c>
      <c r="D5628" s="4" t="s">
        <v>78</v>
      </c>
      <c r="E5628" s="4">
        <v>21.0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</v>
      </c>
      <c r="U5628" s="5">
        <f t="shared" ref="U5628:U5629" si="2366">C5628+2</f>
        <v>40922</v>
      </c>
    </row>
    <row r="5629" ht="12.75" customHeight="1">
      <c r="A5629" s="4">
        <v>2954.0</v>
      </c>
      <c r="B5629" s="4">
        <v>21382.0</v>
      </c>
      <c r="C5629" s="5">
        <f t="shared" si="2365"/>
        <v>40920</v>
      </c>
      <c r="D5629" s="4" t="s">
        <v>78</v>
      </c>
      <c r="E5629" s="4">
        <v>11.0</v>
      </c>
      <c r="F5629" s="4">
        <v>312.03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6"/>
        <v>40922</v>
      </c>
    </row>
    <row r="5630" ht="12.75" customHeight="1">
      <c r="A5630" s="4">
        <v>3007.0</v>
      </c>
      <c r="B5630" s="4">
        <v>21638.0</v>
      </c>
      <c r="C5630" s="5">
        <f>DATE(2012,12,31)-259</f>
        <v>41015</v>
      </c>
      <c r="D5630" s="4" t="s">
        <v>30</v>
      </c>
      <c r="E5630" s="4">
        <v>13.0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7">C5630+1</f>
        <v>41016</v>
      </c>
    </row>
    <row r="5631" ht="12.75" customHeight="1">
      <c r="A5631" s="4">
        <v>3120.0</v>
      </c>
      <c r="B5631" s="4">
        <v>22407.0</v>
      </c>
      <c r="C5631" s="5">
        <f t="shared" ref="C5631:C5633" si="2368">DATE(2012,12,31)-1140</f>
        <v>40134</v>
      </c>
      <c r="D5631" s="4" t="s">
        <v>45</v>
      </c>
      <c r="E5631" s="4">
        <v>20.0</v>
      </c>
      <c r="F5631" s="4">
        <v>676.44</v>
      </c>
      <c r="G5631" s="4">
        <v>0.07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7"/>
        <v>40135</v>
      </c>
    </row>
    <row r="5632" ht="12.75" customHeight="1">
      <c r="A5632" s="4">
        <v>3121.0</v>
      </c>
      <c r="B5632" s="4">
        <v>22407.0</v>
      </c>
      <c r="C5632" s="5">
        <f t="shared" si="2368"/>
        <v>40134</v>
      </c>
      <c r="D5632" s="4" t="s">
        <v>45</v>
      </c>
      <c r="E5632" s="4">
        <v>10.0</v>
      </c>
      <c r="F5632" s="4">
        <v>128.02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ht="12.75" customHeight="1">
      <c r="A5633" s="4">
        <v>3122.0</v>
      </c>
      <c r="B5633" s="4">
        <v>22407.0</v>
      </c>
      <c r="C5633" s="5">
        <f t="shared" si="2368"/>
        <v>40134</v>
      </c>
      <c r="D5633" s="4" t="s">
        <v>45</v>
      </c>
      <c r="E5633" s="4">
        <v>15.0</v>
      </c>
      <c r="F5633" s="4">
        <v>526.82</v>
      </c>
      <c r="G5633" s="4">
        <v>0.06</v>
      </c>
      <c r="H5633" s="4" t="s">
        <v>56</v>
      </c>
      <c r="I5633" s="6">
        <v>32.34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</v>
      </c>
      <c r="U5633" s="5">
        <f t="shared" ref="U5633:U5634" si="2369">C5633+2</f>
        <v>40136</v>
      </c>
    </row>
    <row r="5634" ht="12.75" customHeight="1">
      <c r="A5634" s="4">
        <v>3548.0</v>
      </c>
      <c r="B5634" s="4">
        <v>25314.0</v>
      </c>
      <c r="C5634" s="5">
        <f>DATE(2012,12,31)-311</f>
        <v>40963</v>
      </c>
      <c r="D5634" s="4" t="s">
        <v>30</v>
      </c>
      <c r="E5634" s="4">
        <v>43.0</v>
      </c>
      <c r="F5634" s="4">
        <v>7679.511999999999</v>
      </c>
      <c r="G5634" s="4">
        <v>0.0</v>
      </c>
      <c r="H5634" s="4" t="s">
        <v>22</v>
      </c>
      <c r="I5634" s="6">
        <v>2307.42</v>
      </c>
      <c r="J5634" s="4">
        <v>205.99</v>
      </c>
      <c r="K5634" s="4">
        <v>5.0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9"/>
        <v>40965</v>
      </c>
    </row>
    <row r="5635" ht="12.75" customHeight="1">
      <c r="A5635" s="4">
        <v>3586.0</v>
      </c>
      <c r="B5635" s="4">
        <v>25574.0</v>
      </c>
      <c r="C5635" s="5">
        <f t="shared" ref="C5635:C5636" si="2370">DATE(2012,12,31)-1390</f>
        <v>39884</v>
      </c>
      <c r="D5635" s="4" t="s">
        <v>45</v>
      </c>
      <c r="E5635" s="4">
        <v>46.0</v>
      </c>
      <c r="F5635" s="4">
        <v>5074.07</v>
      </c>
      <c r="G5635" s="4">
        <v>0.0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ht="12.75" customHeight="1">
      <c r="A5636" s="4">
        <v>3587.0</v>
      </c>
      <c r="B5636" s="4">
        <v>25574.0</v>
      </c>
      <c r="C5636" s="5">
        <f t="shared" si="2370"/>
        <v>39884</v>
      </c>
      <c r="D5636" s="4" t="s">
        <v>45</v>
      </c>
      <c r="E5636" s="4">
        <v>31.0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ht="12.75" customHeight="1">
      <c r="A5637" s="4">
        <v>3678.0</v>
      </c>
      <c r="B5637" s="4">
        <v>26310.0</v>
      </c>
      <c r="C5637" s="5">
        <f t="shared" ref="C5637:C5638" si="2371">DATE(2012,12,31)-155</f>
        <v>41119</v>
      </c>
      <c r="D5637" s="4" t="s">
        <v>45</v>
      </c>
      <c r="E5637" s="4">
        <v>5.0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ht="12.75" customHeight="1">
      <c r="A5638" s="4">
        <v>3679.0</v>
      </c>
      <c r="B5638" s="4">
        <v>26310.0</v>
      </c>
      <c r="C5638" s="5">
        <f t="shared" si="2371"/>
        <v>41119</v>
      </c>
      <c r="D5638" s="4" t="s">
        <v>45</v>
      </c>
      <c r="E5638" s="4">
        <v>19.0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ht="12.75" customHeight="1">
      <c r="A5639" s="4">
        <v>3870.0</v>
      </c>
      <c r="B5639" s="4">
        <v>27616.0</v>
      </c>
      <c r="C5639" s="5">
        <f>DATE(2012,12,31)-154</f>
        <v>41120</v>
      </c>
      <c r="D5639" s="4" t="s">
        <v>21</v>
      </c>
      <c r="E5639" s="4">
        <v>3.0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ht="12.75" customHeight="1">
      <c r="A5640" s="4">
        <v>4169.0</v>
      </c>
      <c r="B5640" s="4">
        <v>29539.0</v>
      </c>
      <c r="C5640" s="5">
        <f>DATE(2012,12,31)-618</f>
        <v>40656</v>
      </c>
      <c r="D5640" s="4" t="s">
        <v>30</v>
      </c>
      <c r="E5640" s="4">
        <v>24.0</v>
      </c>
      <c r="F5640" s="4">
        <v>223.2</v>
      </c>
      <c r="G5640" s="4">
        <v>0.1</v>
      </c>
      <c r="H5640" s="4" t="s">
        <v>22</v>
      </c>
      <c r="I5640" s="6">
        <v>78.74</v>
      </c>
      <c r="J5640" s="4">
        <v>9.78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ht="12.75" customHeight="1">
      <c r="A5641" s="4">
        <v>4364.0</v>
      </c>
      <c r="B5641" s="4">
        <v>31106.0</v>
      </c>
      <c r="C5641" s="5">
        <f t="shared" ref="C5641:C5644" si="2372">DATE(2012,12,31)-319</f>
        <v>40955</v>
      </c>
      <c r="D5641" s="4" t="s">
        <v>21</v>
      </c>
      <c r="E5641" s="4">
        <v>37.0</v>
      </c>
      <c r="F5641" s="4">
        <v>101.9</v>
      </c>
      <c r="G5641" s="4">
        <v>0.0</v>
      </c>
      <c r="H5641" s="4" t="s">
        <v>22</v>
      </c>
      <c r="I5641" s="6">
        <v>40.52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ht="12.75" customHeight="1">
      <c r="A5642" s="4">
        <v>4365.0</v>
      </c>
      <c r="B5642" s="4">
        <v>31106.0</v>
      </c>
      <c r="C5642" s="5">
        <f t="shared" si="2372"/>
        <v>40955</v>
      </c>
      <c r="D5642" s="4" t="s">
        <v>21</v>
      </c>
      <c r="E5642" s="4">
        <v>7.0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9.87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0.58</v>
      </c>
      <c r="U5642" s="5">
        <f>C5642+5</f>
        <v>40960</v>
      </c>
    </row>
    <row r="5643" ht="12.75" customHeight="1">
      <c r="A5643" s="4">
        <v>4366.0</v>
      </c>
      <c r="B5643" s="4">
        <v>31106.0</v>
      </c>
      <c r="C5643" s="5">
        <f t="shared" si="2372"/>
        <v>40955</v>
      </c>
      <c r="D5643" s="4" t="s">
        <v>21</v>
      </c>
      <c r="E5643" s="4">
        <v>45.0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</v>
      </c>
      <c r="U5643" s="5">
        <f>C5643+2</f>
        <v>40957</v>
      </c>
    </row>
    <row r="5644" ht="12.75" customHeight="1">
      <c r="A5644" s="4">
        <v>4367.0</v>
      </c>
      <c r="B5644" s="4">
        <v>31106.0</v>
      </c>
      <c r="C5644" s="5">
        <f t="shared" si="2372"/>
        <v>40955</v>
      </c>
      <c r="D5644" s="4" t="s">
        <v>21</v>
      </c>
      <c r="E5644" s="4">
        <v>43.0</v>
      </c>
      <c r="F5644" s="4">
        <v>4697.032</v>
      </c>
      <c r="G5644" s="4">
        <v>0.0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ht="12.75" customHeight="1">
      <c r="A5645" s="4">
        <v>4371.0</v>
      </c>
      <c r="B5645" s="4">
        <v>31140.0</v>
      </c>
      <c r="C5645" s="5">
        <f>DATE(2012,12,31)-699</f>
        <v>40575</v>
      </c>
      <c r="D5645" s="4" t="s">
        <v>78</v>
      </c>
      <c r="E5645" s="4">
        <v>4.0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ht="12.75" customHeight="1">
      <c r="A5646" s="4">
        <v>4373.0</v>
      </c>
      <c r="B5646" s="4">
        <v>31170.0</v>
      </c>
      <c r="C5646" s="5">
        <f>DATE(2012,12,31)-339</f>
        <v>40935</v>
      </c>
      <c r="D5646" s="4" t="s">
        <v>63</v>
      </c>
      <c r="E5646" s="4">
        <v>32.0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</v>
      </c>
      <c r="U5646" s="5">
        <f>C5646+2</f>
        <v>40937</v>
      </c>
    </row>
    <row r="5647" ht="12.75" customHeight="1">
      <c r="A5647" s="4">
        <v>4417.0</v>
      </c>
      <c r="B5647" s="4">
        <v>31520.0</v>
      </c>
      <c r="C5647" s="5">
        <f>DATE(2012,12,31)-399</f>
        <v>40875</v>
      </c>
      <c r="D5647" s="4" t="s">
        <v>30</v>
      </c>
      <c r="E5647" s="4">
        <v>23.0</v>
      </c>
      <c r="F5647" s="4">
        <v>138.71</v>
      </c>
      <c r="G5647" s="4">
        <v>0.09</v>
      </c>
      <c r="H5647" s="4" t="s">
        <v>22</v>
      </c>
      <c r="I5647" s="6">
        <v>-33.16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ht="12.75" customHeight="1">
      <c r="A5648" s="4">
        <v>4873.0</v>
      </c>
      <c r="B5648" s="4">
        <v>34663.0</v>
      </c>
      <c r="C5648" s="5">
        <f>DATE(2012,12,31)-544</f>
        <v>40730</v>
      </c>
      <c r="D5648" s="4" t="s">
        <v>45</v>
      </c>
      <c r="E5648" s="4">
        <v>38.0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3">C5648+2</f>
        <v>40732</v>
      </c>
    </row>
    <row r="5649" ht="12.75" customHeight="1">
      <c r="A5649" s="4">
        <v>5029.0</v>
      </c>
      <c r="B5649" s="4">
        <v>35842.0</v>
      </c>
      <c r="C5649" s="5">
        <f>DATE(2012,12,31)-221</f>
        <v>41053</v>
      </c>
      <c r="D5649" s="4" t="s">
        <v>30</v>
      </c>
      <c r="E5649" s="4">
        <v>18.0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3"/>
        <v>41055</v>
      </c>
    </row>
    <row r="5650" ht="12.75" customHeight="1">
      <c r="A5650" s="4">
        <v>5069.0</v>
      </c>
      <c r="B5650" s="4">
        <v>36131.0</v>
      </c>
      <c r="C5650" s="5">
        <f t="shared" ref="C5650:C5651" si="2374">DATE(2012,12,31)-1324</f>
        <v>39950</v>
      </c>
      <c r="D5650" s="4" t="s">
        <v>30</v>
      </c>
      <c r="E5650" s="4">
        <v>43.0</v>
      </c>
      <c r="F5650" s="4">
        <v>354.96</v>
      </c>
      <c r="G5650" s="4">
        <v>0.07</v>
      </c>
      <c r="H5650" s="4" t="s">
        <v>22</v>
      </c>
      <c r="I5650" s="6">
        <v>151.27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3"/>
        <v>39952</v>
      </c>
    </row>
    <row r="5651" ht="12.75" customHeight="1">
      <c r="A5651" s="4">
        <v>5070.0</v>
      </c>
      <c r="B5651" s="4">
        <v>36131.0</v>
      </c>
      <c r="C5651" s="5">
        <f t="shared" si="2374"/>
        <v>39950</v>
      </c>
      <c r="D5651" s="4" t="s">
        <v>30</v>
      </c>
      <c r="E5651" s="4">
        <v>26.0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ht="12.75" customHeight="1">
      <c r="A5652" s="4">
        <v>5203.0</v>
      </c>
      <c r="B5652" s="4">
        <v>36992.0</v>
      </c>
      <c r="C5652" s="5">
        <f>DATE(2012,12,31)-1120</f>
        <v>40154</v>
      </c>
      <c r="D5652" s="4" t="s">
        <v>63</v>
      </c>
      <c r="E5652" s="4">
        <v>34.0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ht="12.75" customHeight="1">
      <c r="A5653" s="4">
        <v>5432.0</v>
      </c>
      <c r="B5653" s="4">
        <v>38596.0</v>
      </c>
      <c r="C5653" s="5">
        <f>DATE(2012,12,31)-1004</f>
        <v>40270</v>
      </c>
      <c r="D5653" s="4" t="s">
        <v>63</v>
      </c>
      <c r="E5653" s="4">
        <v>20.0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ht="12.75" customHeight="1">
      <c r="A5654" s="4">
        <v>5526.0</v>
      </c>
      <c r="B5654" s="4">
        <v>39143.0</v>
      </c>
      <c r="C5654" s="5">
        <f>DATE(2012,12,31)-269</f>
        <v>41005</v>
      </c>
      <c r="D5654" s="4" t="s">
        <v>45</v>
      </c>
      <c r="E5654" s="4">
        <v>46.0</v>
      </c>
      <c r="F5654" s="4">
        <v>6730.07</v>
      </c>
      <c r="G5654" s="4">
        <v>0.05</v>
      </c>
      <c r="H5654" s="4" t="s">
        <v>31</v>
      </c>
      <c r="I5654" s="6">
        <v>-1134.61</v>
      </c>
      <c r="J5654" s="4">
        <v>150.98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ht="12.75" customHeight="1">
      <c r="A5655" s="4">
        <v>5807.0</v>
      </c>
      <c r="B5655" s="4">
        <v>41186.0</v>
      </c>
      <c r="C5655" s="5">
        <f>DATE(2012,12,31)-770</f>
        <v>40504</v>
      </c>
      <c r="D5655" s="4" t="s">
        <v>30</v>
      </c>
      <c r="E5655" s="4">
        <v>33.0</v>
      </c>
      <c r="F5655" s="4">
        <v>553.3415</v>
      </c>
      <c r="G5655" s="4">
        <v>0.08</v>
      </c>
      <c r="H5655" s="4" t="s">
        <v>22</v>
      </c>
      <c r="I5655" s="6">
        <v>-67.705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5">C5655+1</f>
        <v>40505</v>
      </c>
    </row>
    <row r="5656" ht="12.75" customHeight="1">
      <c r="A5656" s="4">
        <v>6143.0</v>
      </c>
      <c r="B5656" s="4">
        <v>43493.0</v>
      </c>
      <c r="C5656" s="5">
        <f t="shared" ref="C5656:C5658" si="2376">DATE(2012,12,31)-235</f>
        <v>41039</v>
      </c>
      <c r="D5656" s="4" t="s">
        <v>30</v>
      </c>
      <c r="E5656" s="4">
        <v>22.0</v>
      </c>
      <c r="F5656" s="4">
        <v>152.52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5"/>
        <v>41040</v>
      </c>
    </row>
    <row r="5657" ht="12.75" customHeight="1">
      <c r="A5657" s="4">
        <v>6144.0</v>
      </c>
      <c r="B5657" s="4">
        <v>43493.0</v>
      </c>
      <c r="C5657" s="5">
        <f t="shared" si="2376"/>
        <v>41039</v>
      </c>
      <c r="D5657" s="4" t="s">
        <v>30</v>
      </c>
      <c r="E5657" s="4">
        <v>14.0</v>
      </c>
      <c r="F5657" s="4">
        <v>71.6</v>
      </c>
      <c r="G5657" s="4">
        <v>0.05</v>
      </c>
      <c r="H5657" s="4" t="s">
        <v>22</v>
      </c>
      <c r="I5657" s="6">
        <v>-30.65</v>
      </c>
      <c r="J5657" s="4">
        <v>4.98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ht="12.75" customHeight="1">
      <c r="A5658" s="4">
        <v>6145.0</v>
      </c>
      <c r="B5658" s="4">
        <v>43493.0</v>
      </c>
      <c r="C5658" s="5">
        <f t="shared" si="2376"/>
        <v>41039</v>
      </c>
      <c r="D5658" s="4" t="s">
        <v>30</v>
      </c>
      <c r="E5658" s="4">
        <v>37.0</v>
      </c>
      <c r="F5658" s="4">
        <v>1699.983</v>
      </c>
      <c r="G5658" s="4">
        <v>0.1</v>
      </c>
      <c r="H5658" s="4" t="s">
        <v>22</v>
      </c>
      <c r="I5658" s="6">
        <v>-202.862</v>
      </c>
      <c r="J5658" s="4">
        <v>55.99</v>
      </c>
      <c r="K5658" s="4">
        <v>5.0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ht="12.75" customHeight="1">
      <c r="A5659" s="4">
        <v>6152.0</v>
      </c>
      <c r="B5659" s="4">
        <v>43555.0</v>
      </c>
      <c r="C5659" s="5">
        <f>DATE(2012,12,31)-181</f>
        <v>41093</v>
      </c>
      <c r="D5659" s="4" t="s">
        <v>63</v>
      </c>
      <c r="E5659" s="4">
        <v>34.0</v>
      </c>
      <c r="F5659" s="4">
        <v>43.54</v>
      </c>
      <c r="G5659" s="4">
        <v>0.0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7">C5659+2</f>
        <v>41095</v>
      </c>
    </row>
    <row r="5660" ht="12.75" customHeight="1">
      <c r="A5660" s="4">
        <v>6283.0</v>
      </c>
      <c r="B5660" s="4">
        <v>44452.0</v>
      </c>
      <c r="C5660" s="5">
        <f>DATE(2012,12,31)-388</f>
        <v>40886</v>
      </c>
      <c r="D5660" s="4" t="s">
        <v>45</v>
      </c>
      <c r="E5660" s="4">
        <v>50.0</v>
      </c>
      <c r="F5660" s="4">
        <v>330.27</v>
      </c>
      <c r="G5660" s="4">
        <v>0.07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7"/>
        <v>40888</v>
      </c>
    </row>
    <row r="5661" ht="12.75" customHeight="1">
      <c r="A5661" s="4">
        <v>6404.0</v>
      </c>
      <c r="B5661" s="4">
        <v>45506.0</v>
      </c>
      <c r="C5661" s="5">
        <f>DATE(2012,12,31)-371</f>
        <v>40903</v>
      </c>
      <c r="D5661" s="4" t="s">
        <v>21</v>
      </c>
      <c r="E5661" s="4">
        <v>3.0</v>
      </c>
      <c r="F5661" s="4">
        <v>448.3665</v>
      </c>
      <c r="G5661" s="4">
        <v>0.03</v>
      </c>
      <c r="H5661" s="4" t="s">
        <v>22</v>
      </c>
      <c r="I5661" s="6">
        <v>-748.407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0.57</v>
      </c>
      <c r="U5661" s="5">
        <f>C5661+5</f>
        <v>40908</v>
      </c>
    </row>
    <row r="5662" ht="12.75" customHeight="1">
      <c r="A5662" s="4">
        <v>6441.0</v>
      </c>
      <c r="B5662" s="4">
        <v>45767.0</v>
      </c>
      <c r="C5662" s="5">
        <f>DATE(2012,12,31)-174</f>
        <v>41100</v>
      </c>
      <c r="D5662" s="4" t="s">
        <v>30</v>
      </c>
      <c r="E5662" s="4">
        <v>49.0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0.58</v>
      </c>
      <c r="U5662" s="5">
        <f>C5662+2</f>
        <v>41102</v>
      </c>
    </row>
    <row r="5663" ht="12.75" customHeight="1">
      <c r="A5663" s="4">
        <v>6457.0</v>
      </c>
      <c r="B5663" s="4">
        <v>45986.0</v>
      </c>
      <c r="C5663" s="5">
        <f>DATE(2012,12,31)-1102</f>
        <v>40172</v>
      </c>
      <c r="D5663" s="4" t="s">
        <v>21</v>
      </c>
      <c r="E5663" s="4">
        <v>20.0</v>
      </c>
      <c r="F5663" s="4">
        <v>71.07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ht="12.75" customHeight="1">
      <c r="A5664" s="4">
        <v>6584.0</v>
      </c>
      <c r="B5664" s="4">
        <v>46881.0</v>
      </c>
      <c r="C5664" s="5">
        <f>DATE(2012,12,31)-1182</f>
        <v>40092</v>
      </c>
      <c r="D5664" s="4" t="s">
        <v>78</v>
      </c>
      <c r="E5664" s="4">
        <v>31.0</v>
      </c>
      <c r="F5664" s="4">
        <v>176.28</v>
      </c>
      <c r="G5664" s="4">
        <v>0.07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8">C5664+2</f>
        <v>40094</v>
      </c>
    </row>
    <row r="5665" ht="12.75" customHeight="1">
      <c r="A5665" s="4">
        <v>6601.0</v>
      </c>
      <c r="B5665" s="4">
        <v>46979.0</v>
      </c>
      <c r="C5665" s="5">
        <f t="shared" ref="C5665:C5666" si="2379">DATE(2012,12,31)-168</f>
        <v>41106</v>
      </c>
      <c r="D5665" s="4" t="s">
        <v>21</v>
      </c>
      <c r="E5665" s="4">
        <v>30.0</v>
      </c>
      <c r="F5665" s="4">
        <v>8718.46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</v>
      </c>
      <c r="U5665" s="5">
        <f t="shared" si="2378"/>
        <v>41108</v>
      </c>
    </row>
    <row r="5666" ht="12.75" customHeight="1">
      <c r="A5666" s="4">
        <v>6602.0</v>
      </c>
      <c r="B5666" s="4">
        <v>46979.0</v>
      </c>
      <c r="C5666" s="5">
        <f t="shared" si="2379"/>
        <v>41106</v>
      </c>
      <c r="D5666" s="4" t="s">
        <v>21</v>
      </c>
      <c r="E5666" s="4">
        <v>26.0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ht="12.75" customHeight="1">
      <c r="A5667" s="4">
        <v>6611.0</v>
      </c>
      <c r="B5667" s="4">
        <v>47040.0</v>
      </c>
      <c r="C5667" s="5">
        <f>DATE(2012,12,31)-868</f>
        <v>40406</v>
      </c>
      <c r="D5667" s="4" t="s">
        <v>30</v>
      </c>
      <c r="E5667" s="4">
        <v>38.0</v>
      </c>
      <c r="F5667" s="4">
        <v>487.98</v>
      </c>
      <c r="G5667" s="4">
        <v>0.01</v>
      </c>
      <c r="H5667" s="4" t="s">
        <v>22</v>
      </c>
      <c r="I5667" s="6">
        <v>8.1005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80">C5667+1</f>
        <v>40407</v>
      </c>
    </row>
    <row r="5668" ht="12.75" customHeight="1">
      <c r="A5668" s="4">
        <v>6792.0</v>
      </c>
      <c r="B5668" s="4">
        <v>48391.0</v>
      </c>
      <c r="C5668" s="5">
        <f>DATE(2012,12,31)-794</f>
        <v>40480</v>
      </c>
      <c r="D5668" s="4" t="s">
        <v>45</v>
      </c>
      <c r="E5668" s="4">
        <v>45.0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80"/>
        <v>40481</v>
      </c>
    </row>
    <row r="5669" ht="12.75" customHeight="1">
      <c r="A5669" s="4">
        <v>7255.0</v>
      </c>
      <c r="B5669" s="4">
        <v>51780.0</v>
      </c>
      <c r="C5669" s="5">
        <f t="shared" ref="C5669:C5671" si="2381">DATE(2012,12,31)-891</f>
        <v>40383</v>
      </c>
      <c r="D5669" s="4" t="s">
        <v>21</v>
      </c>
      <c r="E5669" s="4">
        <v>26.0</v>
      </c>
      <c r="F5669" s="4">
        <v>1846.2</v>
      </c>
      <c r="G5669" s="4">
        <v>0.04</v>
      </c>
      <c r="H5669" s="4" t="s">
        <v>31</v>
      </c>
      <c r="I5669" s="6">
        <v>-584.93</v>
      </c>
      <c r="J5669" s="4">
        <v>68.81</v>
      </c>
      <c r="K5669" s="4">
        <v>60.0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ht="12.75" customHeight="1">
      <c r="A5670" s="4">
        <v>7256.0</v>
      </c>
      <c r="B5670" s="4">
        <v>51780.0</v>
      </c>
      <c r="C5670" s="5">
        <f t="shared" si="2381"/>
        <v>40383</v>
      </c>
      <c r="D5670" s="4" t="s">
        <v>21</v>
      </c>
      <c r="E5670" s="4">
        <v>11.0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ht="12.75" customHeight="1">
      <c r="A5671" s="4">
        <v>7257.0</v>
      </c>
      <c r="B5671" s="4">
        <v>51780.0</v>
      </c>
      <c r="C5671" s="5">
        <f t="shared" si="2381"/>
        <v>40383</v>
      </c>
      <c r="D5671" s="4" t="s">
        <v>21</v>
      </c>
      <c r="E5671" s="4">
        <v>44.0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2.26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2">C5671+0</f>
        <v>40383</v>
      </c>
    </row>
    <row r="5672" ht="12.75" customHeight="1">
      <c r="A5672" s="4">
        <v>7473.0</v>
      </c>
      <c r="B5672" s="4">
        <v>53350.0</v>
      </c>
      <c r="C5672" s="5">
        <f>DATE(2012,12,31)-1296</f>
        <v>39978</v>
      </c>
      <c r="D5672" s="4" t="s">
        <v>45</v>
      </c>
      <c r="E5672" s="4">
        <v>24.0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19.99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2"/>
        <v>39978</v>
      </c>
    </row>
    <row r="5673" ht="12.75" customHeight="1">
      <c r="A5673" s="4">
        <v>7773.0</v>
      </c>
      <c r="B5673" s="4">
        <v>55648.0</v>
      </c>
      <c r="C5673" s="5">
        <f>DATE(2012,12,31)-1209</f>
        <v>40065</v>
      </c>
      <c r="D5673" s="4" t="s">
        <v>78</v>
      </c>
      <c r="E5673" s="4">
        <v>5.0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</v>
      </c>
      <c r="U5673" s="5">
        <f>C5673+3</f>
        <v>40068</v>
      </c>
    </row>
    <row r="5674" ht="12.75" customHeight="1">
      <c r="A5674" s="4">
        <v>7783.0</v>
      </c>
      <c r="B5674" s="4">
        <v>55686.0</v>
      </c>
      <c r="C5674" s="5">
        <f t="shared" ref="C5674:C5676" si="2383">DATE(2012,12,31)-647</f>
        <v>40627</v>
      </c>
      <c r="D5674" s="4" t="s">
        <v>78</v>
      </c>
      <c r="E5674" s="4">
        <v>26.0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4.0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4">C5674+2</f>
        <v>40629</v>
      </c>
    </row>
    <row r="5675" ht="12.75" customHeight="1">
      <c r="A5675" s="4">
        <v>7784.0</v>
      </c>
      <c r="B5675" s="4">
        <v>55686.0</v>
      </c>
      <c r="C5675" s="5">
        <f t="shared" si="2383"/>
        <v>40627</v>
      </c>
      <c r="D5675" s="4" t="s">
        <v>78</v>
      </c>
      <c r="E5675" s="4">
        <v>22.0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4"/>
        <v>40629</v>
      </c>
    </row>
    <row r="5676" ht="12.75" customHeight="1">
      <c r="A5676" s="4">
        <v>7785.0</v>
      </c>
      <c r="B5676" s="4">
        <v>55686.0</v>
      </c>
      <c r="C5676" s="5">
        <f t="shared" si="2383"/>
        <v>40627</v>
      </c>
      <c r="D5676" s="4" t="s">
        <v>78</v>
      </c>
      <c r="E5676" s="4">
        <v>2.0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81.32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0.57</v>
      </c>
      <c r="U5676" s="5">
        <f t="shared" ref="U5676:U5677" si="2385">C5676+3</f>
        <v>40630</v>
      </c>
    </row>
    <row r="5677" ht="12.75" customHeight="1">
      <c r="A5677" s="4">
        <v>7807.0</v>
      </c>
      <c r="B5677" s="4">
        <v>55847.0</v>
      </c>
      <c r="C5677" s="5">
        <f t="shared" ref="C5677:C5678" si="2386">DATE(2012,12,31)-1260</f>
        <v>40014</v>
      </c>
      <c r="D5677" s="4" t="s">
        <v>45</v>
      </c>
      <c r="E5677" s="4">
        <v>21.0</v>
      </c>
      <c r="F5677" s="4">
        <v>133.15</v>
      </c>
      <c r="G5677" s="4">
        <v>0.05</v>
      </c>
      <c r="H5677" s="4" t="s">
        <v>22</v>
      </c>
      <c r="I5677" s="6">
        <v>-51.428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5"/>
        <v>40017</v>
      </c>
    </row>
    <row r="5678" ht="12.75" customHeight="1">
      <c r="A5678" s="4">
        <v>7808.0</v>
      </c>
      <c r="B5678" s="4">
        <v>55847.0</v>
      </c>
      <c r="C5678" s="5">
        <f t="shared" si="2386"/>
        <v>40014</v>
      </c>
      <c r="D5678" s="4" t="s">
        <v>45</v>
      </c>
      <c r="E5678" s="4">
        <v>45.0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ht="12.75" customHeight="1">
      <c r="A5679" s="4">
        <v>7843.0</v>
      </c>
      <c r="B5679" s="4">
        <v>56099.0</v>
      </c>
      <c r="C5679" s="5">
        <f>DATE(2012,12,31)-818</f>
        <v>40456</v>
      </c>
      <c r="D5679" s="4" t="s">
        <v>21</v>
      </c>
      <c r="E5679" s="4">
        <v>6.0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ht="12.75" customHeight="1">
      <c r="A5680" s="4">
        <v>7859.0</v>
      </c>
      <c r="B5680" s="4">
        <v>56197.0</v>
      </c>
      <c r="C5680" s="5">
        <f t="shared" ref="C5680:C5681" si="2387">DATE(2012,12,31)-1330</f>
        <v>39944</v>
      </c>
      <c r="D5680" s="4" t="s">
        <v>30</v>
      </c>
      <c r="E5680" s="4">
        <v>11.0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ht="12.75" customHeight="1">
      <c r="A5681" s="4">
        <v>7860.0</v>
      </c>
      <c r="B5681" s="4">
        <v>56197.0</v>
      </c>
      <c r="C5681" s="5">
        <f t="shared" si="2387"/>
        <v>39944</v>
      </c>
      <c r="D5681" s="4" t="s">
        <v>30</v>
      </c>
      <c r="E5681" s="4">
        <v>45.0</v>
      </c>
      <c r="F5681" s="4">
        <v>8014.624000000001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32.48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ht="12.75" customHeight="1">
      <c r="A5682" s="4">
        <v>7905.0</v>
      </c>
      <c r="B5682" s="4">
        <v>56548.0</v>
      </c>
      <c r="C5682" s="5">
        <f>DATE(2012,12,31)-117</f>
        <v>41157</v>
      </c>
      <c r="D5682" s="4" t="s">
        <v>63</v>
      </c>
      <c r="E5682" s="4">
        <v>7.0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8">C5682+2</f>
        <v>41159</v>
      </c>
    </row>
    <row r="5683" ht="12.75" customHeight="1">
      <c r="A5683" s="4">
        <v>8291.0</v>
      </c>
      <c r="B5683" s="4">
        <v>59232.0</v>
      </c>
      <c r="C5683" s="5">
        <f>DATE(2012,12,31)-1456</f>
        <v>39818</v>
      </c>
      <c r="D5683" s="4" t="s">
        <v>30</v>
      </c>
      <c r="E5683" s="4">
        <v>23.0</v>
      </c>
      <c r="F5683" s="4">
        <v>725.43</v>
      </c>
      <c r="G5683" s="4">
        <v>0.0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8"/>
        <v>39820</v>
      </c>
    </row>
    <row r="5684" ht="12.75" customHeight="1">
      <c r="A5684" s="4">
        <v>8390.0</v>
      </c>
      <c r="B5684" s="4">
        <v>59939.0</v>
      </c>
      <c r="C5684" s="5">
        <f>DATE(2012,12,31)-852</f>
        <v>40422</v>
      </c>
      <c r="D5684" s="4" t="s">
        <v>63</v>
      </c>
      <c r="E5684" s="4">
        <v>42.0</v>
      </c>
      <c r="F5684" s="4">
        <v>130.96</v>
      </c>
      <c r="G5684" s="4">
        <v>0.05</v>
      </c>
      <c r="H5684" s="4" t="s">
        <v>22</v>
      </c>
      <c r="I5684" s="6">
        <v>-66.74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9">C5684+0</f>
        <v>40422</v>
      </c>
    </row>
    <row r="5685" ht="12.75" customHeight="1">
      <c r="A5685" s="4">
        <v>8398.0</v>
      </c>
      <c r="B5685" s="4">
        <v>59973.0</v>
      </c>
      <c r="C5685" s="5">
        <f t="shared" ref="C5685:C5686" si="2390">DATE(2012,12,31)-412</f>
        <v>40862</v>
      </c>
      <c r="D5685" s="4" t="s">
        <v>21</v>
      </c>
      <c r="E5685" s="4">
        <v>29.0</v>
      </c>
      <c r="F5685" s="4">
        <v>11039.75</v>
      </c>
      <c r="G5685" s="4">
        <v>0.06</v>
      </c>
      <c r="H5685" s="4" t="s">
        <v>31</v>
      </c>
      <c r="I5685" s="6">
        <v>2148.97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9"/>
        <v>40862</v>
      </c>
    </row>
    <row r="5686" ht="12.75" customHeight="1">
      <c r="A5686" s="4">
        <v>8399.0</v>
      </c>
      <c r="B5686" s="4">
        <v>59973.0</v>
      </c>
      <c r="C5686" s="5">
        <f t="shared" si="2390"/>
        <v>40862</v>
      </c>
      <c r="D5686" s="4" t="s">
        <v>21</v>
      </c>
      <c r="E5686" s="4">
        <v>30.0</v>
      </c>
      <c r="F5686" s="4">
        <v>4982.944</v>
      </c>
      <c r="G5686" s="4">
        <v>0.07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ht="12.75" customHeight="1">
      <c r="A5687" s="4">
        <v>370.0</v>
      </c>
      <c r="B5687" s="4">
        <v>2563.0</v>
      </c>
      <c r="C5687" s="5">
        <f t="shared" ref="C5687:C5688" si="2391">DATE(2012,12,31)-774</f>
        <v>40500</v>
      </c>
      <c r="D5687" s="4" t="s">
        <v>45</v>
      </c>
      <c r="E5687" s="4">
        <v>12.0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2">C5687+1</f>
        <v>40501</v>
      </c>
    </row>
    <row r="5688" ht="12.75" customHeight="1">
      <c r="A5688" s="4">
        <v>371.0</v>
      </c>
      <c r="B5688" s="4">
        <v>2563.0</v>
      </c>
      <c r="C5688" s="5">
        <f t="shared" si="2391"/>
        <v>40500</v>
      </c>
      <c r="D5688" s="4" t="s">
        <v>45</v>
      </c>
      <c r="E5688" s="4">
        <v>33.0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2"/>
        <v>40501</v>
      </c>
    </row>
    <row r="5689" ht="12.75" customHeight="1">
      <c r="A5689" s="4">
        <v>408.0</v>
      </c>
      <c r="B5689" s="4">
        <v>2759.0</v>
      </c>
      <c r="C5689" s="5">
        <f>DATE(2012,12,31)-768</f>
        <v>40506</v>
      </c>
      <c r="D5689" s="4" t="s">
        <v>45</v>
      </c>
      <c r="E5689" s="4">
        <v>25.0</v>
      </c>
      <c r="F5689" s="4">
        <v>827.47</v>
      </c>
      <c r="G5689" s="4">
        <v>0.0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ht="12.75" customHeight="1">
      <c r="A5690" s="4">
        <v>748.0</v>
      </c>
      <c r="B5690" s="4">
        <v>5350.0</v>
      </c>
      <c r="C5690" s="5">
        <f>DATE(2012,12,31)-814</f>
        <v>40460</v>
      </c>
      <c r="D5690" s="4" t="s">
        <v>21</v>
      </c>
      <c r="E5690" s="4">
        <v>50.0</v>
      </c>
      <c r="F5690" s="4">
        <v>7017.42</v>
      </c>
      <c r="G5690" s="4">
        <v>0.08</v>
      </c>
      <c r="H5690" s="4" t="s">
        <v>22</v>
      </c>
      <c r="I5690" s="6">
        <v>595.2</v>
      </c>
      <c r="J5690" s="4">
        <v>140.85</v>
      </c>
      <c r="K5690" s="4">
        <v>19.99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ht="12.75" customHeight="1">
      <c r="A5691" s="4">
        <v>1361.0</v>
      </c>
      <c r="B5691" s="4">
        <v>9922.0</v>
      </c>
      <c r="C5691" s="5">
        <f t="shared" ref="C5691:C5692" si="2393">DATE(2012,12,31)-638</f>
        <v>40636</v>
      </c>
      <c r="D5691" s="4" t="s">
        <v>45</v>
      </c>
      <c r="E5691" s="4">
        <v>26.0</v>
      </c>
      <c r="F5691" s="4">
        <v>1075.91</v>
      </c>
      <c r="G5691" s="4">
        <v>0.03</v>
      </c>
      <c r="H5691" s="4" t="s">
        <v>22</v>
      </c>
      <c r="I5691" s="6">
        <v>34.42</v>
      </c>
      <c r="J5691" s="4">
        <v>39.98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4">C5691+1</f>
        <v>40637</v>
      </c>
    </row>
    <row r="5692" ht="12.75" customHeight="1">
      <c r="A5692" s="4">
        <v>1362.0</v>
      </c>
      <c r="B5692" s="4">
        <v>9922.0</v>
      </c>
      <c r="C5692" s="5">
        <f t="shared" si="2393"/>
        <v>40636</v>
      </c>
      <c r="D5692" s="4" t="s">
        <v>45</v>
      </c>
      <c r="E5692" s="4">
        <v>21.0</v>
      </c>
      <c r="F5692" s="4">
        <v>1176.859</v>
      </c>
      <c r="G5692" s="4">
        <v>0.03</v>
      </c>
      <c r="H5692" s="4" t="s">
        <v>22</v>
      </c>
      <c r="I5692" s="6">
        <v>137.862</v>
      </c>
      <c r="J5692" s="4">
        <v>65.99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4"/>
        <v>40637</v>
      </c>
    </row>
    <row r="5693" ht="12.75" customHeight="1">
      <c r="A5693" s="4">
        <v>1627.0</v>
      </c>
      <c r="B5693" s="4">
        <v>11777.0</v>
      </c>
      <c r="C5693" s="5">
        <f>DATE(2012,12,31)-1102</f>
        <v>40172</v>
      </c>
      <c r="D5693" s="4" t="s">
        <v>21</v>
      </c>
      <c r="E5693" s="4">
        <v>39.0</v>
      </c>
      <c r="F5693" s="4">
        <v>651.45</v>
      </c>
      <c r="G5693" s="4">
        <v>0.07</v>
      </c>
      <c r="H5693" s="4" t="s">
        <v>22</v>
      </c>
      <c r="I5693" s="6">
        <v>-160.56</v>
      </c>
      <c r="J5693" s="4">
        <v>17.7</v>
      </c>
      <c r="K5693" s="4">
        <v>9.47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ht="12.75" customHeight="1">
      <c r="A5694" s="4">
        <v>1728.0</v>
      </c>
      <c r="B5694" s="4">
        <v>12420.0</v>
      </c>
      <c r="C5694" s="5">
        <f t="shared" ref="C5694:C5695" si="2395">DATE(2012,12,31)-736</f>
        <v>40538</v>
      </c>
      <c r="D5694" s="4" t="s">
        <v>63</v>
      </c>
      <c r="E5694" s="4">
        <v>34.0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ht="12.75" customHeight="1">
      <c r="A5695" s="4">
        <v>1729.0</v>
      </c>
      <c r="B5695" s="4">
        <v>12420.0</v>
      </c>
      <c r="C5695" s="5">
        <f t="shared" si="2395"/>
        <v>40538</v>
      </c>
      <c r="D5695" s="4" t="s">
        <v>63</v>
      </c>
      <c r="E5695" s="4">
        <v>1.0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ht="12.75" customHeight="1">
      <c r="A5696" s="4">
        <v>1757.0</v>
      </c>
      <c r="B5696" s="4">
        <v>12611.0</v>
      </c>
      <c r="C5696" s="5">
        <f>DATE(2012,12,31)-443</f>
        <v>40831</v>
      </c>
      <c r="D5696" s="4" t="s">
        <v>63</v>
      </c>
      <c r="E5696" s="4">
        <v>13.0</v>
      </c>
      <c r="F5696" s="4">
        <v>189.99</v>
      </c>
      <c r="G5696" s="4">
        <v>0.03</v>
      </c>
      <c r="H5696" s="4" t="s">
        <v>56</v>
      </c>
      <c r="I5696" s="6">
        <v>72.8195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ht="12.75" customHeight="1">
      <c r="A5697" s="4">
        <v>1769.0</v>
      </c>
      <c r="B5697" s="4">
        <v>12676.0</v>
      </c>
      <c r="C5697" s="5">
        <f>DATE(2012,12,31)-1446</f>
        <v>39828</v>
      </c>
      <c r="D5697" s="4" t="s">
        <v>30</v>
      </c>
      <c r="E5697" s="4">
        <v>25.0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ht="12.75" customHeight="1">
      <c r="A5698" s="4">
        <v>1798.0</v>
      </c>
      <c r="B5698" s="4">
        <v>12871.0</v>
      </c>
      <c r="C5698" s="5">
        <f>DATE(2012,12,31)-454</f>
        <v>40820</v>
      </c>
      <c r="D5698" s="4" t="s">
        <v>45</v>
      </c>
      <c r="E5698" s="4">
        <v>46.0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ht="12.75" customHeight="1">
      <c r="A5699" s="4">
        <v>2103.0</v>
      </c>
      <c r="B5699" s="4">
        <v>15040.0</v>
      </c>
      <c r="C5699" s="5">
        <f>DATE(2012,12,31)-1123</f>
        <v>40151</v>
      </c>
      <c r="D5699" s="4" t="s">
        <v>21</v>
      </c>
      <c r="E5699" s="4">
        <v>48.0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ht="12.75" customHeight="1">
      <c r="A5700" s="4">
        <v>2159.0</v>
      </c>
      <c r="B5700" s="4">
        <v>15491.0</v>
      </c>
      <c r="C5700" s="5">
        <f>DATE(2012,12,31)-348</f>
        <v>40926</v>
      </c>
      <c r="D5700" s="4" t="s">
        <v>63</v>
      </c>
      <c r="E5700" s="4">
        <v>5.0</v>
      </c>
      <c r="F5700" s="4">
        <v>901.374</v>
      </c>
      <c r="G5700" s="4">
        <v>0.01</v>
      </c>
      <c r="H5700" s="4" t="s">
        <v>22</v>
      </c>
      <c r="I5700" s="6">
        <v>-648.6479999999999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ht="12.75" customHeight="1">
      <c r="A5701" s="4">
        <v>2359.0</v>
      </c>
      <c r="B5701" s="4">
        <v>17028.0</v>
      </c>
      <c r="C5701" s="5">
        <f>DATE(2012,12,31)-1173</f>
        <v>40101</v>
      </c>
      <c r="D5701" s="4" t="s">
        <v>30</v>
      </c>
      <c r="E5701" s="4">
        <v>19.0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</v>
      </c>
      <c r="U5701" s="5">
        <f t="shared" ref="U5701:U5702" si="2396">C5701+2</f>
        <v>40103</v>
      </c>
    </row>
    <row r="5702" ht="12.75" customHeight="1">
      <c r="A5702" s="4">
        <v>2458.0</v>
      </c>
      <c r="B5702" s="4">
        <v>17859.0</v>
      </c>
      <c r="C5702" s="5">
        <f>DATE(2012,12,31)-950</f>
        <v>40324</v>
      </c>
      <c r="D5702" s="4" t="s">
        <v>78</v>
      </c>
      <c r="E5702" s="4">
        <v>7.0</v>
      </c>
      <c r="F5702" s="4">
        <v>182.89</v>
      </c>
      <c r="G5702" s="4">
        <v>0.07</v>
      </c>
      <c r="H5702" s="4" t="s">
        <v>22</v>
      </c>
      <c r="I5702" s="6">
        <v>-99.3</v>
      </c>
      <c r="J5702" s="4">
        <v>27.48</v>
      </c>
      <c r="K5702" s="4">
        <v>4.0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6"/>
        <v>40326</v>
      </c>
    </row>
    <row r="5703" ht="12.75" customHeight="1">
      <c r="A5703" s="4">
        <v>2524.0</v>
      </c>
      <c r="B5703" s="4">
        <v>18340.0</v>
      </c>
      <c r="C5703" s="5">
        <f t="shared" ref="C5703:C5704" si="2397">DATE(2012,12,31)-563</f>
        <v>40711</v>
      </c>
      <c r="D5703" s="4" t="s">
        <v>63</v>
      </c>
      <c r="E5703" s="4">
        <v>20.0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8">C5703+1</f>
        <v>40712</v>
      </c>
    </row>
    <row r="5704" ht="12.75" customHeight="1">
      <c r="A5704" s="4">
        <v>2525.0</v>
      </c>
      <c r="B5704" s="4">
        <v>18340.0</v>
      </c>
      <c r="C5704" s="5">
        <f t="shared" si="2397"/>
        <v>40711</v>
      </c>
      <c r="D5704" s="4" t="s">
        <v>63</v>
      </c>
      <c r="E5704" s="4">
        <v>28.0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8"/>
        <v>40712</v>
      </c>
    </row>
    <row r="5705" ht="12.75" customHeight="1">
      <c r="A5705" s="4">
        <v>2866.0</v>
      </c>
      <c r="B5705" s="4">
        <v>20704.0</v>
      </c>
      <c r="C5705" s="5">
        <f t="shared" ref="C5705:C5707" si="2399">DATE(2012,12,31)-1055</f>
        <v>40219</v>
      </c>
      <c r="D5705" s="4" t="s">
        <v>21</v>
      </c>
      <c r="E5705" s="4">
        <v>1.0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ht="12.75" customHeight="1">
      <c r="A5706" s="4">
        <v>2867.0</v>
      </c>
      <c r="B5706" s="4">
        <v>20704.0</v>
      </c>
      <c r="C5706" s="5">
        <f t="shared" si="2399"/>
        <v>40219</v>
      </c>
      <c r="D5706" s="4" t="s">
        <v>21</v>
      </c>
      <c r="E5706" s="4">
        <v>5.0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400">C5706+5</f>
        <v>40224</v>
      </c>
    </row>
    <row r="5707" ht="12.75" customHeight="1">
      <c r="A5707" s="4">
        <v>2868.0</v>
      </c>
      <c r="B5707" s="4">
        <v>20704.0</v>
      </c>
      <c r="C5707" s="5">
        <f t="shared" si="2399"/>
        <v>40219</v>
      </c>
      <c r="D5707" s="4" t="s">
        <v>21</v>
      </c>
      <c r="E5707" s="4">
        <v>38.0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19.99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0.58</v>
      </c>
      <c r="U5707" s="5">
        <f t="shared" si="2400"/>
        <v>40224</v>
      </c>
    </row>
    <row r="5708" ht="12.75" customHeight="1">
      <c r="A5708" s="4">
        <v>2972.0</v>
      </c>
      <c r="B5708" s="4">
        <v>21477.0</v>
      </c>
      <c r="C5708" s="5">
        <f t="shared" ref="C5708:C5709" si="2401">DATE(2012,12,31)-590</f>
        <v>40684</v>
      </c>
      <c r="D5708" s="4" t="s">
        <v>21</v>
      </c>
      <c r="E5708" s="4">
        <v>7.0</v>
      </c>
      <c r="F5708" s="4">
        <v>189.73</v>
      </c>
      <c r="G5708" s="4">
        <v>0.01</v>
      </c>
      <c r="H5708" s="4" t="s">
        <v>22</v>
      </c>
      <c r="I5708" s="6">
        <v>43.1715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ht="12.75" customHeight="1">
      <c r="A5709" s="4">
        <v>2973.0</v>
      </c>
      <c r="B5709" s="4">
        <v>21477.0</v>
      </c>
      <c r="C5709" s="5">
        <f t="shared" si="2401"/>
        <v>40684</v>
      </c>
      <c r="D5709" s="4" t="s">
        <v>21</v>
      </c>
      <c r="E5709" s="4">
        <v>40.0</v>
      </c>
      <c r="F5709" s="4">
        <v>278.8</v>
      </c>
      <c r="G5709" s="4">
        <v>0.06</v>
      </c>
      <c r="H5709" s="4" t="s">
        <v>22</v>
      </c>
      <c r="I5709" s="6">
        <v>77.71</v>
      </c>
      <c r="J5709" s="4">
        <v>6.88</v>
      </c>
      <c r="K5709" s="4">
        <v>2.0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ht="12.75" customHeight="1">
      <c r="A5710" s="4">
        <v>2993.0</v>
      </c>
      <c r="B5710" s="4">
        <v>21602.0</v>
      </c>
      <c r="C5710" s="5">
        <f>DATE(2012,12,31)-1279</f>
        <v>39995</v>
      </c>
      <c r="D5710" s="4" t="s">
        <v>78</v>
      </c>
      <c r="E5710" s="4">
        <v>6.0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ht="12.75" customHeight="1">
      <c r="A5711" s="4">
        <v>3616.0</v>
      </c>
      <c r="B5711" s="4">
        <v>25828.0</v>
      </c>
      <c r="C5711" s="5">
        <f t="shared" ref="C5711:C5712" si="2402">DATE(2012,12,31)-769</f>
        <v>40505</v>
      </c>
      <c r="D5711" s="4" t="s">
        <v>45</v>
      </c>
      <c r="E5711" s="4">
        <v>29.0</v>
      </c>
      <c r="F5711" s="4">
        <v>163.04</v>
      </c>
      <c r="G5711" s="4">
        <v>0.08</v>
      </c>
      <c r="H5711" s="4" t="s">
        <v>22</v>
      </c>
      <c r="I5711" s="6">
        <v>58.0</v>
      </c>
      <c r="J5711" s="4">
        <v>5.84</v>
      </c>
      <c r="K5711" s="4">
        <v>1.0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ht="12.75" customHeight="1">
      <c r="A5712" s="4">
        <v>3617.0</v>
      </c>
      <c r="B5712" s="4">
        <v>25828.0</v>
      </c>
      <c r="C5712" s="5">
        <f t="shared" si="2402"/>
        <v>40505</v>
      </c>
      <c r="D5712" s="4" t="s">
        <v>45</v>
      </c>
      <c r="E5712" s="4">
        <v>31.0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ht="12.75" customHeight="1">
      <c r="A5713" s="4">
        <v>3746.0</v>
      </c>
      <c r="B5713" s="4">
        <v>26758.0</v>
      </c>
      <c r="C5713" s="5">
        <f t="shared" ref="C5713:C5714" si="2403">DATE(2012,12,31)-1318</f>
        <v>39956</v>
      </c>
      <c r="D5713" s="4" t="s">
        <v>45</v>
      </c>
      <c r="E5713" s="4">
        <v>46.0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</v>
      </c>
      <c r="K5713" s="4">
        <v>4.0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4">C5713+2</f>
        <v>39958</v>
      </c>
    </row>
    <row r="5714" ht="12.75" customHeight="1">
      <c r="A5714" s="4">
        <v>3747.0</v>
      </c>
      <c r="B5714" s="4">
        <v>26758.0</v>
      </c>
      <c r="C5714" s="5">
        <f t="shared" si="2403"/>
        <v>39956</v>
      </c>
      <c r="D5714" s="4" t="s">
        <v>45</v>
      </c>
      <c r="E5714" s="4">
        <v>37.0</v>
      </c>
      <c r="F5714" s="4">
        <v>108.33</v>
      </c>
      <c r="G5714" s="4">
        <v>0.0</v>
      </c>
      <c r="H5714" s="4" t="s">
        <v>22</v>
      </c>
      <c r="I5714" s="6">
        <v>17.0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</v>
      </c>
      <c r="U5714" s="5">
        <f t="shared" si="2404"/>
        <v>39958</v>
      </c>
    </row>
    <row r="5715" ht="12.75" customHeight="1">
      <c r="A5715" s="4">
        <v>3966.0</v>
      </c>
      <c r="B5715" s="4">
        <v>28291.0</v>
      </c>
      <c r="C5715" s="5">
        <f>DATE(2012,12,31)-1398</f>
        <v>39876</v>
      </c>
      <c r="D5715" s="4" t="s">
        <v>78</v>
      </c>
      <c r="E5715" s="4">
        <v>14.0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57.0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ht="12.75" customHeight="1">
      <c r="A5716" s="4">
        <v>3986.0</v>
      </c>
      <c r="B5716" s="4">
        <v>28455.0</v>
      </c>
      <c r="C5716" s="5">
        <f t="shared" ref="C5716:C5717" si="2405">DATE(2012,12,31)-946</f>
        <v>40328</v>
      </c>
      <c r="D5716" s="4" t="s">
        <v>63</v>
      </c>
      <c r="E5716" s="4">
        <v>12.0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ht="12.75" customHeight="1">
      <c r="A5717" s="4">
        <v>3987.0</v>
      </c>
      <c r="B5717" s="4">
        <v>28455.0</v>
      </c>
      <c r="C5717" s="5">
        <f t="shared" si="2405"/>
        <v>40328</v>
      </c>
      <c r="D5717" s="4" t="s">
        <v>63</v>
      </c>
      <c r="E5717" s="4">
        <v>37.0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ht="12.75" customHeight="1">
      <c r="A5718" s="4">
        <v>4069.0</v>
      </c>
      <c r="B5718" s="4">
        <v>28963.0</v>
      </c>
      <c r="C5718" s="5">
        <f>DATE(2012,12,31)-393</f>
        <v>40881</v>
      </c>
      <c r="D5718" s="4" t="s">
        <v>45</v>
      </c>
      <c r="E5718" s="4">
        <v>37.0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ht="12.75" customHeight="1">
      <c r="A5719" s="4">
        <v>4100.0</v>
      </c>
      <c r="B5719" s="4">
        <v>29216.0</v>
      </c>
      <c r="C5719" s="5">
        <f t="shared" ref="C5719:C5720" si="2406">DATE(2012,12,31)-2</f>
        <v>41272</v>
      </c>
      <c r="D5719" s="4" t="s">
        <v>78</v>
      </c>
      <c r="E5719" s="4">
        <v>46.0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4.0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7">C5719+1</f>
        <v>41273</v>
      </c>
    </row>
    <row r="5720" ht="12.75" customHeight="1">
      <c r="A5720" s="4">
        <v>4101.0</v>
      </c>
      <c r="B5720" s="4">
        <v>29216.0</v>
      </c>
      <c r="C5720" s="5">
        <f t="shared" si="2406"/>
        <v>41272</v>
      </c>
      <c r="D5720" s="4" t="s">
        <v>78</v>
      </c>
      <c r="E5720" s="4">
        <v>17.0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7"/>
        <v>41273</v>
      </c>
    </row>
    <row r="5721" ht="12.75" customHeight="1">
      <c r="A5721" s="4">
        <v>4274.0</v>
      </c>
      <c r="B5721" s="4">
        <v>30405.0</v>
      </c>
      <c r="C5721" s="5">
        <f>DATE(2012,12,31)-247</f>
        <v>41027</v>
      </c>
      <c r="D5721" s="4" t="s">
        <v>21</v>
      </c>
      <c r="E5721" s="4">
        <v>7.0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ht="12.75" customHeight="1">
      <c r="A5722" s="4">
        <v>4348.0</v>
      </c>
      <c r="B5722" s="4">
        <v>30976.0</v>
      </c>
      <c r="C5722" s="5">
        <f>DATE(2012,12,31)-68</f>
        <v>41206</v>
      </c>
      <c r="D5722" s="4" t="s">
        <v>30</v>
      </c>
      <c r="E5722" s="4">
        <v>10.0</v>
      </c>
      <c r="F5722" s="4">
        <v>403.88</v>
      </c>
      <c r="G5722" s="4">
        <v>0.07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8">C5722+0</f>
        <v>41206</v>
      </c>
    </row>
    <row r="5723" ht="12.75" customHeight="1">
      <c r="A5723" s="4">
        <v>4667.0</v>
      </c>
      <c r="B5723" s="4">
        <v>33220.0</v>
      </c>
      <c r="C5723" s="5">
        <f t="shared" ref="C5723:C5724" si="2409">DATE(2012,12,31)-1356</f>
        <v>39918</v>
      </c>
      <c r="D5723" s="4" t="s">
        <v>45</v>
      </c>
      <c r="E5723" s="4">
        <v>49.0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8"/>
        <v>39918</v>
      </c>
    </row>
    <row r="5724" ht="12.75" customHeight="1">
      <c r="A5724" s="4">
        <v>4668.0</v>
      </c>
      <c r="B5724" s="4">
        <v>33220.0</v>
      </c>
      <c r="C5724" s="5">
        <f t="shared" si="2409"/>
        <v>39918</v>
      </c>
      <c r="D5724" s="4" t="s">
        <v>45</v>
      </c>
      <c r="E5724" s="4">
        <v>40.0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ht="12.75" customHeight="1">
      <c r="A5725" s="4">
        <v>4736.0</v>
      </c>
      <c r="B5725" s="4">
        <v>33701.0</v>
      </c>
      <c r="C5725" s="5">
        <f>DATE(2012,12,31)-1187</f>
        <v>40087</v>
      </c>
      <c r="D5725" s="4" t="s">
        <v>63</v>
      </c>
      <c r="E5725" s="4">
        <v>35.0</v>
      </c>
      <c r="F5725" s="4">
        <v>2333.06</v>
      </c>
      <c r="G5725" s="4">
        <v>0.08</v>
      </c>
      <c r="H5725" s="4" t="s">
        <v>56</v>
      </c>
      <c r="I5725" s="6">
        <v>473.3905</v>
      </c>
      <c r="J5725" s="4">
        <v>67.28</v>
      </c>
      <c r="K5725" s="4">
        <v>19.99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ht="12.75" customHeight="1">
      <c r="A5726" s="4">
        <v>4752.0</v>
      </c>
      <c r="B5726" s="4">
        <v>33793.0</v>
      </c>
      <c r="C5726" s="5">
        <f>DATE(2012,12,31)-187</f>
        <v>41087</v>
      </c>
      <c r="D5726" s="4" t="s">
        <v>78</v>
      </c>
      <c r="E5726" s="4">
        <v>17.0</v>
      </c>
      <c r="F5726" s="4">
        <v>267.58</v>
      </c>
      <c r="G5726" s="4">
        <v>0.03</v>
      </c>
      <c r="H5726" s="4" t="s">
        <v>22</v>
      </c>
      <c r="I5726" s="6">
        <v>-137.747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10">C5726+1</f>
        <v>41088</v>
      </c>
    </row>
    <row r="5727" ht="12.75" customHeight="1">
      <c r="A5727" s="4">
        <v>4850.0</v>
      </c>
      <c r="B5727" s="4">
        <v>34499.0</v>
      </c>
      <c r="C5727" s="5">
        <f>DATE(2012,12,31)-897</f>
        <v>40377</v>
      </c>
      <c r="D5727" s="4" t="s">
        <v>63</v>
      </c>
      <c r="E5727" s="4">
        <v>2.0</v>
      </c>
      <c r="F5727" s="4">
        <v>555.68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0.57</v>
      </c>
      <c r="U5727" s="5">
        <f t="shared" si="2410"/>
        <v>40378</v>
      </c>
    </row>
    <row r="5728" ht="12.75" customHeight="1">
      <c r="A5728" s="4">
        <v>4920.0</v>
      </c>
      <c r="B5728" s="4">
        <v>35040.0</v>
      </c>
      <c r="C5728" s="5">
        <f>DATE(2012,12,31)-257</f>
        <v>41017</v>
      </c>
      <c r="D5728" s="4" t="s">
        <v>45</v>
      </c>
      <c r="E5728" s="4">
        <v>44.0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ht="12.75" customHeight="1">
      <c r="A5729" s="4">
        <v>4951.0</v>
      </c>
      <c r="B5729" s="4">
        <v>35238.0</v>
      </c>
      <c r="C5729" s="5">
        <f>DATE(2012,12,31)-613</f>
        <v>40661</v>
      </c>
      <c r="D5729" s="4" t="s">
        <v>21</v>
      </c>
      <c r="E5729" s="4">
        <v>27.0</v>
      </c>
      <c r="F5729" s="4">
        <v>1403.0269999999998</v>
      </c>
      <c r="G5729" s="4">
        <v>0.1</v>
      </c>
      <c r="H5729" s="4" t="s">
        <v>56</v>
      </c>
      <c r="I5729" s="6">
        <v>153.801</v>
      </c>
      <c r="J5729" s="4">
        <v>65.99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</v>
      </c>
      <c r="U5729" s="5">
        <f>C5729+0</f>
        <v>40661</v>
      </c>
    </row>
    <row r="5730" ht="12.75" customHeight="1">
      <c r="A5730" s="4">
        <v>4976.0</v>
      </c>
      <c r="B5730" s="4">
        <v>35399.0</v>
      </c>
      <c r="C5730" s="5">
        <f>DATE(2012,12,31)-710</f>
        <v>40564</v>
      </c>
      <c r="D5730" s="4" t="s">
        <v>21</v>
      </c>
      <c r="E5730" s="4">
        <v>38.0</v>
      </c>
      <c r="F5730" s="4">
        <v>188.38</v>
      </c>
      <c r="G5730" s="4">
        <v>0.04</v>
      </c>
      <c r="H5730" s="4" t="s">
        <v>22</v>
      </c>
      <c r="I5730" s="6">
        <v>-120.1175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ht="12.75" customHeight="1">
      <c r="A5731" s="4">
        <v>5039.0</v>
      </c>
      <c r="B5731" s="4">
        <v>35910.0</v>
      </c>
      <c r="C5731" s="5">
        <f t="shared" ref="C5731:C5733" si="2411">DATE(2012,12,31)-768</f>
        <v>40506</v>
      </c>
      <c r="D5731" s="4" t="s">
        <v>30</v>
      </c>
      <c r="E5731" s="4">
        <v>28.0</v>
      </c>
      <c r="F5731" s="4">
        <v>881.501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ht="12.75" customHeight="1">
      <c r="A5732" s="4">
        <v>5040.0</v>
      </c>
      <c r="B5732" s="4">
        <v>35910.0</v>
      </c>
      <c r="C5732" s="5">
        <f t="shared" si="2411"/>
        <v>40506</v>
      </c>
      <c r="D5732" s="4" t="s">
        <v>30</v>
      </c>
      <c r="E5732" s="4">
        <v>25.0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2">C5732+2</f>
        <v>40508</v>
      </c>
    </row>
    <row r="5733" ht="12.75" customHeight="1">
      <c r="A5733" s="4">
        <v>5041.0</v>
      </c>
      <c r="B5733" s="4">
        <v>35910.0</v>
      </c>
      <c r="C5733" s="5">
        <f t="shared" si="2411"/>
        <v>40506</v>
      </c>
      <c r="D5733" s="4" t="s">
        <v>30</v>
      </c>
      <c r="E5733" s="4">
        <v>36.0</v>
      </c>
      <c r="F5733" s="4">
        <v>660.059</v>
      </c>
      <c r="G5733" s="4">
        <v>0.05</v>
      </c>
      <c r="H5733" s="4" t="s">
        <v>22</v>
      </c>
      <c r="I5733" s="6">
        <v>-0.649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2"/>
        <v>40508</v>
      </c>
    </row>
    <row r="5734" ht="12.75" customHeight="1">
      <c r="A5734" s="4">
        <v>5363.0</v>
      </c>
      <c r="B5734" s="4">
        <v>38118.0</v>
      </c>
      <c r="C5734" s="5">
        <f>DATE(2012,12,31)-623</f>
        <v>40651</v>
      </c>
      <c r="D5734" s="4" t="s">
        <v>45</v>
      </c>
      <c r="E5734" s="4">
        <v>7.0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4.0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2"/>
        <v>40653</v>
      </c>
    </row>
    <row r="5735" ht="12.75" customHeight="1">
      <c r="A5735" s="4">
        <v>6050.0</v>
      </c>
      <c r="B5735" s="4">
        <v>42886.0</v>
      </c>
      <c r="C5735" s="5">
        <f>DATE(2012,12,31)-358</f>
        <v>40916</v>
      </c>
      <c r="D5735" s="4" t="s">
        <v>63</v>
      </c>
      <c r="E5735" s="4">
        <v>42.0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2"/>
        <v>40918</v>
      </c>
    </row>
    <row r="5736" ht="12.75" customHeight="1">
      <c r="A5736" s="4">
        <v>6158.0</v>
      </c>
      <c r="B5736" s="4">
        <v>43620.0</v>
      </c>
      <c r="C5736" s="5">
        <f t="shared" ref="C5736:C5737" si="2413">DATE(2012,12,31)-1444</f>
        <v>39830</v>
      </c>
      <c r="D5736" s="4" t="s">
        <v>63</v>
      </c>
      <c r="E5736" s="4">
        <v>13.0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ht="12.75" customHeight="1">
      <c r="A5737" s="4">
        <v>6159.0</v>
      </c>
      <c r="B5737" s="4">
        <v>43620.0</v>
      </c>
      <c r="C5737" s="5">
        <f t="shared" si="2413"/>
        <v>39830</v>
      </c>
      <c r="D5737" s="4" t="s">
        <v>63</v>
      </c>
      <c r="E5737" s="4">
        <v>11.0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2.26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ht="12.75" customHeight="1">
      <c r="A5738" s="4">
        <v>6203.0</v>
      </c>
      <c r="B5738" s="4">
        <v>43936.0</v>
      </c>
      <c r="C5738" s="5">
        <f>DATE(2012,12,31)-1024</f>
        <v>40250</v>
      </c>
      <c r="D5738" s="4" t="s">
        <v>78</v>
      </c>
      <c r="E5738" s="4">
        <v>42.0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</v>
      </c>
      <c r="U5738" s="5">
        <f t="shared" ref="U5738:U5739" si="2414">C5738+1</f>
        <v>40251</v>
      </c>
    </row>
    <row r="5739" ht="12.75" customHeight="1">
      <c r="A5739" s="4">
        <v>6463.0</v>
      </c>
      <c r="B5739" s="4">
        <v>46018.0</v>
      </c>
      <c r="C5739" s="5">
        <f>DATE(2012,12,31)-1238</f>
        <v>40036</v>
      </c>
      <c r="D5739" s="4" t="s">
        <v>63</v>
      </c>
      <c r="E5739" s="4">
        <v>31.0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14.0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4"/>
        <v>40037</v>
      </c>
    </row>
    <row r="5740" ht="12.75" customHeight="1">
      <c r="A5740" s="4">
        <v>6786.0</v>
      </c>
      <c r="B5740" s="4">
        <v>48327.0</v>
      </c>
      <c r="C5740" s="5">
        <f>DATE(2012,12,31)-1239</f>
        <v>40035</v>
      </c>
      <c r="D5740" s="4" t="s">
        <v>45</v>
      </c>
      <c r="E5740" s="4">
        <v>14.0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ht="12.75" customHeight="1">
      <c r="A5741" s="4">
        <v>6796.0</v>
      </c>
      <c r="B5741" s="4">
        <v>48448.0</v>
      </c>
      <c r="C5741" s="5">
        <f>DATE(2012,12,31)-45</f>
        <v>41229</v>
      </c>
      <c r="D5741" s="4" t="s">
        <v>21</v>
      </c>
      <c r="E5741" s="4">
        <v>20.0</v>
      </c>
      <c r="F5741" s="4">
        <v>340.952</v>
      </c>
      <c r="G5741" s="4">
        <v>0.09</v>
      </c>
      <c r="H5741" s="4" t="s">
        <v>22</v>
      </c>
      <c r="I5741" s="6">
        <v>108.936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ht="12.75" customHeight="1">
      <c r="A5742" s="4">
        <v>6818.0</v>
      </c>
      <c r="B5742" s="4">
        <v>48544.0</v>
      </c>
      <c r="C5742" s="5">
        <f>DATE(2012,12,31)-595</f>
        <v>40679</v>
      </c>
      <c r="D5742" s="4" t="s">
        <v>30</v>
      </c>
      <c r="E5742" s="4">
        <v>44.0</v>
      </c>
      <c r="F5742" s="4">
        <v>831.5805</v>
      </c>
      <c r="G5742" s="4">
        <v>0.01</v>
      </c>
      <c r="H5742" s="4" t="s">
        <v>22</v>
      </c>
      <c r="I5742" s="6">
        <v>273.051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0.57</v>
      </c>
      <c r="U5742" s="5">
        <f t="shared" ref="U5742:U5743" si="2415">C5742+2</f>
        <v>40681</v>
      </c>
    </row>
    <row r="5743" ht="12.75" customHeight="1">
      <c r="A5743" s="4">
        <v>6862.0</v>
      </c>
      <c r="B5743" s="4">
        <v>48900.0</v>
      </c>
      <c r="C5743" s="5">
        <f t="shared" ref="C5743:C5744" si="2416">DATE(2012,12,31)-1380</f>
        <v>39894</v>
      </c>
      <c r="D5743" s="4" t="s">
        <v>45</v>
      </c>
      <c r="E5743" s="4">
        <v>27.0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5"/>
        <v>39896</v>
      </c>
    </row>
    <row r="5744" ht="12.75" customHeight="1">
      <c r="A5744" s="4">
        <v>6863.0</v>
      </c>
      <c r="B5744" s="4">
        <v>48900.0</v>
      </c>
      <c r="C5744" s="5">
        <f t="shared" si="2416"/>
        <v>39894</v>
      </c>
      <c r="D5744" s="4" t="s">
        <v>45</v>
      </c>
      <c r="E5744" s="4">
        <v>42.0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ht="12.75" customHeight="1">
      <c r="A5745" s="4">
        <v>6913.0</v>
      </c>
      <c r="B5745" s="4">
        <v>49319.0</v>
      </c>
      <c r="C5745" s="5">
        <f t="shared" ref="C5745:C5746" si="2417">DATE(2012,12,31)-494</f>
        <v>40780</v>
      </c>
      <c r="D5745" s="4" t="s">
        <v>21</v>
      </c>
      <c r="E5745" s="4">
        <v>13.0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8">C5745+2</f>
        <v>40782</v>
      </c>
    </row>
    <row r="5746" ht="12.75" customHeight="1">
      <c r="A5746" s="4">
        <v>6914.0</v>
      </c>
      <c r="B5746" s="4">
        <v>49319.0</v>
      </c>
      <c r="C5746" s="5">
        <f t="shared" si="2417"/>
        <v>40780</v>
      </c>
      <c r="D5746" s="4" t="s">
        <v>21</v>
      </c>
      <c r="E5746" s="4">
        <v>40.0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8"/>
        <v>40782</v>
      </c>
    </row>
    <row r="5747" ht="12.75" customHeight="1">
      <c r="A5747" s="4">
        <v>6950.0</v>
      </c>
      <c r="B5747" s="4">
        <v>49638.0</v>
      </c>
      <c r="C5747" s="5">
        <f>DATE(2012,12,31)-877</f>
        <v>40397</v>
      </c>
      <c r="D5747" s="4" t="s">
        <v>63</v>
      </c>
      <c r="E5747" s="4">
        <v>17.0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ht="12.75" customHeight="1">
      <c r="A5748" s="4">
        <v>7016.0</v>
      </c>
      <c r="B5748" s="4">
        <v>50055.0</v>
      </c>
      <c r="C5748" s="5">
        <f t="shared" ref="C5748:C5749" si="2419">DATE(2012,12,31)-74</f>
        <v>41200</v>
      </c>
      <c r="D5748" s="4" t="s">
        <v>63</v>
      </c>
      <c r="E5748" s="4">
        <v>1.0</v>
      </c>
      <c r="F5748" s="4">
        <v>13.45</v>
      </c>
      <c r="G5748" s="4">
        <v>0.0</v>
      </c>
      <c r="H5748" s="4" t="s">
        <v>22</v>
      </c>
      <c r="I5748" s="6">
        <v>-8.1995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20">C5748+2</f>
        <v>41202</v>
      </c>
    </row>
    <row r="5749" ht="12.75" customHeight="1">
      <c r="A5749" s="4">
        <v>7017.0</v>
      </c>
      <c r="B5749" s="4">
        <v>50055.0</v>
      </c>
      <c r="C5749" s="5">
        <f t="shared" si="2419"/>
        <v>41200</v>
      </c>
      <c r="D5749" s="4" t="s">
        <v>63</v>
      </c>
      <c r="E5749" s="4">
        <v>11.0</v>
      </c>
      <c r="F5749" s="4">
        <v>75.79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20"/>
        <v>41202</v>
      </c>
    </row>
    <row r="5750" ht="12.75" customHeight="1">
      <c r="A5750" s="4">
        <v>7197.0</v>
      </c>
      <c r="B5750" s="4">
        <v>51360.0</v>
      </c>
      <c r="C5750" s="5">
        <f>DATE(2012,12,31)-560</f>
        <v>40714</v>
      </c>
      <c r="D5750" s="4" t="s">
        <v>63</v>
      </c>
      <c r="E5750" s="4">
        <v>12.0</v>
      </c>
      <c r="F5750" s="4">
        <v>46.55</v>
      </c>
      <c r="G5750" s="4">
        <v>0.0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20"/>
        <v>40716</v>
      </c>
    </row>
    <row r="5751" ht="12.75" customHeight="1">
      <c r="A5751" s="4">
        <v>7389.0</v>
      </c>
      <c r="B5751" s="4">
        <v>52672.0</v>
      </c>
      <c r="C5751" s="5">
        <f>DATE(2012,12,31)-723</f>
        <v>40551</v>
      </c>
      <c r="D5751" s="4" t="s">
        <v>21</v>
      </c>
      <c r="E5751" s="4">
        <v>29.0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65.99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</v>
      </c>
      <c r="U5751" s="5">
        <f>C5751+5</f>
        <v>40556</v>
      </c>
    </row>
    <row r="5752" ht="12.75" customHeight="1">
      <c r="A5752" s="4">
        <v>7409.0</v>
      </c>
      <c r="B5752" s="4">
        <v>52867.0</v>
      </c>
      <c r="C5752" s="5">
        <f>DATE(2012,12,31)-1236</f>
        <v>40038</v>
      </c>
      <c r="D5752" s="4" t="s">
        <v>30</v>
      </c>
      <c r="E5752" s="4">
        <v>15.0</v>
      </c>
      <c r="F5752" s="4">
        <v>1917.61</v>
      </c>
      <c r="G5752" s="4">
        <v>0.03</v>
      </c>
      <c r="H5752" s="4" t="s">
        <v>31</v>
      </c>
      <c r="I5752" s="6">
        <v>-286.9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1">C5752+1</f>
        <v>40039</v>
      </c>
    </row>
    <row r="5753" ht="12.75" customHeight="1">
      <c r="A5753" s="4">
        <v>7572.0</v>
      </c>
      <c r="B5753" s="4">
        <v>54176.0</v>
      </c>
      <c r="C5753" s="5">
        <f>DATE(2012,12,31)-553</f>
        <v>40721</v>
      </c>
      <c r="D5753" s="4" t="s">
        <v>45</v>
      </c>
      <c r="E5753" s="4">
        <v>33.0</v>
      </c>
      <c r="F5753" s="4">
        <v>2492.97</v>
      </c>
      <c r="G5753" s="4">
        <v>0.06</v>
      </c>
      <c r="H5753" s="4" t="s">
        <v>22</v>
      </c>
      <c r="I5753" s="6">
        <v>131.02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1"/>
        <v>40722</v>
      </c>
    </row>
    <row r="5754" ht="12.75" customHeight="1">
      <c r="A5754" s="4">
        <v>7695.0</v>
      </c>
      <c r="B5754" s="4">
        <v>55171.0</v>
      </c>
      <c r="C5754" s="5">
        <f t="shared" ref="C5754:C5755" si="2422">DATE(2012,12,31)-66</f>
        <v>41208</v>
      </c>
      <c r="D5754" s="4" t="s">
        <v>30</v>
      </c>
      <c r="E5754" s="4">
        <v>29.0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4.0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1"/>
        <v>41209</v>
      </c>
    </row>
    <row r="5755" ht="12.75" customHeight="1">
      <c r="A5755" s="4">
        <v>7696.0</v>
      </c>
      <c r="B5755" s="4">
        <v>55171.0</v>
      </c>
      <c r="C5755" s="5">
        <f t="shared" si="2422"/>
        <v>41208</v>
      </c>
      <c r="D5755" s="4" t="s">
        <v>30</v>
      </c>
      <c r="E5755" s="4">
        <v>43.0</v>
      </c>
      <c r="F5755" s="4">
        <v>260.6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ht="12.75" customHeight="1">
      <c r="A5756" s="4">
        <v>7781.0</v>
      </c>
      <c r="B5756" s="4">
        <v>55683.0</v>
      </c>
      <c r="C5756" s="5">
        <f>DATE(2012,12,31)-169</f>
        <v>41105</v>
      </c>
      <c r="D5756" s="4" t="s">
        <v>30</v>
      </c>
      <c r="E5756" s="4">
        <v>50.0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ht="12.75" customHeight="1">
      <c r="A5757" s="4">
        <v>8135.0</v>
      </c>
      <c r="B5757" s="4">
        <v>58147.0</v>
      </c>
      <c r="C5757" s="5">
        <f>DATE(2012,12,31)-1323</f>
        <v>39951</v>
      </c>
      <c r="D5757" s="4" t="s">
        <v>30</v>
      </c>
      <c r="E5757" s="4">
        <v>41.0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0.58</v>
      </c>
      <c r="U5757" s="5">
        <f>C5757+0</f>
        <v>39951</v>
      </c>
    </row>
    <row r="5758" ht="12.75" customHeight="1">
      <c r="A5758" s="4">
        <v>8220.0</v>
      </c>
      <c r="B5758" s="4">
        <v>58784.0</v>
      </c>
      <c r="C5758" s="5">
        <f t="shared" ref="C5758:C5760" si="2423">DATE(2012,12,31)-1443</f>
        <v>39831</v>
      </c>
      <c r="D5758" s="4" t="s">
        <v>63</v>
      </c>
      <c r="E5758" s="4">
        <v>12.0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ht="12.75" customHeight="1">
      <c r="A5759" s="4">
        <v>8221.0</v>
      </c>
      <c r="B5759" s="4">
        <v>58784.0</v>
      </c>
      <c r="C5759" s="5">
        <f t="shared" si="2423"/>
        <v>39831</v>
      </c>
      <c r="D5759" s="4" t="s">
        <v>63</v>
      </c>
      <c r="E5759" s="4">
        <v>29.0</v>
      </c>
      <c r="F5759" s="4">
        <v>1379.1</v>
      </c>
      <c r="G5759" s="4">
        <v>0.06</v>
      </c>
      <c r="H5759" s="4" t="s">
        <v>22</v>
      </c>
      <c r="I5759" s="6">
        <v>573.8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ht="12.75" customHeight="1">
      <c r="A5760" s="4">
        <v>8222.0</v>
      </c>
      <c r="B5760" s="4">
        <v>58784.0</v>
      </c>
      <c r="C5760" s="5">
        <f t="shared" si="2423"/>
        <v>39831</v>
      </c>
      <c r="D5760" s="4" t="s">
        <v>63</v>
      </c>
      <c r="E5760" s="4">
        <v>17.0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ht="12.75" customHeight="1">
      <c r="A5761" s="4">
        <v>8320.0</v>
      </c>
      <c r="B5761" s="4">
        <v>59456.0</v>
      </c>
      <c r="C5761" s="5">
        <f>DATE(2012,12,31)-358</f>
        <v>40916</v>
      </c>
      <c r="D5761" s="4" t="s">
        <v>21</v>
      </c>
      <c r="E5761" s="4">
        <v>30.0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</v>
      </c>
      <c r="K5761" s="4">
        <v>49.0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ht="12.75" customHeight="1">
      <c r="A5762" s="4">
        <v>8340.0</v>
      </c>
      <c r="B5762" s="4">
        <v>59591.0</v>
      </c>
      <c r="C5762" s="5">
        <f t="shared" ref="C5762:C5763" si="2424">DATE(2012,12,31)-1179</f>
        <v>40095</v>
      </c>
      <c r="D5762" s="4" t="s">
        <v>45</v>
      </c>
      <c r="E5762" s="4">
        <v>34.0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14.0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ht="12.75" customHeight="1">
      <c r="A5763" s="4">
        <v>8341.0</v>
      </c>
      <c r="B5763" s="4">
        <v>59591.0</v>
      </c>
      <c r="C5763" s="5">
        <f t="shared" si="2424"/>
        <v>40095</v>
      </c>
      <c r="D5763" s="4" t="s">
        <v>45</v>
      </c>
      <c r="E5763" s="4">
        <v>29.0</v>
      </c>
      <c r="F5763" s="4">
        <v>195.82</v>
      </c>
      <c r="G5763" s="4">
        <v>0.07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5">C5763+2</f>
        <v>40097</v>
      </c>
    </row>
    <row r="5764" ht="12.75" customHeight="1">
      <c r="A5764" s="4">
        <v>8381.0</v>
      </c>
      <c r="B5764" s="4">
        <v>59879.0</v>
      </c>
      <c r="C5764" s="5">
        <f>DATE(2012,12,31)-1393</f>
        <v>39881</v>
      </c>
      <c r="D5764" s="4" t="s">
        <v>45</v>
      </c>
      <c r="E5764" s="4">
        <v>33.0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5"/>
        <v>39883</v>
      </c>
    </row>
    <row r="5765" ht="12.75" customHeight="1">
      <c r="A5765" s="4">
        <v>6.0</v>
      </c>
      <c r="B5765" s="4">
        <v>32.0</v>
      </c>
      <c r="C5765" s="5">
        <f>DATE(2012,12,31)-535</f>
        <v>40739</v>
      </c>
      <c r="D5765" s="4" t="s">
        <v>30</v>
      </c>
      <c r="E5765" s="4">
        <v>15.0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ht="12.75" customHeight="1">
      <c r="A5766" s="4">
        <v>12.0</v>
      </c>
      <c r="B5766" s="4">
        <v>69.0</v>
      </c>
      <c r="C5766" s="5">
        <f t="shared" ref="C5766:C5767" si="2426">DATE(2012,12,31)-1307</f>
        <v>39967</v>
      </c>
      <c r="D5766" s="4" t="s">
        <v>45</v>
      </c>
      <c r="E5766" s="4">
        <v>42.0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7">C5766+2</f>
        <v>39969</v>
      </c>
    </row>
    <row r="5767" ht="12.75" customHeight="1">
      <c r="A5767" s="4">
        <v>13.0</v>
      </c>
      <c r="B5767" s="4">
        <v>69.0</v>
      </c>
      <c r="C5767" s="5">
        <f t="shared" si="2426"/>
        <v>39967</v>
      </c>
      <c r="D5767" s="4" t="s">
        <v>45</v>
      </c>
      <c r="E5767" s="4">
        <v>28.0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7"/>
        <v>39969</v>
      </c>
    </row>
    <row r="5768" ht="12.75" customHeight="1">
      <c r="A5768" s="4">
        <v>56.0</v>
      </c>
      <c r="B5768" s="4">
        <v>324.0</v>
      </c>
      <c r="C5768" s="5">
        <f>DATE(2012,12,31)-287</f>
        <v>40987</v>
      </c>
      <c r="D5768" s="4" t="s">
        <v>78</v>
      </c>
      <c r="E5768" s="4">
        <v>25.0</v>
      </c>
      <c r="F5768" s="4">
        <v>3872.634</v>
      </c>
      <c r="G5768" s="4">
        <v>0.02</v>
      </c>
      <c r="H5768" s="4" t="s">
        <v>22</v>
      </c>
      <c r="I5768" s="6">
        <v>667.332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0.57</v>
      </c>
      <c r="U5768" s="5">
        <f t="shared" si="2427"/>
        <v>40989</v>
      </c>
    </row>
    <row r="5769" ht="12.75" customHeight="1">
      <c r="A5769" s="4">
        <v>200.0</v>
      </c>
      <c r="B5769" s="4">
        <v>1317.0</v>
      </c>
      <c r="C5769" s="5">
        <f t="shared" ref="C5769:C5771" si="2428">DATE(2012,12,31)-593</f>
        <v>40681</v>
      </c>
      <c r="D5769" s="4" t="s">
        <v>30</v>
      </c>
      <c r="E5769" s="4">
        <v>44.0</v>
      </c>
      <c r="F5769" s="4">
        <v>523.42</v>
      </c>
      <c r="G5769" s="4">
        <v>0.06</v>
      </c>
      <c r="H5769" s="4" t="s">
        <v>22</v>
      </c>
      <c r="I5769" s="6">
        <v>39.423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7"/>
        <v>40683</v>
      </c>
    </row>
    <row r="5770" ht="12.75" customHeight="1">
      <c r="A5770" s="4">
        <v>201.0</v>
      </c>
      <c r="B5770" s="4">
        <v>1317.0</v>
      </c>
      <c r="C5770" s="5">
        <f t="shared" si="2428"/>
        <v>40681</v>
      </c>
      <c r="D5770" s="4" t="s">
        <v>30</v>
      </c>
      <c r="E5770" s="4">
        <v>40.0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ht="12.75" customHeight="1">
      <c r="A5771" s="4">
        <v>202.0</v>
      </c>
      <c r="B5771" s="4">
        <v>1317.0</v>
      </c>
      <c r="C5771" s="5">
        <f t="shared" si="2428"/>
        <v>40681</v>
      </c>
      <c r="D5771" s="4" t="s">
        <v>30</v>
      </c>
      <c r="E5771" s="4">
        <v>29.0</v>
      </c>
      <c r="F5771" s="4">
        <v>156.7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ht="12.75" customHeight="1">
      <c r="A5772" s="4">
        <v>239.0</v>
      </c>
      <c r="B5772" s="4">
        <v>1604.0</v>
      </c>
      <c r="C5772" s="5">
        <f>DATE(2012,12,31)-899</f>
        <v>40375</v>
      </c>
      <c r="D5772" s="4" t="s">
        <v>21</v>
      </c>
      <c r="E5772" s="4">
        <v>47.0</v>
      </c>
      <c r="F5772" s="4">
        <v>622.82</v>
      </c>
      <c r="G5772" s="4">
        <v>0.0</v>
      </c>
      <c r="H5772" s="4" t="s">
        <v>22</v>
      </c>
      <c r="I5772" s="6">
        <v>128.88</v>
      </c>
      <c r="J5772" s="4">
        <v>12.64</v>
      </c>
      <c r="K5772" s="4">
        <v>4.98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9">C5772+0</f>
        <v>40375</v>
      </c>
    </row>
    <row r="5773" ht="12.75" customHeight="1">
      <c r="A5773" s="4">
        <v>306.0</v>
      </c>
      <c r="B5773" s="4">
        <v>2144.0</v>
      </c>
      <c r="C5773" s="5">
        <f>DATE(2012,12,31)-1374</f>
        <v>39900</v>
      </c>
      <c r="D5773" s="4" t="s">
        <v>63</v>
      </c>
      <c r="E5773" s="4">
        <v>40.0</v>
      </c>
      <c r="F5773" s="4">
        <v>5945.3675</v>
      </c>
      <c r="G5773" s="4">
        <v>0.08</v>
      </c>
      <c r="H5773" s="4" t="s">
        <v>22</v>
      </c>
      <c r="I5773" s="6">
        <v>1585.476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9"/>
        <v>39900</v>
      </c>
    </row>
    <row r="5774" ht="12.75" customHeight="1">
      <c r="A5774" s="4">
        <v>407.0</v>
      </c>
      <c r="B5774" s="4">
        <v>2757.0</v>
      </c>
      <c r="C5774" s="5">
        <f>DATE(2012,12,31)-531</f>
        <v>40743</v>
      </c>
      <c r="D5774" s="4" t="s">
        <v>30</v>
      </c>
      <c r="E5774" s="4">
        <v>42.0</v>
      </c>
      <c r="F5774" s="4">
        <v>569.32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ht="12.75" customHeight="1">
      <c r="A5775" s="4">
        <v>445.0</v>
      </c>
      <c r="B5775" s="4">
        <v>3012.0</v>
      </c>
      <c r="C5775" s="5">
        <f>DATE(2012,12,31)-972</f>
        <v>40302</v>
      </c>
      <c r="D5775" s="4" t="s">
        <v>78</v>
      </c>
      <c r="E5775" s="4">
        <v>41.0</v>
      </c>
      <c r="F5775" s="4">
        <v>120.03</v>
      </c>
      <c r="G5775" s="4">
        <v>0.0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ht="12.75" customHeight="1">
      <c r="A5776" s="4">
        <v>465.0</v>
      </c>
      <c r="B5776" s="4">
        <v>3169.0</v>
      </c>
      <c r="C5776" s="5">
        <f>DATE(2012,12,31)-742</f>
        <v>40532</v>
      </c>
      <c r="D5776" s="4" t="s">
        <v>63</v>
      </c>
      <c r="E5776" s="4">
        <v>7.0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30">C5776+1</f>
        <v>40533</v>
      </c>
    </row>
    <row r="5777" ht="12.75" customHeight="1">
      <c r="A5777" s="4">
        <v>479.0</v>
      </c>
      <c r="B5777" s="4">
        <v>3331.0</v>
      </c>
      <c r="C5777" s="5">
        <f>DATE(2012,12,31)-956</f>
        <v>40318</v>
      </c>
      <c r="D5777" s="4" t="s">
        <v>30</v>
      </c>
      <c r="E5777" s="4">
        <v>31.0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30"/>
        <v>40319</v>
      </c>
    </row>
    <row r="5778" ht="12.75" customHeight="1">
      <c r="A5778" s="4">
        <v>538.0</v>
      </c>
      <c r="B5778" s="4">
        <v>3650.0</v>
      </c>
      <c r="C5778" s="5">
        <f t="shared" ref="C5778:C5779" si="2431">DATE(2012,12,31)-218</f>
        <v>41056</v>
      </c>
      <c r="D5778" s="4" t="s">
        <v>45</v>
      </c>
      <c r="E5778" s="4">
        <v>36.0</v>
      </c>
      <c r="F5778" s="4">
        <v>139.95</v>
      </c>
      <c r="G5778" s="4">
        <v>0.04</v>
      </c>
      <c r="H5778" s="4" t="s">
        <v>56</v>
      </c>
      <c r="I5778" s="6">
        <v>-128.593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2">C5778+2</f>
        <v>41058</v>
      </c>
    </row>
    <row r="5779" ht="12.75" customHeight="1">
      <c r="A5779" s="4">
        <v>539.0</v>
      </c>
      <c r="B5779" s="4">
        <v>3650.0</v>
      </c>
      <c r="C5779" s="5">
        <f t="shared" si="2431"/>
        <v>41056</v>
      </c>
      <c r="D5779" s="4" t="s">
        <v>45</v>
      </c>
      <c r="E5779" s="4">
        <v>24.0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2"/>
        <v>41058</v>
      </c>
    </row>
    <row r="5780" ht="12.75" customHeight="1">
      <c r="A5780" s="4">
        <v>560.0</v>
      </c>
      <c r="B5780" s="4">
        <v>3783.0</v>
      </c>
      <c r="C5780" s="5">
        <f t="shared" ref="C5780:C5781" si="2433">DATE(2012,12,31)-757</f>
        <v>40517</v>
      </c>
      <c r="D5780" s="4" t="s">
        <v>45</v>
      </c>
      <c r="E5780" s="4">
        <v>11.0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ht="12.75" customHeight="1">
      <c r="A5781" s="4">
        <v>561.0</v>
      </c>
      <c r="B5781" s="4">
        <v>3783.0</v>
      </c>
      <c r="C5781" s="5">
        <f t="shared" si="2433"/>
        <v>40517</v>
      </c>
      <c r="D5781" s="4" t="s">
        <v>45</v>
      </c>
      <c r="E5781" s="4">
        <v>40.0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4">C5781+2</f>
        <v>40519</v>
      </c>
    </row>
    <row r="5782" ht="12.75" customHeight="1">
      <c r="A5782" s="4">
        <v>652.0</v>
      </c>
      <c r="B5782" s="4">
        <v>4583.0</v>
      </c>
      <c r="C5782" s="5">
        <f>DATE(2012,12,31)-1194</f>
        <v>40080</v>
      </c>
      <c r="D5782" s="4" t="s">
        <v>63</v>
      </c>
      <c r="E5782" s="4">
        <v>44.0</v>
      </c>
      <c r="F5782" s="4">
        <v>3021.64</v>
      </c>
      <c r="G5782" s="4">
        <v>0.07</v>
      </c>
      <c r="H5782" s="4" t="s">
        <v>31</v>
      </c>
      <c r="I5782" s="6">
        <v>-720.2</v>
      </c>
      <c r="J5782" s="4">
        <v>70.98</v>
      </c>
      <c r="K5782" s="4">
        <v>30.0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4"/>
        <v>40082</v>
      </c>
    </row>
    <row r="5783" ht="12.75" customHeight="1">
      <c r="A5783" s="4">
        <v>668.0</v>
      </c>
      <c r="B5783" s="4">
        <v>4675.0</v>
      </c>
      <c r="C5783" s="5">
        <f>DATE(2012,12,31)-768</f>
        <v>40506</v>
      </c>
      <c r="D5783" s="4" t="s">
        <v>45</v>
      </c>
      <c r="E5783" s="4">
        <v>4.0</v>
      </c>
      <c r="F5783" s="4">
        <v>17.89</v>
      </c>
      <c r="G5783" s="4">
        <v>0.0</v>
      </c>
      <c r="H5783" s="4" t="s">
        <v>22</v>
      </c>
      <c r="I5783" s="6">
        <v>-1.15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4"/>
        <v>40508</v>
      </c>
    </row>
    <row r="5784" ht="12.75" customHeight="1">
      <c r="A5784" s="4">
        <v>684.0</v>
      </c>
      <c r="B5784" s="4">
        <v>4772.0</v>
      </c>
      <c r="C5784" s="5">
        <f>DATE(2012,12,31)-1205</f>
        <v>40069</v>
      </c>
      <c r="D5784" s="4" t="s">
        <v>78</v>
      </c>
      <c r="E5784" s="4">
        <v>28.0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65.99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</v>
      </c>
      <c r="U5784" s="5">
        <f>C5784+1</f>
        <v>40070</v>
      </c>
    </row>
    <row r="5785" ht="12.75" customHeight="1">
      <c r="A5785" s="4">
        <v>725.0</v>
      </c>
      <c r="B5785" s="4">
        <v>5217.0</v>
      </c>
      <c r="C5785" s="5">
        <f t="shared" ref="C5785:C5786" si="2435">DATE(2012,12,31)-446</f>
        <v>40828</v>
      </c>
      <c r="D5785" s="4" t="s">
        <v>30</v>
      </c>
      <c r="E5785" s="4">
        <v>8.0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0.57</v>
      </c>
      <c r="U5785" s="5">
        <f>C5785+0</f>
        <v>40828</v>
      </c>
    </row>
    <row r="5786" ht="12.75" customHeight="1">
      <c r="A5786" s="4">
        <v>726.0</v>
      </c>
      <c r="B5786" s="4">
        <v>5217.0</v>
      </c>
      <c r="C5786" s="5">
        <f t="shared" si="2435"/>
        <v>40828</v>
      </c>
      <c r="D5786" s="4" t="s">
        <v>30</v>
      </c>
      <c r="E5786" s="4">
        <v>11.0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ht="12.75" customHeight="1">
      <c r="A5787" s="4">
        <v>804.0</v>
      </c>
      <c r="B5787" s="4">
        <v>5765.0</v>
      </c>
      <c r="C5787" s="5">
        <f>DATE(2012,12,31)-1113</f>
        <v>40161</v>
      </c>
      <c r="D5787" s="4" t="s">
        <v>21</v>
      </c>
      <c r="E5787" s="4">
        <v>23.0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19.99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ht="12.75" customHeight="1">
      <c r="A5788" s="4">
        <v>884.0</v>
      </c>
      <c r="B5788" s="4">
        <v>6339.0</v>
      </c>
      <c r="C5788" s="5">
        <f>DATE(2012,12,31)-20</f>
        <v>41254</v>
      </c>
      <c r="D5788" s="4" t="s">
        <v>78</v>
      </c>
      <c r="E5788" s="4">
        <v>20.0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0.57</v>
      </c>
      <c r="U5788" s="5">
        <f t="shared" ref="U5788:U5789" si="2436">C5788+1</f>
        <v>41255</v>
      </c>
    </row>
    <row r="5789" ht="12.75" customHeight="1">
      <c r="A5789" s="4">
        <v>942.0</v>
      </c>
      <c r="B5789" s="4">
        <v>6848.0</v>
      </c>
      <c r="C5789" s="5">
        <f>DATE(2012,12,31)-840</f>
        <v>40434</v>
      </c>
      <c r="D5789" s="4" t="s">
        <v>30</v>
      </c>
      <c r="E5789" s="4">
        <v>22.0</v>
      </c>
      <c r="F5789" s="4">
        <v>116.84</v>
      </c>
      <c r="G5789" s="4">
        <v>0.1</v>
      </c>
      <c r="H5789" s="4" t="s">
        <v>22</v>
      </c>
      <c r="I5789" s="6">
        <v>-125.442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6"/>
        <v>40435</v>
      </c>
    </row>
    <row r="5790" ht="12.75" customHeight="1">
      <c r="A5790" s="4">
        <v>1054.0</v>
      </c>
      <c r="B5790" s="4">
        <v>7782.0</v>
      </c>
      <c r="C5790" s="5">
        <f>DATE(2012,12,31)-1278</f>
        <v>39996</v>
      </c>
      <c r="D5790" s="4" t="s">
        <v>78</v>
      </c>
      <c r="E5790" s="4">
        <v>20.0</v>
      </c>
      <c r="F5790" s="4">
        <v>1205.73</v>
      </c>
      <c r="G5790" s="4">
        <v>0.07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</v>
      </c>
      <c r="U5790" s="5">
        <f>C5790+2</f>
        <v>39998</v>
      </c>
    </row>
    <row r="5791" ht="12.75" customHeight="1">
      <c r="A5791" s="4">
        <v>1082.0</v>
      </c>
      <c r="B5791" s="4">
        <v>7941.0</v>
      </c>
      <c r="C5791" s="5">
        <f>DATE(2012,12,31)-283</f>
        <v>40991</v>
      </c>
      <c r="D5791" s="4" t="s">
        <v>21</v>
      </c>
      <c r="E5791" s="4">
        <v>50.0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ht="12.75" customHeight="1">
      <c r="A5792" s="4">
        <v>1093.0</v>
      </c>
      <c r="B5792" s="4">
        <v>8034.0</v>
      </c>
      <c r="C5792" s="5">
        <f t="shared" ref="C5792:C5794" si="2437">DATE(2012,12,31)-347</f>
        <v>40927</v>
      </c>
      <c r="D5792" s="4" t="s">
        <v>30</v>
      </c>
      <c r="E5792" s="4">
        <v>31.0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0.58</v>
      </c>
      <c r="U5792" s="5">
        <f>C5792+0</f>
        <v>40927</v>
      </c>
    </row>
    <row r="5793" ht="12.75" customHeight="1">
      <c r="A5793" s="4">
        <v>1094.0</v>
      </c>
      <c r="B5793" s="4">
        <v>8034.0</v>
      </c>
      <c r="C5793" s="5">
        <f t="shared" si="2437"/>
        <v>40927</v>
      </c>
      <c r="D5793" s="4" t="s">
        <v>30</v>
      </c>
      <c r="E5793" s="4">
        <v>13.0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16.99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</v>
      </c>
      <c r="U5793" s="5">
        <f>C5793+1</f>
        <v>40928</v>
      </c>
    </row>
    <row r="5794" ht="12.75" customHeight="1">
      <c r="A5794" s="4">
        <v>1095.0</v>
      </c>
      <c r="B5794" s="4">
        <v>8034.0</v>
      </c>
      <c r="C5794" s="5">
        <f t="shared" si="2437"/>
        <v>40927</v>
      </c>
      <c r="D5794" s="4" t="s">
        <v>30</v>
      </c>
      <c r="E5794" s="4">
        <v>36.0</v>
      </c>
      <c r="F5794" s="4">
        <v>1606.4</v>
      </c>
      <c r="G5794" s="4">
        <v>0.08</v>
      </c>
      <c r="H5794" s="4" t="s">
        <v>31</v>
      </c>
      <c r="I5794" s="6">
        <v>-1231.35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ht="12.75" customHeight="1">
      <c r="A5795" s="4">
        <v>1110.0</v>
      </c>
      <c r="B5795" s="4">
        <v>8135.0</v>
      </c>
      <c r="C5795" s="5">
        <f>DATE(2012,12,31)-554</f>
        <v>40720</v>
      </c>
      <c r="D5795" s="4" t="s">
        <v>45</v>
      </c>
      <c r="E5795" s="4">
        <v>16.0</v>
      </c>
      <c r="F5795" s="4">
        <v>772.412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5.0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ht="12.75" customHeight="1">
      <c r="A5796" s="4">
        <v>1290.0</v>
      </c>
      <c r="B5796" s="4">
        <v>9473.0</v>
      </c>
      <c r="C5796" s="5">
        <f t="shared" ref="C5796:C5798" si="2438">DATE(2012,12,31)-81</f>
        <v>41193</v>
      </c>
      <c r="D5796" s="4" t="s">
        <v>45</v>
      </c>
      <c r="E5796" s="4">
        <v>3.0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8.04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ht="12.75" customHeight="1">
      <c r="A5797" s="4">
        <v>1291.0</v>
      </c>
      <c r="B5797" s="4">
        <v>9473.0</v>
      </c>
      <c r="C5797" s="5">
        <f t="shared" si="2438"/>
        <v>41193</v>
      </c>
      <c r="D5797" s="4" t="s">
        <v>45</v>
      </c>
      <c r="E5797" s="4">
        <v>34.0</v>
      </c>
      <c r="F5797" s="4">
        <v>563.82</v>
      </c>
      <c r="G5797" s="4">
        <v>0.03</v>
      </c>
      <c r="H5797" s="4" t="s">
        <v>22</v>
      </c>
      <c r="I5797" s="6">
        <v>188.224</v>
      </c>
      <c r="J5797" s="4">
        <v>16.51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ht="12.75" customHeight="1">
      <c r="A5798" s="4">
        <v>1292.0</v>
      </c>
      <c r="B5798" s="4">
        <v>9473.0</v>
      </c>
      <c r="C5798" s="5">
        <f t="shared" si="2438"/>
        <v>41193</v>
      </c>
      <c r="D5798" s="4" t="s">
        <v>45</v>
      </c>
      <c r="E5798" s="4">
        <v>31.0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ht="12.75" customHeight="1">
      <c r="A5799" s="4">
        <v>1404.0</v>
      </c>
      <c r="B5799" s="4">
        <v>10210.0</v>
      </c>
      <c r="C5799" s="5">
        <f>DATE(2012,12,31)-557</f>
        <v>40717</v>
      </c>
      <c r="D5799" s="4" t="s">
        <v>45</v>
      </c>
      <c r="E5799" s="4">
        <v>10.0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ht="12.75" customHeight="1">
      <c r="A5800" s="4">
        <v>1421.0</v>
      </c>
      <c r="B5800" s="4">
        <v>10308.0</v>
      </c>
      <c r="C5800" s="5">
        <f>DATE(2012,12,31)-621</f>
        <v>40653</v>
      </c>
      <c r="D5800" s="4" t="s">
        <v>30</v>
      </c>
      <c r="E5800" s="4">
        <v>40.0</v>
      </c>
      <c r="F5800" s="4">
        <v>5554.036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0.57</v>
      </c>
      <c r="U5800" s="5">
        <f>C5800+2</f>
        <v>40655</v>
      </c>
    </row>
    <row r="5801" ht="12.75" customHeight="1">
      <c r="A5801" s="4">
        <v>1516.0</v>
      </c>
      <c r="B5801" s="4">
        <v>10951.0</v>
      </c>
      <c r="C5801" s="5">
        <f>DATE(2012,12,31)-55</f>
        <v>41219</v>
      </c>
      <c r="D5801" s="4" t="s">
        <v>45</v>
      </c>
      <c r="E5801" s="4">
        <v>14.0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</v>
      </c>
      <c r="U5801" s="5">
        <f>C5801+0</f>
        <v>41219</v>
      </c>
    </row>
    <row r="5802" ht="12.75" customHeight="1">
      <c r="A5802" s="4">
        <v>1687.0</v>
      </c>
      <c r="B5802" s="4">
        <v>12194.0</v>
      </c>
      <c r="C5802" s="5">
        <f>DATE(2012,12,31)-671</f>
        <v>40603</v>
      </c>
      <c r="D5802" s="4" t="s">
        <v>78</v>
      </c>
      <c r="E5802" s="4">
        <v>19.0</v>
      </c>
      <c r="F5802" s="4">
        <v>3355.1539999999995</v>
      </c>
      <c r="G5802" s="4">
        <v>0.0</v>
      </c>
      <c r="H5802" s="4" t="s">
        <v>22</v>
      </c>
      <c r="I5802" s="6">
        <v>658.5029999999999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0.58</v>
      </c>
      <c r="U5802" s="5">
        <f>C5802+1</f>
        <v>40604</v>
      </c>
    </row>
    <row r="5803" ht="12.75" customHeight="1">
      <c r="A5803" s="4">
        <v>1766.0</v>
      </c>
      <c r="B5803" s="4">
        <v>12642.0</v>
      </c>
      <c r="C5803" s="5">
        <f t="shared" ref="C5803:C5804" si="2439">DATE(2012,12,31)-1344</f>
        <v>39930</v>
      </c>
      <c r="D5803" s="4" t="s">
        <v>78</v>
      </c>
      <c r="E5803" s="4">
        <v>10.0</v>
      </c>
      <c r="F5803" s="4">
        <v>564.85</v>
      </c>
      <c r="G5803" s="4">
        <v>0.09</v>
      </c>
      <c r="H5803" s="4" t="s">
        <v>56</v>
      </c>
      <c r="I5803" s="6">
        <v>181.0245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40">C5803+2</f>
        <v>39932</v>
      </c>
    </row>
    <row r="5804" ht="12.75" customHeight="1">
      <c r="A5804" s="4">
        <v>1767.0</v>
      </c>
      <c r="B5804" s="4">
        <v>12642.0</v>
      </c>
      <c r="C5804" s="5">
        <f t="shared" si="2439"/>
        <v>39930</v>
      </c>
      <c r="D5804" s="4" t="s">
        <v>78</v>
      </c>
      <c r="E5804" s="4">
        <v>14.0</v>
      </c>
      <c r="F5804" s="4">
        <v>572.33</v>
      </c>
      <c r="G5804" s="4">
        <v>0.01</v>
      </c>
      <c r="H5804" s="4" t="s">
        <v>22</v>
      </c>
      <c r="I5804" s="6">
        <v>-62.28</v>
      </c>
      <c r="J5804" s="4">
        <v>39.98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40"/>
        <v>39932</v>
      </c>
    </row>
    <row r="5805" ht="12.75" customHeight="1">
      <c r="A5805" s="4">
        <v>1884.0</v>
      </c>
      <c r="B5805" s="4">
        <v>13542.0</v>
      </c>
      <c r="C5805" s="5">
        <f t="shared" ref="C5805:C5806" si="2441">DATE(2012,12,31)-1394</f>
        <v>39880</v>
      </c>
      <c r="D5805" s="4" t="s">
        <v>21</v>
      </c>
      <c r="E5805" s="4">
        <v>11.0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</v>
      </c>
      <c r="U5805" s="5">
        <f>C5805+7</f>
        <v>39887</v>
      </c>
    </row>
    <row r="5806" ht="12.75" customHeight="1">
      <c r="A5806" s="4">
        <v>1885.0</v>
      </c>
      <c r="B5806" s="4">
        <v>13542.0</v>
      </c>
      <c r="C5806" s="5">
        <f t="shared" si="2441"/>
        <v>39880</v>
      </c>
      <c r="D5806" s="4" t="s">
        <v>21</v>
      </c>
      <c r="E5806" s="4">
        <v>33.0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8.29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ht="12.75" customHeight="1">
      <c r="A5807" s="4">
        <v>1954.0</v>
      </c>
      <c r="B5807" s="4">
        <v>13988.0</v>
      </c>
      <c r="C5807" s="5">
        <f t="shared" ref="C5807:C5809" si="2442">DATE(2012,12,31)-152</f>
        <v>41122</v>
      </c>
      <c r="D5807" s="4" t="s">
        <v>45</v>
      </c>
      <c r="E5807" s="4">
        <v>34.0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3">C5807+1</f>
        <v>41123</v>
      </c>
    </row>
    <row r="5808" ht="12.75" customHeight="1">
      <c r="A5808" s="4">
        <v>1955.0</v>
      </c>
      <c r="B5808" s="4">
        <v>13988.0</v>
      </c>
      <c r="C5808" s="5">
        <f t="shared" si="2442"/>
        <v>41122</v>
      </c>
      <c r="D5808" s="4" t="s">
        <v>45</v>
      </c>
      <c r="E5808" s="4">
        <v>39.0</v>
      </c>
      <c r="F5808" s="4">
        <v>626.96</v>
      </c>
      <c r="G5808" s="4">
        <v>0.0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0.57</v>
      </c>
      <c r="U5808" s="5">
        <f t="shared" si="2443"/>
        <v>41123</v>
      </c>
    </row>
    <row r="5809" ht="12.75" customHeight="1">
      <c r="A5809" s="4">
        <v>1956.0</v>
      </c>
      <c r="B5809" s="4">
        <v>13988.0</v>
      </c>
      <c r="C5809" s="5">
        <f t="shared" si="2442"/>
        <v>41122</v>
      </c>
      <c r="D5809" s="4" t="s">
        <v>45</v>
      </c>
      <c r="E5809" s="4">
        <v>18.0</v>
      </c>
      <c r="F5809" s="4">
        <v>236.31</v>
      </c>
      <c r="G5809" s="4">
        <v>0.04</v>
      </c>
      <c r="H5809" s="4" t="s">
        <v>56</v>
      </c>
      <c r="I5809" s="6">
        <v>-2.24</v>
      </c>
      <c r="J5809" s="4">
        <v>11.97</v>
      </c>
      <c r="K5809" s="4">
        <v>4.98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0.58</v>
      </c>
      <c r="U5809" s="5">
        <f t="shared" si="2443"/>
        <v>41123</v>
      </c>
    </row>
    <row r="5810" ht="12.75" customHeight="1">
      <c r="A5810" s="4">
        <v>1996.0</v>
      </c>
      <c r="B5810" s="4">
        <v>14241.0</v>
      </c>
      <c r="C5810" s="5">
        <f>DATE(2012,12,31)-200</f>
        <v>41074</v>
      </c>
      <c r="D5810" s="4" t="s">
        <v>78</v>
      </c>
      <c r="E5810" s="4">
        <v>22.0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</v>
      </c>
      <c r="U5810" s="5">
        <f t="shared" si="2443"/>
        <v>41075</v>
      </c>
    </row>
    <row r="5811" ht="12.75" customHeight="1">
      <c r="A5811" s="4">
        <v>1997.0</v>
      </c>
      <c r="B5811" s="4">
        <v>14242.0</v>
      </c>
      <c r="C5811" s="5">
        <f>DATE(2012,12,31)-603</f>
        <v>40671</v>
      </c>
      <c r="D5811" s="4" t="s">
        <v>30</v>
      </c>
      <c r="E5811" s="4">
        <v>35.0</v>
      </c>
      <c r="F5811" s="4">
        <v>1078.58</v>
      </c>
      <c r="G5811" s="4">
        <v>0.03</v>
      </c>
      <c r="H5811" s="4" t="s">
        <v>22</v>
      </c>
      <c r="I5811" s="6">
        <v>8.999999999999975</v>
      </c>
      <c r="J5811" s="4">
        <v>30.73</v>
      </c>
      <c r="K5811" s="4">
        <v>4.0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ht="12.75" customHeight="1">
      <c r="A5812" s="4">
        <v>2085.0</v>
      </c>
      <c r="B5812" s="4">
        <v>14913.0</v>
      </c>
      <c r="C5812" s="5">
        <f>DATE(2012,12,31)-1416</f>
        <v>39858</v>
      </c>
      <c r="D5812" s="4" t="s">
        <v>30</v>
      </c>
      <c r="E5812" s="4">
        <v>47.0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ht="12.75" customHeight="1">
      <c r="A5813" s="4">
        <v>2089.0</v>
      </c>
      <c r="B5813" s="4">
        <v>14951.0</v>
      </c>
      <c r="C5813" s="5">
        <f t="shared" ref="C5813:C5814" si="2444">DATE(2012,12,31)-594</f>
        <v>40680</v>
      </c>
      <c r="D5813" s="4" t="s">
        <v>63</v>
      </c>
      <c r="E5813" s="4">
        <v>34.0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ht="12.75" customHeight="1">
      <c r="A5814" s="4">
        <v>2090.0</v>
      </c>
      <c r="B5814" s="4">
        <v>14951.0</v>
      </c>
      <c r="C5814" s="5">
        <f t="shared" si="2444"/>
        <v>40680</v>
      </c>
      <c r="D5814" s="4" t="s">
        <v>63</v>
      </c>
      <c r="E5814" s="4">
        <v>26.0</v>
      </c>
      <c r="F5814" s="4">
        <v>65.21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0.58</v>
      </c>
      <c r="U5814" s="5">
        <f>C5814+0</f>
        <v>40680</v>
      </c>
    </row>
    <row r="5815" ht="12.75" customHeight="1">
      <c r="A5815" s="4">
        <v>2097.0</v>
      </c>
      <c r="B5815" s="4">
        <v>14983.0</v>
      </c>
      <c r="C5815" s="5">
        <f t="shared" ref="C5815:C5816" si="2445">DATE(2012,12,31)-1419</f>
        <v>39855</v>
      </c>
      <c r="D5815" s="4" t="s">
        <v>30</v>
      </c>
      <c r="E5815" s="4">
        <v>48.0</v>
      </c>
      <c r="F5815" s="4">
        <v>8475.962</v>
      </c>
      <c r="G5815" s="4">
        <v>0.05</v>
      </c>
      <c r="H5815" s="4" t="s">
        <v>56</v>
      </c>
      <c r="I5815" s="6">
        <v>2497.941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0.58</v>
      </c>
      <c r="U5815" s="5">
        <f t="shared" ref="U5815:U5817" si="2446">C5815+1</f>
        <v>39856</v>
      </c>
    </row>
    <row r="5816" ht="12.75" customHeight="1">
      <c r="A5816" s="4">
        <v>2098.0</v>
      </c>
      <c r="B5816" s="4">
        <v>14983.0</v>
      </c>
      <c r="C5816" s="5">
        <f t="shared" si="2445"/>
        <v>39855</v>
      </c>
      <c r="D5816" s="4" t="s">
        <v>30</v>
      </c>
      <c r="E5816" s="4">
        <v>18.0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</v>
      </c>
      <c r="U5816" s="5">
        <f t="shared" si="2446"/>
        <v>39856</v>
      </c>
    </row>
    <row r="5817" ht="12.75" customHeight="1">
      <c r="A5817" s="4">
        <v>2160.0</v>
      </c>
      <c r="B5817" s="4">
        <v>15524.0</v>
      </c>
      <c r="C5817" s="5">
        <f>DATE(2012,12,31)-234</f>
        <v>41040</v>
      </c>
      <c r="D5817" s="4" t="s">
        <v>63</v>
      </c>
      <c r="E5817" s="4">
        <v>27.0</v>
      </c>
      <c r="F5817" s="4">
        <v>156.82</v>
      </c>
      <c r="G5817" s="4">
        <v>0.03</v>
      </c>
      <c r="H5817" s="4" t="s">
        <v>22</v>
      </c>
      <c r="I5817" s="6">
        <v>-37.62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</v>
      </c>
      <c r="U5817" s="5">
        <f t="shared" si="2446"/>
        <v>41041</v>
      </c>
    </row>
    <row r="5818" ht="12.75" customHeight="1">
      <c r="A5818" s="4">
        <v>2180.0</v>
      </c>
      <c r="B5818" s="4">
        <v>15714.0</v>
      </c>
      <c r="C5818" s="5">
        <f>DATE(2012,12,31)-545</f>
        <v>40729</v>
      </c>
      <c r="D5818" s="4" t="s">
        <v>30</v>
      </c>
      <c r="E5818" s="4">
        <v>50.0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19.99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0.57</v>
      </c>
      <c r="U5818" s="5">
        <f t="shared" ref="U5818:U5819" si="2447">C5818+2</f>
        <v>40731</v>
      </c>
    </row>
    <row r="5819" ht="12.75" customHeight="1">
      <c r="A5819" s="4">
        <v>2382.0</v>
      </c>
      <c r="B5819" s="4">
        <v>17282.0</v>
      </c>
      <c r="C5819" s="5">
        <f>DATE(2012,12,31)-1139</f>
        <v>40135</v>
      </c>
      <c r="D5819" s="4" t="s">
        <v>21</v>
      </c>
      <c r="E5819" s="4">
        <v>37.0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7"/>
        <v>40137</v>
      </c>
    </row>
    <row r="5820" ht="12.75" customHeight="1">
      <c r="A5820" s="4">
        <v>2398.0</v>
      </c>
      <c r="B5820" s="4">
        <v>17381.0</v>
      </c>
      <c r="C5820" s="5">
        <f>DATE(2012,12,31)-870</f>
        <v>40404</v>
      </c>
      <c r="D5820" s="4" t="s">
        <v>30</v>
      </c>
      <c r="E5820" s="4">
        <v>28.0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8">C5820+1</f>
        <v>40405</v>
      </c>
    </row>
    <row r="5821" ht="12.75" customHeight="1">
      <c r="A5821" s="4">
        <v>2460.0</v>
      </c>
      <c r="B5821" s="4">
        <v>17862.0</v>
      </c>
      <c r="C5821" s="5">
        <f t="shared" ref="C5821:C5822" si="2449">DATE(2012,12,31)-238</f>
        <v>41036</v>
      </c>
      <c r="D5821" s="4" t="s">
        <v>45</v>
      </c>
      <c r="E5821" s="4">
        <v>1.0</v>
      </c>
      <c r="F5821" s="4">
        <v>28.73</v>
      </c>
      <c r="G5821" s="4">
        <v>0.0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8"/>
        <v>41037</v>
      </c>
    </row>
    <row r="5822" ht="12.75" customHeight="1">
      <c r="A5822" s="4">
        <v>2461.0</v>
      </c>
      <c r="B5822" s="4">
        <v>17862.0</v>
      </c>
      <c r="C5822" s="5">
        <f t="shared" si="2449"/>
        <v>41036</v>
      </c>
      <c r="D5822" s="4" t="s">
        <v>45</v>
      </c>
      <c r="E5822" s="4">
        <v>31.0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0.57</v>
      </c>
      <c r="U5822" s="5">
        <f>C5822+2</f>
        <v>41038</v>
      </c>
    </row>
    <row r="5823" ht="12.75" customHeight="1">
      <c r="A5823" s="4">
        <v>2464.0</v>
      </c>
      <c r="B5823" s="4">
        <v>17927.0</v>
      </c>
      <c r="C5823" s="5">
        <f>DATE(2012,12,31)-1240</f>
        <v>40034</v>
      </c>
      <c r="D5823" s="4" t="s">
        <v>63</v>
      </c>
      <c r="E5823" s="4">
        <v>42.0</v>
      </c>
      <c r="F5823" s="4">
        <v>865.21</v>
      </c>
      <c r="G5823" s="4">
        <v>0.07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ht="12.75" customHeight="1">
      <c r="A5824" s="4">
        <v>2477.0</v>
      </c>
      <c r="B5824" s="4">
        <v>17988.0</v>
      </c>
      <c r="C5824" s="5">
        <f>DATE(2012,12,31)-831</f>
        <v>40443</v>
      </c>
      <c r="D5824" s="4" t="s">
        <v>21</v>
      </c>
      <c r="E5824" s="4">
        <v>46.0</v>
      </c>
      <c r="F5824" s="4">
        <v>2660.6105000000002</v>
      </c>
      <c r="G5824" s="4">
        <v>0.03</v>
      </c>
      <c r="H5824" s="4" t="s">
        <v>22</v>
      </c>
      <c r="I5824" s="6">
        <v>618.066</v>
      </c>
      <c r="J5824" s="4">
        <v>65.99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</v>
      </c>
      <c r="U5824" s="5">
        <f t="shared" ref="U5824:U5825" si="2450">C5824+2</f>
        <v>40445</v>
      </c>
    </row>
    <row r="5825" ht="12.75" customHeight="1">
      <c r="A5825" s="4">
        <v>2481.0</v>
      </c>
      <c r="B5825" s="4">
        <v>18049.0</v>
      </c>
      <c r="C5825" s="5">
        <f>DATE(2012,12,31)-1236</f>
        <v>40038</v>
      </c>
      <c r="D5825" s="4" t="s">
        <v>63</v>
      </c>
      <c r="E5825" s="4">
        <v>10.0</v>
      </c>
      <c r="F5825" s="4">
        <v>65.52</v>
      </c>
      <c r="G5825" s="4">
        <v>0.07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50"/>
        <v>40040</v>
      </c>
    </row>
    <row r="5826" ht="12.75" customHeight="1">
      <c r="A5826" s="4">
        <v>2518.0</v>
      </c>
      <c r="B5826" s="4">
        <v>18307.0</v>
      </c>
      <c r="C5826" s="5">
        <f t="shared" ref="C5826:C5827" si="2451">DATE(2012,12,31)-1063</f>
        <v>40211</v>
      </c>
      <c r="D5826" s="4" t="s">
        <v>21</v>
      </c>
      <c r="E5826" s="4">
        <v>23.0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ht="12.75" customHeight="1">
      <c r="A5827" s="4">
        <v>2519.0</v>
      </c>
      <c r="B5827" s="4">
        <v>18307.0</v>
      </c>
      <c r="C5827" s="5">
        <f t="shared" si="2451"/>
        <v>40211</v>
      </c>
      <c r="D5827" s="4" t="s">
        <v>21</v>
      </c>
      <c r="E5827" s="4">
        <v>34.0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ht="12.75" customHeight="1">
      <c r="A5828" s="4">
        <v>2530.0</v>
      </c>
      <c r="B5828" s="4">
        <v>18370.0</v>
      </c>
      <c r="C5828" s="5">
        <f>DATE(2012,12,31)-718</f>
        <v>40556</v>
      </c>
      <c r="D5828" s="4" t="s">
        <v>21</v>
      </c>
      <c r="E5828" s="4">
        <v>41.0</v>
      </c>
      <c r="F5828" s="4">
        <v>1271.0475</v>
      </c>
      <c r="G5828" s="4">
        <v>0.0</v>
      </c>
      <c r="H5828" s="4" t="s">
        <v>22</v>
      </c>
      <c r="I5828" s="6">
        <v>-158.235</v>
      </c>
      <c r="J5828" s="4">
        <v>35.99</v>
      </c>
      <c r="K5828" s="4">
        <v>5.0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ht="12.75" customHeight="1">
      <c r="A5829" s="4">
        <v>2531.0</v>
      </c>
      <c r="B5829" s="4">
        <v>18371.0</v>
      </c>
      <c r="C5829" s="5">
        <f>DATE(2012,12,31)-1200</f>
        <v>40074</v>
      </c>
      <c r="D5829" s="4" t="s">
        <v>63</v>
      </c>
      <c r="E5829" s="4">
        <v>30.0</v>
      </c>
      <c r="F5829" s="4">
        <v>1394.36</v>
      </c>
      <c r="G5829" s="4">
        <v>0.0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0.58</v>
      </c>
      <c r="U5829" s="5">
        <f>C5829+0</f>
        <v>40074</v>
      </c>
    </row>
    <row r="5830" ht="12.75" customHeight="1">
      <c r="A5830" s="4">
        <v>2720.0</v>
      </c>
      <c r="B5830" s="4">
        <v>19649.0</v>
      </c>
      <c r="C5830" s="5">
        <f t="shared" ref="C5830:C5831" si="2452">DATE(2012,12,31)-607</f>
        <v>40667</v>
      </c>
      <c r="D5830" s="4" t="s">
        <v>30</v>
      </c>
      <c r="E5830" s="4">
        <v>25.0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ht="12.75" customHeight="1">
      <c r="A5831" s="4">
        <v>2721.0</v>
      </c>
      <c r="B5831" s="4">
        <v>19649.0</v>
      </c>
      <c r="C5831" s="5">
        <f t="shared" si="2452"/>
        <v>40667</v>
      </c>
      <c r="D5831" s="4" t="s">
        <v>30</v>
      </c>
      <c r="E5831" s="4">
        <v>36.0</v>
      </c>
      <c r="F5831" s="4">
        <v>1095.11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3">C5831+1</f>
        <v>40668</v>
      </c>
    </row>
    <row r="5832" ht="12.75" customHeight="1">
      <c r="A5832" s="4">
        <v>2738.0</v>
      </c>
      <c r="B5832" s="4">
        <v>19748.0</v>
      </c>
      <c r="C5832" s="5">
        <f>DATE(2012,12,31)-880</f>
        <v>40394</v>
      </c>
      <c r="D5832" s="4" t="s">
        <v>45</v>
      </c>
      <c r="E5832" s="4">
        <v>6.0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3"/>
        <v>40395</v>
      </c>
    </row>
    <row r="5833" ht="12.75" customHeight="1">
      <c r="A5833" s="4">
        <v>2762.0</v>
      </c>
      <c r="B5833" s="4">
        <v>19974.0</v>
      </c>
      <c r="C5833" s="5">
        <f t="shared" ref="C5833:C5834" si="2454">DATE(2012,12,31)-789</f>
        <v>40485</v>
      </c>
      <c r="D5833" s="4" t="s">
        <v>30</v>
      </c>
      <c r="E5833" s="4">
        <v>14.0</v>
      </c>
      <c r="F5833" s="4">
        <v>3830.84</v>
      </c>
      <c r="G5833" s="4">
        <v>0.1</v>
      </c>
      <c r="H5833" s="4" t="s">
        <v>31</v>
      </c>
      <c r="I5833" s="6">
        <v>635.33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5">C5833+2</f>
        <v>40487</v>
      </c>
    </row>
    <row r="5834" ht="12.75" customHeight="1">
      <c r="A5834" s="4">
        <v>2763.0</v>
      </c>
      <c r="B5834" s="4">
        <v>19974.0</v>
      </c>
      <c r="C5834" s="5">
        <f t="shared" si="2454"/>
        <v>40485</v>
      </c>
      <c r="D5834" s="4" t="s">
        <v>30</v>
      </c>
      <c r="E5834" s="4">
        <v>22.0</v>
      </c>
      <c r="F5834" s="4">
        <v>267.43</v>
      </c>
      <c r="G5834" s="4">
        <v>0.07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0.57</v>
      </c>
      <c r="U5834" s="5">
        <f t="shared" si="2455"/>
        <v>40487</v>
      </c>
    </row>
    <row r="5835" ht="12.75" customHeight="1">
      <c r="A5835" s="4">
        <v>2769.0</v>
      </c>
      <c r="B5835" s="4">
        <v>20032.0</v>
      </c>
      <c r="C5835" s="5">
        <f>DATE(2012,12,31)-56</f>
        <v>41218</v>
      </c>
      <c r="D5835" s="4" t="s">
        <v>63</v>
      </c>
      <c r="E5835" s="4">
        <v>8.0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5"/>
        <v>41220</v>
      </c>
    </row>
    <row r="5836" ht="12.75" customHeight="1">
      <c r="A5836" s="4">
        <v>3164.0</v>
      </c>
      <c r="B5836" s="4">
        <v>22727.0</v>
      </c>
      <c r="C5836" s="5">
        <f>DATE(2012,12,31)-547</f>
        <v>40727</v>
      </c>
      <c r="D5836" s="4" t="s">
        <v>45</v>
      </c>
      <c r="E5836" s="4">
        <v>45.0</v>
      </c>
      <c r="F5836" s="4">
        <v>296.82</v>
      </c>
      <c r="G5836" s="4">
        <v>0.07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ht="12.75" customHeight="1">
      <c r="A5837" s="4">
        <v>3203.0</v>
      </c>
      <c r="B5837" s="4">
        <v>22978.0</v>
      </c>
      <c r="C5837" s="5">
        <f>DATE(2012,12,31)-1369</f>
        <v>39905</v>
      </c>
      <c r="D5837" s="4" t="s">
        <v>63</v>
      </c>
      <c r="E5837" s="4">
        <v>28.0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32.41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</v>
      </c>
      <c r="U5837" s="5">
        <f>C5837+1</f>
        <v>39906</v>
      </c>
    </row>
    <row r="5838" ht="12.75" customHeight="1">
      <c r="A5838" s="4">
        <v>3224.0</v>
      </c>
      <c r="B5838" s="4">
        <v>23140.0</v>
      </c>
      <c r="C5838" s="5">
        <f t="shared" ref="C5838:C5839" si="2456">DATE(2012,12,31)-327</f>
        <v>40947</v>
      </c>
      <c r="D5838" s="4" t="s">
        <v>30</v>
      </c>
      <c r="E5838" s="4">
        <v>18.0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ht="12.75" customHeight="1">
      <c r="A5839" s="4">
        <v>3225.0</v>
      </c>
      <c r="B5839" s="4">
        <v>23140.0</v>
      </c>
      <c r="C5839" s="5">
        <f t="shared" si="2456"/>
        <v>40947</v>
      </c>
      <c r="D5839" s="4" t="s">
        <v>30</v>
      </c>
      <c r="E5839" s="4">
        <v>16.0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ht="12.75" customHeight="1">
      <c r="A5840" s="4">
        <v>3302.0</v>
      </c>
      <c r="B5840" s="4">
        <v>23586.0</v>
      </c>
      <c r="C5840" s="5">
        <f>DATE(2012,12,31)-1082</f>
        <v>40192</v>
      </c>
      <c r="D5840" s="4" t="s">
        <v>63</v>
      </c>
      <c r="E5840" s="4">
        <v>32.0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ht="12.75" customHeight="1">
      <c r="A5841" s="4">
        <v>3309.0</v>
      </c>
      <c r="B5841" s="4">
        <v>23648.0</v>
      </c>
      <c r="C5841" s="5">
        <f t="shared" ref="C5841:C5842" si="2457">DATE(2012,12,31)-98</f>
        <v>41176</v>
      </c>
      <c r="D5841" s="4" t="s">
        <v>78</v>
      </c>
      <c r="E5841" s="4">
        <v>44.0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152.48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8">C5841+1</f>
        <v>41177</v>
      </c>
    </row>
    <row r="5842" ht="12.75" customHeight="1">
      <c r="A5842" s="4">
        <v>3310.0</v>
      </c>
      <c r="B5842" s="4">
        <v>23648.0</v>
      </c>
      <c r="C5842" s="5">
        <f t="shared" si="2457"/>
        <v>41176</v>
      </c>
      <c r="D5842" s="4" t="s">
        <v>78</v>
      </c>
      <c r="E5842" s="4">
        <v>4.0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8"/>
        <v>41177</v>
      </c>
    </row>
    <row r="5843" ht="12.75" customHeight="1">
      <c r="A5843" s="4">
        <v>3497.0</v>
      </c>
      <c r="B5843" s="4">
        <v>24931.0</v>
      </c>
      <c r="C5843" s="5">
        <f>DATE(2012,12,31)-420</f>
        <v>40854</v>
      </c>
      <c r="D5843" s="4" t="s">
        <v>21</v>
      </c>
      <c r="E5843" s="4">
        <v>9.0</v>
      </c>
      <c r="F5843" s="4">
        <v>149.64</v>
      </c>
      <c r="G5843" s="4">
        <v>0.05</v>
      </c>
      <c r="H5843" s="4" t="s">
        <v>22</v>
      </c>
      <c r="I5843" s="6">
        <v>13.77</v>
      </c>
      <c r="J5843" s="4">
        <v>16.74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ht="12.75" customHeight="1">
      <c r="A5844" s="4">
        <v>3566.0</v>
      </c>
      <c r="B5844" s="4">
        <v>25443.0</v>
      </c>
      <c r="C5844" s="5">
        <f>DATE(2012,12,31)-100</f>
        <v>41174</v>
      </c>
      <c r="D5844" s="4" t="s">
        <v>63</v>
      </c>
      <c r="E5844" s="4">
        <v>33.0</v>
      </c>
      <c r="F5844" s="4">
        <v>570.24</v>
      </c>
      <c r="G5844" s="4">
        <v>0.01</v>
      </c>
      <c r="H5844" s="4" t="s">
        <v>22</v>
      </c>
      <c r="I5844" s="6">
        <v>-57.8289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ht="12.75" customHeight="1">
      <c r="A5845" s="4">
        <v>3632.0</v>
      </c>
      <c r="B5845" s="4">
        <v>25953.0</v>
      </c>
      <c r="C5845" s="5">
        <f t="shared" ref="C5845:C5846" si="2459">DATE(2012,12,31)-1191</f>
        <v>40083</v>
      </c>
      <c r="D5845" s="4" t="s">
        <v>78</v>
      </c>
      <c r="E5845" s="4">
        <v>27.0</v>
      </c>
      <c r="F5845" s="4">
        <v>258.54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60">C5845+1</f>
        <v>40084</v>
      </c>
    </row>
    <row r="5846" ht="12.75" customHeight="1">
      <c r="A5846" s="4">
        <v>3633.0</v>
      </c>
      <c r="B5846" s="4">
        <v>25953.0</v>
      </c>
      <c r="C5846" s="5">
        <f t="shared" si="2459"/>
        <v>40083</v>
      </c>
      <c r="D5846" s="4" t="s">
        <v>78</v>
      </c>
      <c r="E5846" s="4">
        <v>19.0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0.58</v>
      </c>
      <c r="U5846" s="5">
        <f t="shared" si="2460"/>
        <v>40084</v>
      </c>
    </row>
    <row r="5847" ht="12.75" customHeight="1">
      <c r="A5847" s="4">
        <v>3650.0</v>
      </c>
      <c r="B5847" s="4">
        <v>26144.0</v>
      </c>
      <c r="C5847" s="5">
        <f>DATE(2012,12,31)-432</f>
        <v>40842</v>
      </c>
      <c r="D5847" s="4" t="s">
        <v>30</v>
      </c>
      <c r="E5847" s="4">
        <v>28.0</v>
      </c>
      <c r="F5847" s="4">
        <v>75.74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60"/>
        <v>40843</v>
      </c>
    </row>
    <row r="5848" ht="12.75" customHeight="1">
      <c r="A5848" s="4">
        <v>3702.0</v>
      </c>
      <c r="B5848" s="4">
        <v>26439.0</v>
      </c>
      <c r="C5848" s="5">
        <f t="shared" ref="C5848:C5850" si="2461">DATE(2012,12,31)-473</f>
        <v>40801</v>
      </c>
      <c r="D5848" s="4" t="s">
        <v>63</v>
      </c>
      <c r="E5848" s="4">
        <v>38.0</v>
      </c>
      <c r="F5848" s="4">
        <v>1230.83</v>
      </c>
      <c r="G5848" s="4">
        <v>0.0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60"/>
        <v>40802</v>
      </c>
    </row>
    <row r="5849" ht="12.75" customHeight="1">
      <c r="A5849" s="4">
        <v>3703.0</v>
      </c>
      <c r="B5849" s="4">
        <v>26439.0</v>
      </c>
      <c r="C5849" s="5">
        <f t="shared" si="2461"/>
        <v>40801</v>
      </c>
      <c r="D5849" s="4" t="s">
        <v>63</v>
      </c>
      <c r="E5849" s="4">
        <v>37.0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ht="12.75" customHeight="1">
      <c r="A5850" s="4">
        <v>3704.0</v>
      </c>
      <c r="B5850" s="4">
        <v>26439.0</v>
      </c>
      <c r="C5850" s="5">
        <f t="shared" si="2461"/>
        <v>40801</v>
      </c>
      <c r="D5850" s="4" t="s">
        <v>63</v>
      </c>
      <c r="E5850" s="4">
        <v>23.0</v>
      </c>
      <c r="F5850" s="4">
        <v>1176.944</v>
      </c>
      <c r="G5850" s="4">
        <v>0.1</v>
      </c>
      <c r="H5850" s="4" t="s">
        <v>22</v>
      </c>
      <c r="I5850" s="6">
        <v>53.649</v>
      </c>
      <c r="J5850" s="4">
        <v>65.99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0.58</v>
      </c>
      <c r="U5850" s="5">
        <f>C5850+2</f>
        <v>40803</v>
      </c>
    </row>
    <row r="5851" ht="12.75" customHeight="1">
      <c r="A5851" s="4">
        <v>3707.0</v>
      </c>
      <c r="B5851" s="4">
        <v>26466.0</v>
      </c>
      <c r="C5851" s="5">
        <f>DATE(2012,12,31)-1299</f>
        <v>39975</v>
      </c>
      <c r="D5851" s="4" t="s">
        <v>78</v>
      </c>
      <c r="E5851" s="4">
        <v>29.0</v>
      </c>
      <c r="F5851" s="4">
        <v>909.721</v>
      </c>
      <c r="G5851" s="4">
        <v>0.01</v>
      </c>
      <c r="H5851" s="4" t="s">
        <v>22</v>
      </c>
      <c r="I5851" s="6">
        <v>287.991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2">C5851+1</f>
        <v>39976</v>
      </c>
    </row>
    <row r="5852" ht="12.75" customHeight="1">
      <c r="A5852" s="4">
        <v>3937.0</v>
      </c>
      <c r="B5852" s="4">
        <v>28037.0</v>
      </c>
      <c r="C5852" s="5">
        <f>DATE(2012,12,31)-1115</f>
        <v>40159</v>
      </c>
      <c r="D5852" s="4" t="s">
        <v>30</v>
      </c>
      <c r="E5852" s="4">
        <v>31.0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2"/>
        <v>40160</v>
      </c>
    </row>
    <row r="5853" ht="12.75" customHeight="1">
      <c r="A5853" s="4">
        <v>3967.0</v>
      </c>
      <c r="B5853" s="4">
        <v>28294.0</v>
      </c>
      <c r="C5853" s="5">
        <f>DATE(2012,12,31)-223</f>
        <v>41051</v>
      </c>
      <c r="D5853" s="4" t="s">
        <v>30</v>
      </c>
      <c r="E5853" s="4">
        <v>47.0</v>
      </c>
      <c r="F5853" s="4">
        <v>63.47</v>
      </c>
      <c r="G5853" s="4">
        <v>0.0</v>
      </c>
      <c r="H5853" s="4" t="s">
        <v>22</v>
      </c>
      <c r="I5853" s="6">
        <v>-19.92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2"/>
        <v>41052</v>
      </c>
    </row>
    <row r="5854" ht="12.75" customHeight="1">
      <c r="A5854" s="4">
        <v>3984.0</v>
      </c>
      <c r="B5854" s="4">
        <v>28453.0</v>
      </c>
      <c r="C5854" s="5">
        <f>DATE(2012,12,31)-3</f>
        <v>41271</v>
      </c>
      <c r="D5854" s="4" t="s">
        <v>78</v>
      </c>
      <c r="E5854" s="4">
        <v>26.0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ht="12.75" customHeight="1">
      <c r="A5855" s="4">
        <v>3993.0</v>
      </c>
      <c r="B5855" s="4">
        <v>28512.0</v>
      </c>
      <c r="C5855" s="5">
        <f t="shared" ref="C5855:C5857" si="2463">DATE(2012,12,31)-979</f>
        <v>40295</v>
      </c>
      <c r="D5855" s="4" t="s">
        <v>63</v>
      </c>
      <c r="E5855" s="4">
        <v>11.0</v>
      </c>
      <c r="F5855" s="4">
        <v>323.91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4.0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ht="12.75" customHeight="1">
      <c r="A5856" s="4">
        <v>3994.0</v>
      </c>
      <c r="B5856" s="4">
        <v>28512.0</v>
      </c>
      <c r="C5856" s="5">
        <f t="shared" si="2463"/>
        <v>40295</v>
      </c>
      <c r="D5856" s="4" t="s">
        <v>63</v>
      </c>
      <c r="E5856" s="4">
        <v>10.0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4">C5856+2</f>
        <v>40297</v>
      </c>
    </row>
    <row r="5857" ht="12.75" customHeight="1">
      <c r="A5857" s="4">
        <v>3995.0</v>
      </c>
      <c r="B5857" s="4">
        <v>28512.0</v>
      </c>
      <c r="C5857" s="5">
        <f t="shared" si="2463"/>
        <v>40295</v>
      </c>
      <c r="D5857" s="4" t="s">
        <v>63</v>
      </c>
      <c r="E5857" s="4">
        <v>18.0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19.99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0.58</v>
      </c>
      <c r="U5857" s="5">
        <f t="shared" si="2464"/>
        <v>40297</v>
      </c>
    </row>
    <row r="5858" ht="12.75" customHeight="1">
      <c r="A5858" s="4">
        <v>4011.0</v>
      </c>
      <c r="B5858" s="4">
        <v>28641.0</v>
      </c>
      <c r="C5858" s="5">
        <f>DATE(2012,12,31)-446</f>
        <v>40828</v>
      </c>
      <c r="D5858" s="4" t="s">
        <v>45</v>
      </c>
      <c r="E5858" s="4">
        <v>33.0</v>
      </c>
      <c r="F5858" s="4">
        <v>278.65</v>
      </c>
      <c r="G5858" s="4">
        <v>0.05</v>
      </c>
      <c r="H5858" s="4" t="s">
        <v>56</v>
      </c>
      <c r="I5858" s="6">
        <v>-36.34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5">C5858+1</f>
        <v>40829</v>
      </c>
    </row>
    <row r="5859" ht="12.75" customHeight="1">
      <c r="A5859" s="4">
        <v>4045.0</v>
      </c>
      <c r="B5859" s="4">
        <v>28867.0</v>
      </c>
      <c r="C5859" s="5">
        <f t="shared" ref="C5859:C5861" si="2466">DATE(2012,12,31)-528</f>
        <v>40746</v>
      </c>
      <c r="D5859" s="4" t="s">
        <v>63</v>
      </c>
      <c r="E5859" s="4">
        <v>43.0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5"/>
        <v>40747</v>
      </c>
    </row>
    <row r="5860" ht="12.75" customHeight="1">
      <c r="A5860" s="4">
        <v>4046.0</v>
      </c>
      <c r="B5860" s="4">
        <v>28867.0</v>
      </c>
      <c r="C5860" s="5">
        <f t="shared" si="2466"/>
        <v>40746</v>
      </c>
      <c r="D5860" s="4" t="s">
        <v>63</v>
      </c>
      <c r="E5860" s="4">
        <v>6.0</v>
      </c>
      <c r="F5860" s="4">
        <v>642.42</v>
      </c>
      <c r="G5860" s="4">
        <v>0.03</v>
      </c>
      <c r="H5860" s="4" t="s">
        <v>22</v>
      </c>
      <c r="I5860" s="6">
        <v>80.01</v>
      </c>
      <c r="J5860" s="4">
        <v>104.85</v>
      </c>
      <c r="K5860" s="4">
        <v>19.99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5"/>
        <v>40747</v>
      </c>
    </row>
    <row r="5861" ht="12.75" customHeight="1">
      <c r="A5861" s="4">
        <v>4047.0</v>
      </c>
      <c r="B5861" s="4">
        <v>28867.0</v>
      </c>
      <c r="C5861" s="5">
        <f t="shared" si="2466"/>
        <v>40746</v>
      </c>
      <c r="D5861" s="4" t="s">
        <v>63</v>
      </c>
      <c r="E5861" s="4">
        <v>26.0</v>
      </c>
      <c r="F5861" s="4">
        <v>2169.7525</v>
      </c>
      <c r="G5861" s="4">
        <v>0.02</v>
      </c>
      <c r="H5861" s="4" t="s">
        <v>22</v>
      </c>
      <c r="I5861" s="6">
        <v>374.751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0.57</v>
      </c>
      <c r="U5861" s="5">
        <f t="shared" ref="U5861:U5863" si="2467">C5861+2</f>
        <v>40748</v>
      </c>
    </row>
    <row r="5862" ht="12.75" customHeight="1">
      <c r="A5862" s="4">
        <v>4055.0</v>
      </c>
      <c r="B5862" s="4">
        <v>28899.0</v>
      </c>
      <c r="C5862" s="5">
        <f>DATE(2012,12,31)-200</f>
        <v>41074</v>
      </c>
      <c r="D5862" s="4" t="s">
        <v>21</v>
      </c>
      <c r="E5862" s="4">
        <v>27.0</v>
      </c>
      <c r="F5862" s="4">
        <v>4488.2635</v>
      </c>
      <c r="G5862" s="4">
        <v>0.06</v>
      </c>
      <c r="H5862" s="4" t="s">
        <v>22</v>
      </c>
      <c r="I5862" s="6">
        <v>750.546</v>
      </c>
      <c r="J5862" s="4">
        <v>205.99</v>
      </c>
      <c r="K5862" s="4">
        <v>5.0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7"/>
        <v>41076</v>
      </c>
    </row>
    <row r="5863" ht="12.75" customHeight="1">
      <c r="A5863" s="4">
        <v>4264.0</v>
      </c>
      <c r="B5863" s="4">
        <v>30343.0</v>
      </c>
      <c r="C5863" s="5">
        <f>DATE(2012,12,31)-224</f>
        <v>41050</v>
      </c>
      <c r="D5863" s="4" t="s">
        <v>78</v>
      </c>
      <c r="E5863" s="4">
        <v>8.0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7"/>
        <v>41052</v>
      </c>
    </row>
    <row r="5864" ht="12.75" customHeight="1">
      <c r="A5864" s="4">
        <v>4303.0</v>
      </c>
      <c r="B5864" s="4">
        <v>30657.0</v>
      </c>
      <c r="C5864" s="5">
        <f t="shared" ref="C5864:C5865" si="2468">DATE(2012,12,31)-601</f>
        <v>40673</v>
      </c>
      <c r="D5864" s="4" t="s">
        <v>30</v>
      </c>
      <c r="E5864" s="4">
        <v>6.0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ht="12.75" customHeight="1">
      <c r="A5865" s="4">
        <v>4304.0</v>
      </c>
      <c r="B5865" s="4">
        <v>30657.0</v>
      </c>
      <c r="C5865" s="5">
        <f t="shared" si="2468"/>
        <v>40673</v>
      </c>
      <c r="D5865" s="4" t="s">
        <v>30</v>
      </c>
      <c r="E5865" s="4">
        <v>8.0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ht="12.75" customHeight="1">
      <c r="A5866" s="4">
        <v>4399.0</v>
      </c>
      <c r="B5866" s="4">
        <v>31330.0</v>
      </c>
      <c r="C5866" s="5">
        <f t="shared" ref="C5866:C5867" si="2469">DATE(2012,12,31)-944</f>
        <v>40330</v>
      </c>
      <c r="D5866" s="4" t="s">
        <v>30</v>
      </c>
      <c r="E5866" s="4">
        <v>2.0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70">C5866+1</f>
        <v>40331</v>
      </c>
    </row>
    <row r="5867" ht="12.75" customHeight="1">
      <c r="A5867" s="4">
        <v>4400.0</v>
      </c>
      <c r="B5867" s="4">
        <v>31330.0</v>
      </c>
      <c r="C5867" s="5">
        <f t="shared" si="2469"/>
        <v>40330</v>
      </c>
      <c r="D5867" s="4" t="s">
        <v>30</v>
      </c>
      <c r="E5867" s="4">
        <v>38.0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0.57</v>
      </c>
      <c r="U5867" s="5">
        <f t="shared" si="2470"/>
        <v>40331</v>
      </c>
    </row>
    <row r="5868" ht="12.75" customHeight="1">
      <c r="A5868" s="4">
        <v>4428.0</v>
      </c>
      <c r="B5868" s="4">
        <v>31556.0</v>
      </c>
      <c r="C5868" s="5">
        <f>DATE(2012,12,31)-523</f>
        <v>40751</v>
      </c>
      <c r="D5868" s="4" t="s">
        <v>78</v>
      </c>
      <c r="E5868" s="4">
        <v>35.0</v>
      </c>
      <c r="F5868" s="4">
        <v>269.35</v>
      </c>
      <c r="G5868" s="4">
        <v>0.07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70"/>
        <v>40752</v>
      </c>
    </row>
    <row r="5869" ht="12.75" customHeight="1">
      <c r="A5869" s="4">
        <v>4441.0</v>
      </c>
      <c r="B5869" s="4">
        <v>31648.0</v>
      </c>
      <c r="C5869" s="5">
        <f t="shared" ref="C5869:C5870" si="2471">DATE(2012,12,31)-499</f>
        <v>40775</v>
      </c>
      <c r="D5869" s="4" t="s">
        <v>30</v>
      </c>
      <c r="E5869" s="4">
        <v>8.0</v>
      </c>
      <c r="F5869" s="4">
        <v>68.94</v>
      </c>
      <c r="G5869" s="4">
        <v>0.0</v>
      </c>
      <c r="H5869" s="4" t="s">
        <v>22</v>
      </c>
      <c r="I5869" s="6">
        <v>-32.63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ht="12.75" customHeight="1">
      <c r="A5870" s="4">
        <v>4442.0</v>
      </c>
      <c r="B5870" s="4">
        <v>31648.0</v>
      </c>
      <c r="C5870" s="5">
        <f t="shared" si="2471"/>
        <v>40775</v>
      </c>
      <c r="D5870" s="4" t="s">
        <v>30</v>
      </c>
      <c r="E5870" s="4">
        <v>10.0</v>
      </c>
      <c r="F5870" s="4">
        <v>74.04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2">C5870+2</f>
        <v>40777</v>
      </c>
    </row>
    <row r="5871" ht="12.75" customHeight="1">
      <c r="A5871" s="4">
        <v>4510.0</v>
      </c>
      <c r="B5871" s="4">
        <v>32100.0</v>
      </c>
      <c r="C5871" s="5">
        <f>DATE(2012,12,31)-222</f>
        <v>41052</v>
      </c>
      <c r="D5871" s="4" t="s">
        <v>63</v>
      </c>
      <c r="E5871" s="4">
        <v>29.0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2"/>
        <v>41054</v>
      </c>
    </row>
    <row r="5872" ht="12.75" customHeight="1">
      <c r="A5872" s="4">
        <v>4593.0</v>
      </c>
      <c r="B5872" s="4">
        <v>32675.0</v>
      </c>
      <c r="C5872" s="5">
        <f>DATE(2012,12,31)-1154</f>
        <v>40120</v>
      </c>
      <c r="D5872" s="4" t="s">
        <v>30</v>
      </c>
      <c r="E5872" s="4">
        <v>20.0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60.0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3">C5872+1</f>
        <v>40121</v>
      </c>
    </row>
    <row r="5873" ht="12.75" customHeight="1">
      <c r="A5873" s="4">
        <v>4605.0</v>
      </c>
      <c r="B5873" s="4">
        <v>32804.0</v>
      </c>
      <c r="C5873" s="5">
        <f t="shared" ref="C5873:C5874" si="2474">DATE(2012,12,31)-113</f>
        <v>41161</v>
      </c>
      <c r="D5873" s="4" t="s">
        <v>63</v>
      </c>
      <c r="E5873" s="4">
        <v>49.0</v>
      </c>
      <c r="F5873" s="4">
        <v>174.81</v>
      </c>
      <c r="G5873" s="4">
        <v>0.07</v>
      </c>
      <c r="H5873" s="4" t="s">
        <v>22</v>
      </c>
      <c r="I5873" s="6">
        <v>74.82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3"/>
        <v>41162</v>
      </c>
    </row>
    <row r="5874" ht="12.75" customHeight="1">
      <c r="A5874" s="4">
        <v>4606.0</v>
      </c>
      <c r="B5874" s="4">
        <v>32804.0</v>
      </c>
      <c r="C5874" s="5">
        <f t="shared" si="2474"/>
        <v>41161</v>
      </c>
      <c r="D5874" s="4" t="s">
        <v>63</v>
      </c>
      <c r="E5874" s="4">
        <v>20.0</v>
      </c>
      <c r="F5874" s="4">
        <v>89.51</v>
      </c>
      <c r="G5874" s="4">
        <v>0.02</v>
      </c>
      <c r="H5874" s="4" t="s">
        <v>22</v>
      </c>
      <c r="I5874" s="6">
        <v>-61.985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ht="12.75" customHeight="1">
      <c r="A5875" s="4">
        <v>4608.0</v>
      </c>
      <c r="B5875" s="4">
        <v>32806.0</v>
      </c>
      <c r="C5875" s="5">
        <f t="shared" ref="C5875:C5876" si="2475">DATE(2012,12,31)-559</f>
        <v>40715</v>
      </c>
      <c r="D5875" s="4" t="s">
        <v>30</v>
      </c>
      <c r="E5875" s="4">
        <v>48.0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ht="12.75" customHeight="1">
      <c r="A5876" s="4">
        <v>4609.0</v>
      </c>
      <c r="B5876" s="4">
        <v>32806.0</v>
      </c>
      <c r="C5876" s="5">
        <f t="shared" si="2475"/>
        <v>40715</v>
      </c>
      <c r="D5876" s="4" t="s">
        <v>30</v>
      </c>
      <c r="E5876" s="4">
        <v>33.0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ht="12.75" customHeight="1">
      <c r="A5877" s="4">
        <v>4635.0</v>
      </c>
      <c r="B5877" s="4">
        <v>32996.0</v>
      </c>
      <c r="C5877" s="5">
        <f t="shared" ref="C5877:C5878" si="2476">DATE(2012,12,31)-745</f>
        <v>40529</v>
      </c>
      <c r="D5877" s="4" t="s">
        <v>78</v>
      </c>
      <c r="E5877" s="4">
        <v>15.0</v>
      </c>
      <c r="F5877" s="4">
        <v>262.29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ht="12.75" customHeight="1">
      <c r="A5878" s="4">
        <v>4636.0</v>
      </c>
      <c r="B5878" s="4">
        <v>32996.0</v>
      </c>
      <c r="C5878" s="5">
        <f t="shared" si="2476"/>
        <v>40529</v>
      </c>
      <c r="D5878" s="4" t="s">
        <v>78</v>
      </c>
      <c r="E5878" s="4">
        <v>2.0</v>
      </c>
      <c r="F5878" s="4">
        <v>116.314</v>
      </c>
      <c r="G5878" s="4">
        <v>0.04</v>
      </c>
      <c r="H5878" s="4" t="s">
        <v>22</v>
      </c>
      <c r="I5878" s="6">
        <v>-300.85</v>
      </c>
      <c r="J5878" s="4">
        <v>65.99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</v>
      </c>
      <c r="U5878" s="5">
        <f t="shared" ref="U5878:U5880" si="2477">C5878+2</f>
        <v>40531</v>
      </c>
    </row>
    <row r="5879" ht="12.75" customHeight="1">
      <c r="A5879" s="4">
        <v>4657.0</v>
      </c>
      <c r="B5879" s="4">
        <v>33184.0</v>
      </c>
      <c r="C5879" s="5">
        <f t="shared" ref="C5879:C5880" si="2478">DATE(2012,12,31)-322</f>
        <v>40952</v>
      </c>
      <c r="D5879" s="4" t="s">
        <v>45</v>
      </c>
      <c r="E5879" s="4">
        <v>32.0</v>
      </c>
      <c r="F5879" s="4">
        <v>402.49</v>
      </c>
      <c r="G5879" s="4">
        <v>0.0</v>
      </c>
      <c r="H5879" s="4" t="s">
        <v>22</v>
      </c>
      <c r="I5879" s="6">
        <v>41.7945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7"/>
        <v>40954</v>
      </c>
    </row>
    <row r="5880" ht="12.75" customHeight="1">
      <c r="A5880" s="4">
        <v>4658.0</v>
      </c>
      <c r="B5880" s="4">
        <v>33184.0</v>
      </c>
      <c r="C5880" s="5">
        <f t="shared" si="2478"/>
        <v>40952</v>
      </c>
      <c r="D5880" s="4" t="s">
        <v>45</v>
      </c>
      <c r="E5880" s="4">
        <v>1.0</v>
      </c>
      <c r="F5880" s="4">
        <v>1754.29</v>
      </c>
      <c r="G5880" s="4">
        <v>0.09</v>
      </c>
      <c r="H5880" s="4" t="s">
        <v>22</v>
      </c>
      <c r="I5880" s="6">
        <v>-961.5035</v>
      </c>
      <c r="J5880" s="4">
        <v>1889.99</v>
      </c>
      <c r="K5880" s="4">
        <v>19.99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7"/>
        <v>40954</v>
      </c>
    </row>
    <row r="5881" ht="12.75" customHeight="1">
      <c r="A5881" s="4">
        <v>4742.0</v>
      </c>
      <c r="B5881" s="4">
        <v>33731.0</v>
      </c>
      <c r="C5881" s="5">
        <f t="shared" ref="C5881:C5883" si="2479">DATE(2012,12,31)-84</f>
        <v>41190</v>
      </c>
      <c r="D5881" s="4" t="s">
        <v>30</v>
      </c>
      <c r="E5881" s="4">
        <v>27.0</v>
      </c>
      <c r="F5881" s="4">
        <v>8213.37</v>
      </c>
      <c r="G5881" s="4">
        <v>0.02</v>
      </c>
      <c r="H5881" s="4" t="s">
        <v>31</v>
      </c>
      <c r="I5881" s="6">
        <v>1148.88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ht="12.75" customHeight="1">
      <c r="A5882" s="4">
        <v>4743.0</v>
      </c>
      <c r="B5882" s="4">
        <v>33731.0</v>
      </c>
      <c r="C5882" s="5">
        <f t="shared" si="2479"/>
        <v>41190</v>
      </c>
      <c r="D5882" s="4" t="s">
        <v>30</v>
      </c>
      <c r="E5882" s="4">
        <v>32.0</v>
      </c>
      <c r="F5882" s="4">
        <v>109.01</v>
      </c>
      <c r="G5882" s="4">
        <v>0.09</v>
      </c>
      <c r="H5882" s="4" t="s">
        <v>22</v>
      </c>
      <c r="I5882" s="6">
        <v>8.45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ht="12.75" customHeight="1">
      <c r="A5883" s="4">
        <v>4744.0</v>
      </c>
      <c r="B5883" s="4">
        <v>33731.0</v>
      </c>
      <c r="C5883" s="5">
        <f t="shared" si="2479"/>
        <v>41190</v>
      </c>
      <c r="D5883" s="4" t="s">
        <v>30</v>
      </c>
      <c r="E5883" s="4">
        <v>12.0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80">C5883+2</f>
        <v>41192</v>
      </c>
    </row>
    <row r="5884" ht="12.75" customHeight="1">
      <c r="A5884" s="4">
        <v>4799.0</v>
      </c>
      <c r="B5884" s="4">
        <v>34112.0</v>
      </c>
      <c r="C5884" s="5">
        <f>DATE(2012,12,31)-487</f>
        <v>40787</v>
      </c>
      <c r="D5884" s="4" t="s">
        <v>78</v>
      </c>
      <c r="E5884" s="4">
        <v>13.0</v>
      </c>
      <c r="F5884" s="4">
        <v>315.792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</v>
      </c>
      <c r="U5884" s="5">
        <f t="shared" si="2480"/>
        <v>40789</v>
      </c>
    </row>
    <row r="5885" ht="12.75" customHeight="1">
      <c r="A5885" s="4">
        <v>4896.0</v>
      </c>
      <c r="B5885" s="4">
        <v>34849.0</v>
      </c>
      <c r="C5885" s="5">
        <f t="shared" ref="C5885:C5887" si="2481">DATE(2012,12,31)-811</f>
        <v>40463</v>
      </c>
      <c r="D5885" s="4" t="s">
        <v>78</v>
      </c>
      <c r="E5885" s="4">
        <v>3.0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80"/>
        <v>40465</v>
      </c>
    </row>
    <row r="5886" ht="12.75" customHeight="1">
      <c r="A5886" s="4">
        <v>4897.0</v>
      </c>
      <c r="B5886" s="4">
        <v>34849.0</v>
      </c>
      <c r="C5886" s="5">
        <f t="shared" si="2481"/>
        <v>40463</v>
      </c>
      <c r="D5886" s="4" t="s">
        <v>78</v>
      </c>
      <c r="E5886" s="4">
        <v>22.0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2">C5886+1</f>
        <v>40464</v>
      </c>
    </row>
    <row r="5887" ht="12.75" customHeight="1">
      <c r="A5887" s="4">
        <v>4898.0</v>
      </c>
      <c r="B5887" s="4">
        <v>34849.0</v>
      </c>
      <c r="C5887" s="5">
        <f t="shared" si="2481"/>
        <v>40463</v>
      </c>
      <c r="D5887" s="4" t="s">
        <v>78</v>
      </c>
      <c r="E5887" s="4">
        <v>3.0</v>
      </c>
      <c r="F5887" s="4">
        <v>1192.93</v>
      </c>
      <c r="G5887" s="4">
        <v>0.07</v>
      </c>
      <c r="H5887" s="4" t="s">
        <v>22</v>
      </c>
      <c r="I5887" s="6">
        <v>-434.81</v>
      </c>
      <c r="J5887" s="4">
        <v>419.19</v>
      </c>
      <c r="K5887" s="4">
        <v>19.99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0.58</v>
      </c>
      <c r="U5887" s="5">
        <f t="shared" si="2482"/>
        <v>40464</v>
      </c>
    </row>
    <row r="5888" ht="12.75" customHeight="1">
      <c r="A5888" s="4">
        <v>5337.0</v>
      </c>
      <c r="B5888" s="4">
        <v>37923.0</v>
      </c>
      <c r="C5888" s="5">
        <f>DATE(2012,12,31)-1010</f>
        <v>40264</v>
      </c>
      <c r="D5888" s="4" t="s">
        <v>45</v>
      </c>
      <c r="E5888" s="4">
        <v>29.0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2"/>
        <v>40265</v>
      </c>
    </row>
    <row r="5889" ht="12.75" customHeight="1">
      <c r="A5889" s="4">
        <v>5376.0</v>
      </c>
      <c r="B5889" s="4">
        <v>38215.0</v>
      </c>
      <c r="C5889" s="5">
        <f t="shared" ref="C5889:C5890" si="2483">DATE(2012,12,31)-1094</f>
        <v>40180</v>
      </c>
      <c r="D5889" s="4" t="s">
        <v>78</v>
      </c>
      <c r="E5889" s="4">
        <v>42.0</v>
      </c>
      <c r="F5889" s="4">
        <v>756.7294999999999</v>
      </c>
      <c r="G5889" s="4">
        <v>0.07</v>
      </c>
      <c r="H5889" s="4" t="s">
        <v>22</v>
      </c>
      <c r="I5889" s="6">
        <v>64.78200000000001</v>
      </c>
      <c r="J5889" s="4">
        <v>20.99</v>
      </c>
      <c r="K5889" s="4">
        <v>4.81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0.58</v>
      </c>
      <c r="U5889" s="5">
        <f t="shared" si="2482"/>
        <v>40181</v>
      </c>
    </row>
    <row r="5890" ht="12.75" customHeight="1">
      <c r="A5890" s="4">
        <v>5377.0</v>
      </c>
      <c r="B5890" s="4">
        <v>38215.0</v>
      </c>
      <c r="C5890" s="5">
        <f t="shared" si="2483"/>
        <v>40180</v>
      </c>
      <c r="D5890" s="4" t="s">
        <v>78</v>
      </c>
      <c r="E5890" s="4">
        <v>38.0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19.99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ht="12.75" customHeight="1">
      <c r="A5891" s="4">
        <v>5445.0</v>
      </c>
      <c r="B5891" s="4">
        <v>38659.0</v>
      </c>
      <c r="C5891" s="5">
        <f t="shared" ref="C5891:C5892" si="2484">DATE(2012,12,31)-1007</f>
        <v>40267</v>
      </c>
      <c r="D5891" s="4" t="s">
        <v>21</v>
      </c>
      <c r="E5891" s="4">
        <v>48.0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ht="12.75" customHeight="1">
      <c r="A5892" s="4">
        <v>5446.0</v>
      </c>
      <c r="B5892" s="4">
        <v>38659.0</v>
      </c>
      <c r="C5892" s="5">
        <f t="shared" si="2484"/>
        <v>40267</v>
      </c>
      <c r="D5892" s="4" t="s">
        <v>21</v>
      </c>
      <c r="E5892" s="4">
        <v>32.0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ht="12.75" customHeight="1">
      <c r="A5893" s="4">
        <v>5499.0</v>
      </c>
      <c r="B5893" s="4">
        <v>38982.0</v>
      </c>
      <c r="C5893" s="5">
        <f>DATE(2012,12,31)-1263</f>
        <v>40011</v>
      </c>
      <c r="D5893" s="4" t="s">
        <v>45</v>
      </c>
      <c r="E5893" s="4">
        <v>43.0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ht="12.75" customHeight="1">
      <c r="A5894" s="4">
        <v>5642.0</v>
      </c>
      <c r="B5894" s="4">
        <v>39908.0</v>
      </c>
      <c r="C5894" s="5">
        <f>DATE(2012,12,31)-1331</f>
        <v>39943</v>
      </c>
      <c r="D5894" s="4" t="s">
        <v>21</v>
      </c>
      <c r="E5894" s="4">
        <v>23.0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ht="12.75" customHeight="1">
      <c r="A5895" s="4">
        <v>5690.0</v>
      </c>
      <c r="B5895" s="4">
        <v>40225.0</v>
      </c>
      <c r="C5895" s="5">
        <f t="shared" ref="C5895:C5896" si="2485">DATE(2012,12,31)-722</f>
        <v>40552</v>
      </c>
      <c r="D5895" s="4" t="s">
        <v>21</v>
      </c>
      <c r="E5895" s="4">
        <v>50.0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16.74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ht="12.75" customHeight="1">
      <c r="A5896" s="4">
        <v>5691.0</v>
      </c>
      <c r="B5896" s="4">
        <v>40225.0</v>
      </c>
      <c r="C5896" s="5">
        <f t="shared" si="2485"/>
        <v>40552</v>
      </c>
      <c r="D5896" s="4" t="s">
        <v>21</v>
      </c>
      <c r="E5896" s="4">
        <v>45.0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ht="12.75" customHeight="1">
      <c r="A5897" s="4">
        <v>5718.0</v>
      </c>
      <c r="B5897" s="4">
        <v>40512.0</v>
      </c>
      <c r="C5897" s="5">
        <f>DATE(2012,12,31)-836</f>
        <v>40438</v>
      </c>
      <c r="D5897" s="4" t="s">
        <v>63</v>
      </c>
      <c r="E5897" s="4">
        <v>41.0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6">C5897+1</f>
        <v>40439</v>
      </c>
    </row>
    <row r="5898" ht="12.75" customHeight="1">
      <c r="A5898" s="4">
        <v>5869.0</v>
      </c>
      <c r="B5898" s="4">
        <v>41636.0</v>
      </c>
      <c r="C5898" s="5">
        <f t="shared" ref="C5898:C5900" si="2487">DATE(2012,12,31)-1235</f>
        <v>40039</v>
      </c>
      <c r="D5898" s="4" t="s">
        <v>78</v>
      </c>
      <c r="E5898" s="4">
        <v>47.0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6"/>
        <v>40040</v>
      </c>
    </row>
    <row r="5899" ht="12.75" customHeight="1">
      <c r="A5899" s="4">
        <v>5870.0</v>
      </c>
      <c r="B5899" s="4">
        <v>41636.0</v>
      </c>
      <c r="C5899" s="5">
        <f t="shared" si="2487"/>
        <v>40039</v>
      </c>
      <c r="D5899" s="4" t="s">
        <v>78</v>
      </c>
      <c r="E5899" s="4">
        <v>25.0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0.57</v>
      </c>
      <c r="U5899" s="5">
        <f t="shared" ref="U5899:U5900" si="2488">C5899+2</f>
        <v>40041</v>
      </c>
    </row>
    <row r="5900" ht="12.75" customHeight="1">
      <c r="A5900" s="4">
        <v>5871.0</v>
      </c>
      <c r="B5900" s="4">
        <v>41636.0</v>
      </c>
      <c r="C5900" s="5">
        <f t="shared" si="2487"/>
        <v>40039</v>
      </c>
      <c r="D5900" s="4" t="s">
        <v>78</v>
      </c>
      <c r="E5900" s="4">
        <v>27.0</v>
      </c>
      <c r="F5900" s="4">
        <v>2762.857</v>
      </c>
      <c r="G5900" s="4">
        <v>0.03</v>
      </c>
      <c r="H5900" s="4" t="s">
        <v>22</v>
      </c>
      <c r="I5900" s="6">
        <v>722.241</v>
      </c>
      <c r="J5900" s="4">
        <v>115.99</v>
      </c>
      <c r="K5900" s="4">
        <v>4.23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</v>
      </c>
      <c r="U5900" s="5">
        <f t="shared" si="2488"/>
        <v>40041</v>
      </c>
    </row>
    <row r="5901" ht="12.75" customHeight="1">
      <c r="A5901" s="4">
        <v>5894.0</v>
      </c>
      <c r="B5901" s="4">
        <v>41799.0</v>
      </c>
      <c r="C5901" s="5">
        <f>DATE(2012,12,31)-1287</f>
        <v>39987</v>
      </c>
      <c r="D5901" s="4" t="s">
        <v>30</v>
      </c>
      <c r="E5901" s="4">
        <v>21.0</v>
      </c>
      <c r="F5901" s="4">
        <v>1130.8059999999998</v>
      </c>
      <c r="G5901" s="4">
        <v>0.04</v>
      </c>
      <c r="H5901" s="4" t="s">
        <v>22</v>
      </c>
      <c r="I5901" s="6">
        <v>95.148</v>
      </c>
      <c r="J5901" s="4">
        <v>65.99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0.57</v>
      </c>
      <c r="U5901" s="5">
        <f>C5901+1</f>
        <v>39988</v>
      </c>
    </row>
    <row r="5902" ht="12.75" customHeight="1">
      <c r="A5902" s="4">
        <v>5904.0</v>
      </c>
      <c r="B5902" s="4">
        <v>41857.0</v>
      </c>
      <c r="C5902" s="5">
        <f>DATE(2012,12,31)-605</f>
        <v>40669</v>
      </c>
      <c r="D5902" s="4" t="s">
        <v>21</v>
      </c>
      <c r="E5902" s="4">
        <v>45.0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</v>
      </c>
      <c r="U5902" s="5">
        <f>C5902+5</f>
        <v>40674</v>
      </c>
    </row>
    <row r="5903" ht="12.75" customHeight="1">
      <c r="A5903" s="4">
        <v>5970.0</v>
      </c>
      <c r="B5903" s="4">
        <v>42342.0</v>
      </c>
      <c r="C5903" s="5">
        <f>DATE(2012,12,31)-1214</f>
        <v>40060</v>
      </c>
      <c r="D5903" s="4" t="s">
        <v>45</v>
      </c>
      <c r="E5903" s="4">
        <v>43.0</v>
      </c>
      <c r="F5903" s="4">
        <v>9501.624000000002</v>
      </c>
      <c r="G5903" s="4">
        <v>0.07</v>
      </c>
      <c r="H5903" s="4" t="s">
        <v>31</v>
      </c>
      <c r="I5903" s="6">
        <v>-686.45</v>
      </c>
      <c r="J5903" s="4">
        <v>286.85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ht="12.75" customHeight="1">
      <c r="A5904" s="4">
        <v>5977.0</v>
      </c>
      <c r="B5904" s="4">
        <v>42374.0</v>
      </c>
      <c r="C5904" s="5">
        <f t="shared" ref="C5904:C5906" si="2489">DATE(2012,12,31)-167</f>
        <v>41107</v>
      </c>
      <c r="D5904" s="4" t="s">
        <v>78</v>
      </c>
      <c r="E5904" s="4">
        <v>21.0</v>
      </c>
      <c r="F5904" s="4">
        <v>205.32</v>
      </c>
      <c r="G5904" s="4">
        <v>0.08</v>
      </c>
      <c r="H5904" s="4" t="s">
        <v>56</v>
      </c>
      <c r="I5904" s="6">
        <v>37.3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ht="12.75" customHeight="1">
      <c r="A5905" s="4">
        <v>5978.0</v>
      </c>
      <c r="B5905" s="4">
        <v>42374.0</v>
      </c>
      <c r="C5905" s="5">
        <f t="shared" si="2489"/>
        <v>41107</v>
      </c>
      <c r="D5905" s="4" t="s">
        <v>78</v>
      </c>
      <c r="E5905" s="4">
        <v>47.0</v>
      </c>
      <c r="F5905" s="4">
        <v>807.6</v>
      </c>
      <c r="G5905" s="4">
        <v>0.0</v>
      </c>
      <c r="H5905" s="4" t="s">
        <v>22</v>
      </c>
      <c r="I5905" s="6">
        <v>214.30200000000002</v>
      </c>
      <c r="J5905" s="4">
        <v>16.74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ht="12.75" customHeight="1">
      <c r="A5906" s="4">
        <v>5979.0</v>
      </c>
      <c r="B5906" s="4">
        <v>42374.0</v>
      </c>
      <c r="C5906" s="5">
        <f t="shared" si="2489"/>
        <v>41107</v>
      </c>
      <c r="D5906" s="4" t="s">
        <v>78</v>
      </c>
      <c r="E5906" s="4">
        <v>11.0</v>
      </c>
      <c r="F5906" s="4">
        <v>694.17</v>
      </c>
      <c r="G5906" s="4">
        <v>0.0</v>
      </c>
      <c r="H5906" s="4" t="s">
        <v>22</v>
      </c>
      <c r="I5906" s="6">
        <v>174.216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ht="12.75" customHeight="1">
      <c r="A5907" s="4">
        <v>6016.0</v>
      </c>
      <c r="B5907" s="4">
        <v>42631.0</v>
      </c>
      <c r="C5907" s="5">
        <f t="shared" ref="C5907:C5910" si="2490">DATE(2012,12,31)-1332</f>
        <v>39942</v>
      </c>
      <c r="D5907" s="4" t="s">
        <v>30</v>
      </c>
      <c r="E5907" s="4">
        <v>41.0</v>
      </c>
      <c r="F5907" s="4">
        <v>257.66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ht="12.75" customHeight="1">
      <c r="A5908" s="4">
        <v>6017.0</v>
      </c>
      <c r="B5908" s="4">
        <v>42631.0</v>
      </c>
      <c r="C5908" s="5">
        <f t="shared" si="2490"/>
        <v>39942</v>
      </c>
      <c r="D5908" s="4" t="s">
        <v>30</v>
      </c>
      <c r="E5908" s="4">
        <v>18.0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1">C5908+1</f>
        <v>39943</v>
      </c>
    </row>
    <row r="5909" ht="12.75" customHeight="1">
      <c r="A5909" s="4">
        <v>6018.0</v>
      </c>
      <c r="B5909" s="4">
        <v>42631.0</v>
      </c>
      <c r="C5909" s="5">
        <f t="shared" si="2490"/>
        <v>39942</v>
      </c>
      <c r="D5909" s="4" t="s">
        <v>30</v>
      </c>
      <c r="E5909" s="4">
        <v>44.0</v>
      </c>
      <c r="F5909" s="4">
        <v>287.22</v>
      </c>
      <c r="G5909" s="4">
        <v>0.06</v>
      </c>
      <c r="H5909" s="4" t="s">
        <v>22</v>
      </c>
      <c r="I5909" s="6">
        <v>-72.93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1"/>
        <v>39943</v>
      </c>
    </row>
    <row r="5910" ht="12.75" customHeight="1">
      <c r="A5910" s="4">
        <v>6019.0</v>
      </c>
      <c r="B5910" s="4">
        <v>42631.0</v>
      </c>
      <c r="C5910" s="5">
        <f t="shared" si="2490"/>
        <v>39942</v>
      </c>
      <c r="D5910" s="4" t="s">
        <v>30</v>
      </c>
      <c r="E5910" s="4">
        <v>22.0</v>
      </c>
      <c r="F5910" s="4">
        <v>1148.0355</v>
      </c>
      <c r="G5910" s="4">
        <v>0.08</v>
      </c>
      <c r="H5910" s="4" t="s">
        <v>56</v>
      </c>
      <c r="I5910" s="6">
        <v>21.978</v>
      </c>
      <c r="J5910" s="4">
        <v>65.99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</v>
      </c>
      <c r="U5910" s="5">
        <f t="shared" ref="U5910:U5912" si="2492">C5910+2</f>
        <v>39944</v>
      </c>
    </row>
    <row r="5911" ht="12.75" customHeight="1">
      <c r="A5911" s="4">
        <v>6066.0</v>
      </c>
      <c r="B5911" s="4">
        <v>42979.0</v>
      </c>
      <c r="C5911" s="5">
        <f>DATE(2012,12,31)-610</f>
        <v>40664</v>
      </c>
      <c r="D5911" s="4" t="s">
        <v>45</v>
      </c>
      <c r="E5911" s="4">
        <v>29.0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30.0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2"/>
        <v>40666</v>
      </c>
    </row>
    <row r="5912" ht="12.75" customHeight="1">
      <c r="A5912" s="4">
        <v>6077.0</v>
      </c>
      <c r="B5912" s="4">
        <v>43045.0</v>
      </c>
      <c r="C5912" s="5">
        <f t="shared" ref="C5912:C5913" si="2493">DATE(2012,12,31)-200</f>
        <v>41074</v>
      </c>
      <c r="D5912" s="4" t="s">
        <v>63</v>
      </c>
      <c r="E5912" s="4">
        <v>47.0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10.12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2"/>
        <v>41076</v>
      </c>
    </row>
    <row r="5913" ht="12.75" customHeight="1">
      <c r="A5913" s="4">
        <v>6078.0</v>
      </c>
      <c r="B5913" s="4">
        <v>43045.0</v>
      </c>
      <c r="C5913" s="5">
        <f t="shared" si="2493"/>
        <v>41074</v>
      </c>
      <c r="D5913" s="4" t="s">
        <v>63</v>
      </c>
      <c r="E5913" s="4">
        <v>12.0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4">C5913+0</f>
        <v>41074</v>
      </c>
    </row>
    <row r="5914" ht="12.75" customHeight="1">
      <c r="A5914" s="4">
        <v>6085.0</v>
      </c>
      <c r="B5914" s="4">
        <v>43110.0</v>
      </c>
      <c r="C5914" s="5">
        <f t="shared" ref="C5914:C5915" si="2495">DATE(2012,12,31)-694</f>
        <v>40580</v>
      </c>
      <c r="D5914" s="4" t="s">
        <v>30</v>
      </c>
      <c r="E5914" s="4">
        <v>3.0</v>
      </c>
      <c r="F5914" s="4">
        <v>21.01</v>
      </c>
      <c r="G5914" s="4">
        <v>0.0</v>
      </c>
      <c r="H5914" s="4" t="s">
        <v>22</v>
      </c>
      <c r="I5914" s="6">
        <v>-9.69</v>
      </c>
      <c r="J5914" s="4">
        <v>4.98</v>
      </c>
      <c r="K5914" s="4">
        <v>5.02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4"/>
        <v>40580</v>
      </c>
    </row>
    <row r="5915" ht="12.75" customHeight="1">
      <c r="A5915" s="4">
        <v>6086.0</v>
      </c>
      <c r="B5915" s="4">
        <v>43110.0</v>
      </c>
      <c r="C5915" s="5">
        <f t="shared" si="2495"/>
        <v>40580</v>
      </c>
      <c r="D5915" s="4" t="s">
        <v>30</v>
      </c>
      <c r="E5915" s="4">
        <v>1.0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6">C5915+2</f>
        <v>40582</v>
      </c>
    </row>
    <row r="5916" ht="12.75" customHeight="1">
      <c r="A5916" s="4">
        <v>6104.0</v>
      </c>
      <c r="B5916" s="4">
        <v>43239.0</v>
      </c>
      <c r="C5916" s="5">
        <f>DATE(2012,12,31)-656</f>
        <v>40618</v>
      </c>
      <c r="D5916" s="4" t="s">
        <v>45</v>
      </c>
      <c r="E5916" s="4">
        <v>14.0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6"/>
        <v>40620</v>
      </c>
    </row>
    <row r="5917" ht="12.75" customHeight="1">
      <c r="A5917" s="4">
        <v>6313.0</v>
      </c>
      <c r="B5917" s="4">
        <v>44678.0</v>
      </c>
      <c r="C5917" s="5">
        <f t="shared" ref="C5917:C5918" si="2497">DATE(2012,12,31)-79</f>
        <v>41195</v>
      </c>
      <c r="D5917" s="4" t="s">
        <v>21</v>
      </c>
      <c r="E5917" s="4">
        <v>36.0</v>
      </c>
      <c r="F5917" s="4">
        <v>1152.63</v>
      </c>
      <c r="G5917" s="4">
        <v>0.03</v>
      </c>
      <c r="H5917" s="4" t="s">
        <v>22</v>
      </c>
      <c r="I5917" s="6">
        <v>389.4</v>
      </c>
      <c r="J5917" s="4">
        <v>32.48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ht="12.75" customHeight="1">
      <c r="A5918" s="4">
        <v>6314.0</v>
      </c>
      <c r="B5918" s="4">
        <v>44678.0</v>
      </c>
      <c r="C5918" s="5">
        <f t="shared" si="2497"/>
        <v>41195</v>
      </c>
      <c r="D5918" s="4" t="s">
        <v>21</v>
      </c>
      <c r="E5918" s="4">
        <v>4.0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ht="12.75" customHeight="1">
      <c r="A5919" s="4">
        <v>6326.0</v>
      </c>
      <c r="B5919" s="4">
        <v>44805.0</v>
      </c>
      <c r="C5919" s="5">
        <f>DATE(2012,12,31)-108</f>
        <v>41166</v>
      </c>
      <c r="D5919" s="4" t="s">
        <v>30</v>
      </c>
      <c r="E5919" s="4">
        <v>40.0</v>
      </c>
      <c r="F5919" s="4">
        <v>1710.65</v>
      </c>
      <c r="G5919" s="4">
        <v>0.01</v>
      </c>
      <c r="H5919" s="4" t="s">
        <v>22</v>
      </c>
      <c r="I5919" s="6">
        <v>782.0085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ht="12.75" customHeight="1">
      <c r="A5920" s="4">
        <v>6335.0</v>
      </c>
      <c r="B5920" s="4">
        <v>44897.0</v>
      </c>
      <c r="C5920" s="5">
        <f>DATE(2012,12,31)-1028</f>
        <v>40246</v>
      </c>
      <c r="D5920" s="4" t="s">
        <v>30</v>
      </c>
      <c r="E5920" s="4">
        <v>11.0</v>
      </c>
      <c r="F5920" s="4">
        <v>85.62</v>
      </c>
      <c r="G5920" s="4">
        <v>0.07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ht="12.75" customHeight="1">
      <c r="A5921" s="4">
        <v>6610.0</v>
      </c>
      <c r="B5921" s="4">
        <v>47015.0</v>
      </c>
      <c r="C5921" s="5">
        <f>DATE(2012,12,31)-687</f>
        <v>40587</v>
      </c>
      <c r="D5921" s="4" t="s">
        <v>45</v>
      </c>
      <c r="E5921" s="4">
        <v>19.0</v>
      </c>
      <c r="F5921" s="4">
        <v>5441.06</v>
      </c>
      <c r="G5921" s="4">
        <v>0.06</v>
      </c>
      <c r="H5921" s="4" t="s">
        <v>31</v>
      </c>
      <c r="I5921" s="6">
        <v>-557.2</v>
      </c>
      <c r="J5921" s="4">
        <v>286.85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8">C5921+1</f>
        <v>40588</v>
      </c>
    </row>
    <row r="5922" ht="12.75" customHeight="1">
      <c r="A5922" s="4">
        <v>6636.0</v>
      </c>
      <c r="B5922" s="4">
        <v>47175.0</v>
      </c>
      <c r="C5922" s="5">
        <f>DATE(2012,12,31)-981</f>
        <v>40293</v>
      </c>
      <c r="D5922" s="4" t="s">
        <v>45</v>
      </c>
      <c r="E5922" s="4">
        <v>40.0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1.0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8"/>
        <v>40294</v>
      </c>
    </row>
    <row r="5923" ht="12.75" customHeight="1">
      <c r="A5923" s="4">
        <v>6638.0</v>
      </c>
      <c r="B5923" s="4">
        <v>47203.0</v>
      </c>
      <c r="C5923" s="5">
        <f t="shared" ref="C5923:C5924" si="2499">DATE(2012,12,31)-1109</f>
        <v>40165</v>
      </c>
      <c r="D5923" s="4" t="s">
        <v>78</v>
      </c>
      <c r="E5923" s="4">
        <v>8.0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4.0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8"/>
        <v>40166</v>
      </c>
    </row>
    <row r="5924" ht="12.75" customHeight="1">
      <c r="A5924" s="4">
        <v>6639.0</v>
      </c>
      <c r="B5924" s="4">
        <v>47203.0</v>
      </c>
      <c r="C5924" s="5">
        <f t="shared" si="2499"/>
        <v>40165</v>
      </c>
      <c r="D5924" s="4" t="s">
        <v>78</v>
      </c>
      <c r="E5924" s="4">
        <v>44.0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ht="12.75" customHeight="1">
      <c r="A5925" s="4">
        <v>6646.0</v>
      </c>
      <c r="B5925" s="4">
        <v>47270.0</v>
      </c>
      <c r="C5925" s="5">
        <f t="shared" ref="C5925:C5927" si="2500">DATE(2012,12,31)-882</f>
        <v>40392</v>
      </c>
      <c r="D5925" s="4" t="s">
        <v>78</v>
      </c>
      <c r="E5925" s="4">
        <v>40.0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4.39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ht="12.75" customHeight="1">
      <c r="A5926" s="4">
        <v>6647.0</v>
      </c>
      <c r="B5926" s="4">
        <v>47270.0</v>
      </c>
      <c r="C5926" s="5">
        <f t="shared" si="2500"/>
        <v>40392</v>
      </c>
      <c r="D5926" s="4" t="s">
        <v>78</v>
      </c>
      <c r="E5926" s="4">
        <v>9.0</v>
      </c>
      <c r="F5926" s="4">
        <v>61.0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1">C5926+2</f>
        <v>40394</v>
      </c>
    </row>
    <row r="5927" ht="12.75" customHeight="1">
      <c r="A5927" s="4">
        <v>6648.0</v>
      </c>
      <c r="B5927" s="4">
        <v>47270.0</v>
      </c>
      <c r="C5927" s="5">
        <f t="shared" si="2500"/>
        <v>40392</v>
      </c>
      <c r="D5927" s="4" t="s">
        <v>78</v>
      </c>
      <c r="E5927" s="4">
        <v>19.0</v>
      </c>
      <c r="F5927" s="4">
        <v>3559.613</v>
      </c>
      <c r="G5927" s="4">
        <v>0.0</v>
      </c>
      <c r="H5927" s="4" t="s">
        <v>22</v>
      </c>
      <c r="I5927" s="6">
        <v>747.738</v>
      </c>
      <c r="J5927" s="4">
        <v>205.99</v>
      </c>
      <c r="K5927" s="4">
        <v>3.0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0.58</v>
      </c>
      <c r="U5927" s="5">
        <f t="shared" si="2501"/>
        <v>40394</v>
      </c>
    </row>
    <row r="5928" ht="12.75" customHeight="1">
      <c r="A5928" s="4">
        <v>6680.0</v>
      </c>
      <c r="B5928" s="4">
        <v>47524.0</v>
      </c>
      <c r="C5928" s="5">
        <f>DATE(2012,12,31)-991</f>
        <v>40283</v>
      </c>
      <c r="D5928" s="4" t="s">
        <v>63</v>
      </c>
      <c r="E5928" s="4">
        <v>40.0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ht="12.75" customHeight="1">
      <c r="A5929" s="4">
        <v>6748.0</v>
      </c>
      <c r="B5929" s="4">
        <v>48035.0</v>
      </c>
      <c r="C5929" s="5">
        <f>DATE(2012,12,31)-1371</f>
        <v>39903</v>
      </c>
      <c r="D5929" s="4" t="s">
        <v>78</v>
      </c>
      <c r="E5929" s="4">
        <v>8.0</v>
      </c>
      <c r="F5929" s="4">
        <v>155.924</v>
      </c>
      <c r="G5929" s="4">
        <v>0.09</v>
      </c>
      <c r="H5929" s="4" t="s">
        <v>56</v>
      </c>
      <c r="I5929" s="6">
        <v>-63.118</v>
      </c>
      <c r="J5929" s="4">
        <v>20.99</v>
      </c>
      <c r="K5929" s="4">
        <v>4.81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0.58</v>
      </c>
      <c r="U5929" s="5">
        <f t="shared" ref="U5929:U5930" si="2502">C5929+1</f>
        <v>39904</v>
      </c>
    </row>
    <row r="5930" ht="12.75" customHeight="1">
      <c r="A5930" s="4">
        <v>6752.0</v>
      </c>
      <c r="B5930" s="4">
        <v>48096.0</v>
      </c>
      <c r="C5930" s="5">
        <f t="shared" ref="C5930:C5931" si="2503">DATE(2012,12,31)-1298</f>
        <v>39976</v>
      </c>
      <c r="D5930" s="4" t="s">
        <v>30</v>
      </c>
      <c r="E5930" s="4">
        <v>3.0</v>
      </c>
      <c r="F5930" s="4">
        <v>34.23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2"/>
        <v>39977</v>
      </c>
    </row>
    <row r="5931" ht="12.75" customHeight="1">
      <c r="A5931" s="4">
        <v>6753.0</v>
      </c>
      <c r="B5931" s="4">
        <v>48096.0</v>
      </c>
      <c r="C5931" s="5">
        <f t="shared" si="2503"/>
        <v>39976</v>
      </c>
      <c r="D5931" s="4" t="s">
        <v>30</v>
      </c>
      <c r="E5931" s="4">
        <v>22.0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4">C5931+2</f>
        <v>39978</v>
      </c>
    </row>
    <row r="5932" ht="12.75" customHeight="1">
      <c r="A5932" s="4">
        <v>6859.0</v>
      </c>
      <c r="B5932" s="4">
        <v>48868.0</v>
      </c>
      <c r="C5932" s="5">
        <f t="shared" ref="C5932:C5933" si="2505">DATE(2012,12,31)-201</f>
        <v>41073</v>
      </c>
      <c r="D5932" s="4" t="s">
        <v>45</v>
      </c>
      <c r="E5932" s="4">
        <v>47.0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35.0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4"/>
        <v>41075</v>
      </c>
    </row>
    <row r="5933" ht="12.75" customHeight="1">
      <c r="A5933" s="4">
        <v>6860.0</v>
      </c>
      <c r="B5933" s="4">
        <v>48868.0</v>
      </c>
      <c r="C5933" s="5">
        <f t="shared" si="2505"/>
        <v>41073</v>
      </c>
      <c r="D5933" s="4" t="s">
        <v>45</v>
      </c>
      <c r="E5933" s="4">
        <v>43.0</v>
      </c>
      <c r="F5933" s="4">
        <v>6861.8545</v>
      </c>
      <c r="G5933" s="4">
        <v>0.07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6">C5933+1</f>
        <v>41074</v>
      </c>
    </row>
    <row r="5934" ht="12.75" customHeight="1">
      <c r="A5934" s="4">
        <v>6955.0</v>
      </c>
      <c r="B5934" s="4">
        <v>49760.0</v>
      </c>
      <c r="C5934" s="5">
        <f t="shared" ref="C5934:C5936" si="2507">DATE(2012,12,31)-457</f>
        <v>40817</v>
      </c>
      <c r="D5934" s="4" t="s">
        <v>63</v>
      </c>
      <c r="E5934" s="4">
        <v>3.0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6"/>
        <v>40818</v>
      </c>
    </row>
    <row r="5935" ht="12.75" customHeight="1">
      <c r="A5935" s="4">
        <v>6956.0</v>
      </c>
      <c r="B5935" s="4">
        <v>49760.0</v>
      </c>
      <c r="C5935" s="5">
        <f t="shared" si="2507"/>
        <v>40817</v>
      </c>
      <c r="D5935" s="4" t="s">
        <v>63</v>
      </c>
      <c r="E5935" s="4">
        <v>13.0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0.58</v>
      </c>
      <c r="U5935" s="5">
        <f t="shared" ref="U5935:U5937" si="2508">C5935+2</f>
        <v>40819</v>
      </c>
    </row>
    <row r="5936" ht="12.75" customHeight="1">
      <c r="A5936" s="4">
        <v>6957.0</v>
      </c>
      <c r="B5936" s="4">
        <v>49760.0</v>
      </c>
      <c r="C5936" s="5">
        <f t="shared" si="2507"/>
        <v>40817</v>
      </c>
      <c r="D5936" s="4" t="s">
        <v>63</v>
      </c>
      <c r="E5936" s="4">
        <v>38.0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9.03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8"/>
        <v>40819</v>
      </c>
    </row>
    <row r="5937" ht="12.75" customHeight="1">
      <c r="A5937" s="4">
        <v>6975.0</v>
      </c>
      <c r="B5937" s="4">
        <v>49830.0</v>
      </c>
      <c r="C5937" s="5">
        <f>DATE(2012,12,31)-1271</f>
        <v>40003</v>
      </c>
      <c r="D5937" s="4" t="s">
        <v>78</v>
      </c>
      <c r="E5937" s="4">
        <v>31.0</v>
      </c>
      <c r="F5937" s="4">
        <v>16949.44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19.99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8"/>
        <v>40005</v>
      </c>
    </row>
    <row r="5938" ht="12.75" customHeight="1">
      <c r="A5938" s="4">
        <v>7027.0</v>
      </c>
      <c r="B5938" s="4">
        <v>50147.0</v>
      </c>
      <c r="C5938" s="5">
        <f t="shared" ref="C5938:C5939" si="2509">DATE(2012,12,31)-1180</f>
        <v>40094</v>
      </c>
      <c r="D5938" s="4" t="s">
        <v>63</v>
      </c>
      <c r="E5938" s="4">
        <v>42.0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ht="12.75" customHeight="1">
      <c r="A5939" s="4">
        <v>7028.0</v>
      </c>
      <c r="B5939" s="4">
        <v>50147.0</v>
      </c>
      <c r="C5939" s="5">
        <f t="shared" si="2509"/>
        <v>40094</v>
      </c>
      <c r="D5939" s="4" t="s">
        <v>63</v>
      </c>
      <c r="E5939" s="4">
        <v>13.0</v>
      </c>
      <c r="F5939" s="4">
        <v>163.62</v>
      </c>
      <c r="G5939" s="4">
        <v>0.0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ht="12.75" customHeight="1">
      <c r="A5940" s="4">
        <v>7044.0</v>
      </c>
      <c r="B5940" s="4">
        <v>50304.0</v>
      </c>
      <c r="C5940" s="5">
        <f t="shared" ref="C5940:C5941" si="2510">DATE(2012,12,31)-1065</f>
        <v>40209</v>
      </c>
      <c r="D5940" s="4" t="s">
        <v>78</v>
      </c>
      <c r="E5940" s="4">
        <v>22.0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39.98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1">C5940+2</f>
        <v>40211</v>
      </c>
    </row>
    <row r="5941" ht="12.75" customHeight="1">
      <c r="A5941" s="4">
        <v>7045.0</v>
      </c>
      <c r="B5941" s="4">
        <v>50304.0</v>
      </c>
      <c r="C5941" s="5">
        <f t="shared" si="2510"/>
        <v>40209</v>
      </c>
      <c r="D5941" s="4" t="s">
        <v>78</v>
      </c>
      <c r="E5941" s="4">
        <v>3.0</v>
      </c>
      <c r="F5941" s="4">
        <v>72.46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1"/>
        <v>40211</v>
      </c>
    </row>
    <row r="5942" ht="12.75" customHeight="1">
      <c r="A5942" s="4">
        <v>7112.0</v>
      </c>
      <c r="B5942" s="4">
        <v>50756.0</v>
      </c>
      <c r="C5942" s="5">
        <f t="shared" ref="C5942:C5943" si="2512">DATE(2012,12,31)-844</f>
        <v>40430</v>
      </c>
      <c r="D5942" s="4" t="s">
        <v>45</v>
      </c>
      <c r="E5942" s="4">
        <v>19.0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ht="12.75" customHeight="1">
      <c r="A5943" s="4">
        <v>7113.0</v>
      </c>
      <c r="B5943" s="4">
        <v>50756.0</v>
      </c>
      <c r="C5943" s="5">
        <f t="shared" si="2512"/>
        <v>40430</v>
      </c>
      <c r="D5943" s="4" t="s">
        <v>45</v>
      </c>
      <c r="E5943" s="4">
        <v>2.0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3">C5943+0</f>
        <v>40430</v>
      </c>
    </row>
    <row r="5944" ht="12.75" customHeight="1">
      <c r="A5944" s="4">
        <v>7173.0</v>
      </c>
      <c r="B5944" s="4">
        <v>51201.0</v>
      </c>
      <c r="C5944" s="5">
        <f>DATE(2012,12,31)-381</f>
        <v>40893</v>
      </c>
      <c r="D5944" s="4" t="s">
        <v>30</v>
      </c>
      <c r="E5944" s="4">
        <v>42.0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3"/>
        <v>40893</v>
      </c>
    </row>
    <row r="5945" ht="12.75" customHeight="1">
      <c r="A5945" s="4">
        <v>7227.0</v>
      </c>
      <c r="B5945" s="4">
        <v>51554.0</v>
      </c>
      <c r="C5945" s="5">
        <f t="shared" ref="C5945:C5946" si="2514">DATE(2012,12,31)-1376</f>
        <v>39898</v>
      </c>
      <c r="D5945" s="4" t="s">
        <v>63</v>
      </c>
      <c r="E5945" s="4">
        <v>7.0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60.0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ht="12.75" customHeight="1">
      <c r="A5946" s="4">
        <v>7228.0</v>
      </c>
      <c r="B5946" s="4">
        <v>51554.0</v>
      </c>
      <c r="C5946" s="5">
        <f t="shared" si="2514"/>
        <v>39898</v>
      </c>
      <c r="D5946" s="4" t="s">
        <v>63</v>
      </c>
      <c r="E5946" s="4">
        <v>29.0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5">C5946+1</f>
        <v>39899</v>
      </c>
    </row>
    <row r="5947" ht="12.75" customHeight="1">
      <c r="A5947" s="4">
        <v>7325.0</v>
      </c>
      <c r="B5947" s="4">
        <v>52197.0</v>
      </c>
      <c r="C5947" s="5">
        <f t="shared" ref="C5947:C5948" si="2516">DATE(2012,12,31)-149</f>
        <v>41125</v>
      </c>
      <c r="D5947" s="4" t="s">
        <v>78</v>
      </c>
      <c r="E5947" s="4">
        <v>23.0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2.0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5"/>
        <v>41126</v>
      </c>
    </row>
    <row r="5948" ht="12.75" customHeight="1">
      <c r="A5948" s="4">
        <v>7326.0</v>
      </c>
      <c r="B5948" s="4">
        <v>52197.0</v>
      </c>
      <c r="C5948" s="5">
        <f t="shared" si="2516"/>
        <v>41125</v>
      </c>
      <c r="D5948" s="4" t="s">
        <v>78</v>
      </c>
      <c r="E5948" s="4">
        <v>6.0</v>
      </c>
      <c r="F5948" s="4">
        <v>377.03</v>
      </c>
      <c r="G5948" s="4">
        <v>0.06</v>
      </c>
      <c r="H5948" s="4" t="s">
        <v>22</v>
      </c>
      <c r="I5948" s="6">
        <v>-78.82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ht="12.75" customHeight="1">
      <c r="A5949" s="4">
        <v>7380.0</v>
      </c>
      <c r="B5949" s="4">
        <v>52615.0</v>
      </c>
      <c r="C5949" s="5">
        <f t="shared" ref="C5949:C5950" si="2517">DATE(2012,12,31)-1169</f>
        <v>40105</v>
      </c>
      <c r="D5949" s="4" t="s">
        <v>21</v>
      </c>
      <c r="E5949" s="4">
        <v>4.0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</v>
      </c>
      <c r="K5949" s="4">
        <v>49.0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8">C5949+4</f>
        <v>40109</v>
      </c>
    </row>
    <row r="5950" ht="12.75" customHeight="1">
      <c r="A5950" s="4">
        <v>7381.0</v>
      </c>
      <c r="B5950" s="4">
        <v>52615.0</v>
      </c>
      <c r="C5950" s="5">
        <f t="shared" si="2517"/>
        <v>40105</v>
      </c>
      <c r="D5950" s="4" t="s">
        <v>21</v>
      </c>
      <c r="E5950" s="4">
        <v>18.0</v>
      </c>
      <c r="F5950" s="4">
        <v>76.85</v>
      </c>
      <c r="G5950" s="4">
        <v>0.1</v>
      </c>
      <c r="H5950" s="4" t="s">
        <v>22</v>
      </c>
      <c r="I5950" s="6">
        <v>-64.078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8"/>
        <v>40109</v>
      </c>
    </row>
    <row r="5951" ht="12.75" customHeight="1">
      <c r="A5951" s="4">
        <v>7395.0</v>
      </c>
      <c r="B5951" s="4">
        <v>52678.0</v>
      </c>
      <c r="C5951" s="5">
        <f>DATE(2012,12,31)-155</f>
        <v>41119</v>
      </c>
      <c r="D5951" s="4" t="s">
        <v>30</v>
      </c>
      <c r="E5951" s="4">
        <v>3.0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9">C5951+2</f>
        <v>41121</v>
      </c>
    </row>
    <row r="5952" ht="12.75" customHeight="1">
      <c r="A5952" s="4">
        <v>7770.0</v>
      </c>
      <c r="B5952" s="4">
        <v>55621.0</v>
      </c>
      <c r="C5952" s="5">
        <f t="shared" ref="C5952:C5953" si="2520">DATE(2012,12,31)-657</f>
        <v>40617</v>
      </c>
      <c r="D5952" s="4" t="s">
        <v>21</v>
      </c>
      <c r="E5952" s="4">
        <v>50.0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9"/>
        <v>40619</v>
      </c>
    </row>
    <row r="5953" ht="12.75" customHeight="1">
      <c r="A5953" s="4">
        <v>7771.0</v>
      </c>
      <c r="B5953" s="4">
        <v>55621.0</v>
      </c>
      <c r="C5953" s="5">
        <f t="shared" si="2520"/>
        <v>40617</v>
      </c>
      <c r="D5953" s="4" t="s">
        <v>21</v>
      </c>
      <c r="E5953" s="4">
        <v>47.0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</v>
      </c>
      <c r="U5953" s="5">
        <f>C5953+7</f>
        <v>40624</v>
      </c>
    </row>
    <row r="5954" ht="12.75" customHeight="1">
      <c r="A5954" s="4">
        <v>7891.0</v>
      </c>
      <c r="B5954" s="4">
        <v>56423.0</v>
      </c>
      <c r="C5954" s="5">
        <f t="shared" ref="C5954:C5955" si="2521">DATE(2012,12,31)-372</f>
        <v>40902</v>
      </c>
      <c r="D5954" s="4" t="s">
        <v>45</v>
      </c>
      <c r="E5954" s="4">
        <v>41.0</v>
      </c>
      <c r="F5954" s="4">
        <v>170.82</v>
      </c>
      <c r="G5954" s="4">
        <v>0.0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2">C5954+1</f>
        <v>40903</v>
      </c>
    </row>
    <row r="5955" ht="12.75" customHeight="1">
      <c r="A5955" s="4">
        <v>7892.0</v>
      </c>
      <c r="B5955" s="4">
        <v>56423.0</v>
      </c>
      <c r="C5955" s="5">
        <f t="shared" si="2521"/>
        <v>40902</v>
      </c>
      <c r="D5955" s="4" t="s">
        <v>45</v>
      </c>
      <c r="E5955" s="4">
        <v>4.0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19.99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0.58</v>
      </c>
      <c r="U5955" s="5">
        <f t="shared" si="2522"/>
        <v>40903</v>
      </c>
    </row>
    <row r="5956" ht="12.75" customHeight="1">
      <c r="A5956" s="4">
        <v>7923.0</v>
      </c>
      <c r="B5956" s="4">
        <v>56644.0</v>
      </c>
      <c r="C5956" s="5">
        <f>DATE(2012,12,31)-33</f>
        <v>41241</v>
      </c>
      <c r="D5956" s="4" t="s">
        <v>45</v>
      </c>
      <c r="E5956" s="4">
        <v>36.0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1.0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ht="12.75" customHeight="1">
      <c r="A5957" s="4">
        <v>8016.0</v>
      </c>
      <c r="B5957" s="4">
        <v>57280.0</v>
      </c>
      <c r="C5957" s="5">
        <f>DATE(2012,12,31)-335</f>
        <v>40939</v>
      </c>
      <c r="D5957" s="4" t="s">
        <v>63</v>
      </c>
      <c r="E5957" s="4">
        <v>44.0</v>
      </c>
      <c r="F5957" s="4">
        <v>299.85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3">C5957+1</f>
        <v>40940</v>
      </c>
    </row>
    <row r="5958" ht="12.75" customHeight="1">
      <c r="A5958" s="4">
        <v>8052.0</v>
      </c>
      <c r="B5958" s="4">
        <v>57478.0</v>
      </c>
      <c r="C5958" s="5">
        <f>DATE(2012,12,31)-820</f>
        <v>40454</v>
      </c>
      <c r="D5958" s="4" t="s">
        <v>78</v>
      </c>
      <c r="E5958" s="4">
        <v>36.0</v>
      </c>
      <c r="F5958" s="4">
        <v>63.53</v>
      </c>
      <c r="G5958" s="4">
        <v>0.1</v>
      </c>
      <c r="H5958" s="4" t="s">
        <v>22</v>
      </c>
      <c r="I5958" s="6">
        <v>-2.51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3"/>
        <v>40455</v>
      </c>
    </row>
    <row r="5959" ht="12.75" customHeight="1">
      <c r="A5959" s="4">
        <v>8059.0</v>
      </c>
      <c r="B5959" s="4">
        <v>57510.0</v>
      </c>
      <c r="C5959" s="5">
        <f>DATE(2012,12,31)-387</f>
        <v>40887</v>
      </c>
      <c r="D5959" s="4" t="s">
        <v>45</v>
      </c>
      <c r="E5959" s="4">
        <v>6.0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ht="12.75" customHeight="1">
      <c r="A5960" s="4">
        <v>8098.0</v>
      </c>
      <c r="B5960" s="4">
        <v>57767.0</v>
      </c>
      <c r="C5960" s="5">
        <f>DATE(2012,12,31)-264</f>
        <v>41010</v>
      </c>
      <c r="D5960" s="4" t="s">
        <v>78</v>
      </c>
      <c r="E5960" s="4">
        <v>34.0</v>
      </c>
      <c r="F5960" s="4">
        <v>3373.7095</v>
      </c>
      <c r="G5960" s="4">
        <v>0.01</v>
      </c>
      <c r="H5960" s="4" t="s">
        <v>22</v>
      </c>
      <c r="I5960" s="6">
        <v>861.723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0.57</v>
      </c>
      <c r="U5960" s="5">
        <f t="shared" ref="U5960:U5961" si="2524">C5960+2</f>
        <v>41012</v>
      </c>
    </row>
    <row r="5961" ht="12.75" customHeight="1">
      <c r="A5961" s="4">
        <v>8101.0</v>
      </c>
      <c r="B5961" s="4">
        <v>57799.0</v>
      </c>
      <c r="C5961" s="5">
        <f>DATE(2012,12,31)-488</f>
        <v>40786</v>
      </c>
      <c r="D5961" s="4" t="s">
        <v>30</v>
      </c>
      <c r="E5961" s="4">
        <v>25.0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4"/>
        <v>40788</v>
      </c>
    </row>
    <row r="5962" ht="12.75" customHeight="1">
      <c r="A5962" s="4">
        <v>8192.0</v>
      </c>
      <c r="B5962" s="4">
        <v>58595.0</v>
      </c>
      <c r="C5962" s="5">
        <f>DATE(2012,12,31)-855</f>
        <v>40419</v>
      </c>
      <c r="D5962" s="4" t="s">
        <v>30</v>
      </c>
      <c r="E5962" s="4">
        <v>41.0</v>
      </c>
      <c r="F5962" s="4">
        <v>812.21</v>
      </c>
      <c r="G5962" s="4">
        <v>0.06</v>
      </c>
      <c r="H5962" s="4" t="s">
        <v>56</v>
      </c>
      <c r="I5962" s="6">
        <v>-128.02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ht="12.75" customHeight="1">
      <c r="A5963" s="4">
        <v>8217.0</v>
      </c>
      <c r="B5963" s="4">
        <v>58755.0</v>
      </c>
      <c r="C5963" s="5">
        <f t="shared" ref="C5963:C5964" si="2525">DATE(2012,12,31)-394</f>
        <v>40880</v>
      </c>
      <c r="D5963" s="4" t="s">
        <v>21</v>
      </c>
      <c r="E5963" s="4">
        <v>7.0</v>
      </c>
      <c r="F5963" s="4">
        <v>15.61</v>
      </c>
      <c r="G5963" s="4">
        <v>0.03</v>
      </c>
      <c r="H5963" s="4" t="s">
        <v>22</v>
      </c>
      <c r="I5963" s="6">
        <v>-5.1865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ht="12.75" customHeight="1">
      <c r="A5964" s="4">
        <v>8218.0</v>
      </c>
      <c r="B5964" s="4">
        <v>58755.0</v>
      </c>
      <c r="C5964" s="5">
        <f t="shared" si="2525"/>
        <v>40880</v>
      </c>
      <c r="D5964" s="4" t="s">
        <v>21</v>
      </c>
      <c r="E5964" s="4">
        <v>18.0</v>
      </c>
      <c r="F5964" s="4">
        <v>47.11</v>
      </c>
      <c r="G5964" s="4">
        <v>0.0</v>
      </c>
      <c r="H5964" s="4" t="s">
        <v>22</v>
      </c>
      <c r="I5964" s="6">
        <v>-95.42</v>
      </c>
      <c r="J5964" s="4">
        <v>2.18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ht="12.75" customHeight="1">
      <c r="A5965" s="4">
        <v>8250.0</v>
      </c>
      <c r="B5965" s="4">
        <v>59008.0</v>
      </c>
      <c r="C5965" s="5">
        <f>DATE(2012,12,31)-824</f>
        <v>40450</v>
      </c>
      <c r="D5965" s="4" t="s">
        <v>78</v>
      </c>
      <c r="E5965" s="4">
        <v>39.0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14.0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ht="12.75" customHeight="1">
      <c r="A5966" s="4">
        <v>8287.0</v>
      </c>
      <c r="B5966" s="4">
        <v>59205.0</v>
      </c>
      <c r="C5966" s="5">
        <f t="shared" ref="C5966:C5967" si="2526">DATE(2012,12,31)-427</f>
        <v>40847</v>
      </c>
      <c r="D5966" s="4" t="s">
        <v>78</v>
      </c>
      <c r="E5966" s="4">
        <v>11.0</v>
      </c>
      <c r="F5966" s="4">
        <v>54.59</v>
      </c>
      <c r="G5966" s="4">
        <v>0.0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7">C5966+2</f>
        <v>40849</v>
      </c>
    </row>
    <row r="5967" ht="12.75" customHeight="1">
      <c r="A5967" s="4">
        <v>8288.0</v>
      </c>
      <c r="B5967" s="4">
        <v>59205.0</v>
      </c>
      <c r="C5967" s="5">
        <f t="shared" si="2526"/>
        <v>40847</v>
      </c>
      <c r="D5967" s="4" t="s">
        <v>78</v>
      </c>
      <c r="E5967" s="4">
        <v>35.0</v>
      </c>
      <c r="F5967" s="4">
        <v>597.04</v>
      </c>
      <c r="G5967" s="4">
        <v>0.05</v>
      </c>
      <c r="H5967" s="4" t="s">
        <v>22</v>
      </c>
      <c r="I5967" s="6">
        <v>-157.42</v>
      </c>
      <c r="J5967" s="4">
        <v>16.74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7"/>
        <v>40849</v>
      </c>
    </row>
    <row r="5968" ht="12.75" customHeight="1">
      <c r="A5968" s="4">
        <v>8322.0</v>
      </c>
      <c r="B5968" s="4">
        <v>59491.0</v>
      </c>
      <c r="C5968" s="5">
        <f t="shared" ref="C5968:C5970" si="2528">DATE(2012,12,31)-282</f>
        <v>40992</v>
      </c>
      <c r="D5968" s="4" t="s">
        <v>30</v>
      </c>
      <c r="E5968" s="4">
        <v>8.0</v>
      </c>
      <c r="F5968" s="4">
        <v>32.31</v>
      </c>
      <c r="G5968" s="4">
        <v>0.09</v>
      </c>
      <c r="H5968" s="4" t="s">
        <v>22</v>
      </c>
      <c r="I5968" s="6">
        <v>-33.5915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ht="12.75" customHeight="1">
      <c r="A5969" s="4">
        <v>8323.0</v>
      </c>
      <c r="B5969" s="4">
        <v>59491.0</v>
      </c>
      <c r="C5969" s="5">
        <f t="shared" si="2528"/>
        <v>40992</v>
      </c>
      <c r="D5969" s="4" t="s">
        <v>30</v>
      </c>
      <c r="E5969" s="4">
        <v>6.0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ht="12.75" customHeight="1">
      <c r="A5970" s="4">
        <v>8324.0</v>
      </c>
      <c r="B5970" s="4">
        <v>59491.0</v>
      </c>
      <c r="C5970" s="5">
        <f t="shared" si="2528"/>
        <v>40992</v>
      </c>
      <c r="D5970" s="4" t="s">
        <v>30</v>
      </c>
      <c r="E5970" s="4">
        <v>46.0</v>
      </c>
      <c r="F5970" s="4">
        <v>562.95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</v>
      </c>
      <c r="U5970" s="5">
        <f>C5970+2</f>
        <v>40994</v>
      </c>
    </row>
    <row r="5971" ht="12.75" customHeight="1">
      <c r="A5971" s="4">
        <v>8361.0</v>
      </c>
      <c r="B5971" s="4">
        <v>59776.0</v>
      </c>
      <c r="C5971" s="5">
        <f t="shared" ref="C5971:C5972" si="2529">DATE(2012,12,31)-1393</f>
        <v>39881</v>
      </c>
      <c r="D5971" s="4" t="s">
        <v>21</v>
      </c>
      <c r="E5971" s="4">
        <v>35.0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30">C5971+4</f>
        <v>39885</v>
      </c>
    </row>
    <row r="5972" ht="12.75" customHeight="1">
      <c r="A5972" s="4">
        <v>8362.0</v>
      </c>
      <c r="B5972" s="4">
        <v>59776.0</v>
      </c>
      <c r="C5972" s="5">
        <f t="shared" si="2529"/>
        <v>39881</v>
      </c>
      <c r="D5972" s="4" t="s">
        <v>21</v>
      </c>
      <c r="E5972" s="4">
        <v>33.0</v>
      </c>
      <c r="F5972" s="4">
        <v>12215.43</v>
      </c>
      <c r="G5972" s="4">
        <v>0.07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30"/>
        <v>39885</v>
      </c>
    </row>
    <row r="5973" ht="12.75" customHeight="1">
      <c r="A5973" s="4">
        <v>8372.0</v>
      </c>
      <c r="B5973" s="4">
        <v>59809.0</v>
      </c>
      <c r="C5973" s="5">
        <f t="shared" ref="C5973:C5974" si="2531">DATE(2012,12,31)-664</f>
        <v>40610</v>
      </c>
      <c r="D5973" s="4" t="s">
        <v>45</v>
      </c>
      <c r="E5973" s="4">
        <v>12.0</v>
      </c>
      <c r="F5973" s="4">
        <v>138.67</v>
      </c>
      <c r="G5973" s="4">
        <v>0.08</v>
      </c>
      <c r="H5973" s="4" t="s">
        <v>22</v>
      </c>
      <c r="I5973" s="6">
        <v>-9.7175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ht="12.75" customHeight="1">
      <c r="A5974" s="4">
        <v>8373.0</v>
      </c>
      <c r="B5974" s="4">
        <v>59809.0</v>
      </c>
      <c r="C5974" s="5">
        <f t="shared" si="2531"/>
        <v>40610</v>
      </c>
      <c r="D5974" s="4" t="s">
        <v>45</v>
      </c>
      <c r="E5974" s="4">
        <v>16.0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2">C5974+1</f>
        <v>40611</v>
      </c>
    </row>
    <row r="5975" ht="12.75" customHeight="1">
      <c r="A5975" s="4">
        <v>8392.0</v>
      </c>
      <c r="B5975" s="4">
        <v>59943.0</v>
      </c>
      <c r="C5975" s="5">
        <f>DATE(2012,12,31)-936</f>
        <v>40338</v>
      </c>
      <c r="D5975" s="4" t="s">
        <v>78</v>
      </c>
      <c r="E5975" s="4">
        <v>43.0</v>
      </c>
      <c r="F5975" s="4">
        <v>679.65</v>
      </c>
      <c r="G5975" s="4">
        <v>0.0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2"/>
        <v>40339</v>
      </c>
    </row>
    <row r="5976" ht="12.75" customHeight="1">
      <c r="A5976" s="4">
        <v>48.0</v>
      </c>
      <c r="B5976" s="4">
        <v>292.0</v>
      </c>
      <c r="C5976" s="5">
        <f>DATE(2012,12,31)-354</f>
        <v>40920</v>
      </c>
      <c r="D5976" s="4" t="s">
        <v>30</v>
      </c>
      <c r="E5976" s="4">
        <v>43.0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2"/>
        <v>40921</v>
      </c>
    </row>
    <row r="5977" ht="12.75" customHeight="1">
      <c r="A5977" s="4">
        <v>417.0</v>
      </c>
      <c r="B5977" s="4">
        <v>2817.0</v>
      </c>
      <c r="C5977" s="5">
        <f t="shared" ref="C5977:C5978" si="2533">DATE(2012,12,31)-1353</f>
        <v>39921</v>
      </c>
      <c r="D5977" s="4" t="s">
        <v>63</v>
      </c>
      <c r="E5977" s="4">
        <v>14.0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2"/>
        <v>39922</v>
      </c>
    </row>
    <row r="5978" ht="12.75" customHeight="1">
      <c r="A5978" s="4">
        <v>418.0</v>
      </c>
      <c r="B5978" s="4">
        <v>2817.0</v>
      </c>
      <c r="C5978" s="5">
        <f t="shared" si="2533"/>
        <v>39921</v>
      </c>
      <c r="D5978" s="4" t="s">
        <v>63</v>
      </c>
      <c r="E5978" s="4">
        <v>40.0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ht="12.75" customHeight="1">
      <c r="A5979" s="4">
        <v>426.0</v>
      </c>
      <c r="B5979" s="4">
        <v>2852.0</v>
      </c>
      <c r="C5979" s="5">
        <f t="shared" ref="C5979:C5980" si="2534">DATE(2012,12,31)-1081</f>
        <v>40193</v>
      </c>
      <c r="D5979" s="4" t="s">
        <v>78</v>
      </c>
      <c r="E5979" s="4">
        <v>10.0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ht="12.75" customHeight="1">
      <c r="A5980" s="4">
        <v>427.0</v>
      </c>
      <c r="B5980" s="4">
        <v>2852.0</v>
      </c>
      <c r="C5980" s="5">
        <f t="shared" si="2534"/>
        <v>40193</v>
      </c>
      <c r="D5980" s="4" t="s">
        <v>78</v>
      </c>
      <c r="E5980" s="4">
        <v>42.0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</v>
      </c>
      <c r="U5980" s="5">
        <f>C5980+1</f>
        <v>40194</v>
      </c>
    </row>
    <row r="5981" ht="12.75" customHeight="1">
      <c r="A5981" s="4">
        <v>626.0</v>
      </c>
      <c r="B5981" s="4">
        <v>4359.0</v>
      </c>
      <c r="C5981" s="5">
        <f>DATE(2012,12,31)-1035</f>
        <v>40239</v>
      </c>
      <c r="D5981" s="4" t="s">
        <v>78</v>
      </c>
      <c r="E5981" s="4">
        <v>21.0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ht="12.75" customHeight="1">
      <c r="A5982" s="4">
        <v>1136.0</v>
      </c>
      <c r="B5982" s="4">
        <v>8293.0</v>
      </c>
      <c r="C5982" s="5">
        <f>DATE(2012,12,31)-143</f>
        <v>41131</v>
      </c>
      <c r="D5982" s="4" t="s">
        <v>21</v>
      </c>
      <c r="E5982" s="4">
        <v>22.0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ht="12.75" customHeight="1">
      <c r="A5983" s="4">
        <v>1254.0</v>
      </c>
      <c r="B5983" s="4">
        <v>9095.0</v>
      </c>
      <c r="C5983" s="5">
        <f>DATE(2012,12,31)-570</f>
        <v>40704</v>
      </c>
      <c r="D5983" s="4" t="s">
        <v>30</v>
      </c>
      <c r="E5983" s="4">
        <v>23.0</v>
      </c>
      <c r="F5983" s="4">
        <v>294.91</v>
      </c>
      <c r="G5983" s="4">
        <v>0.03</v>
      </c>
      <c r="H5983" s="4" t="s">
        <v>22</v>
      </c>
      <c r="I5983" s="6">
        <v>-37.27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0.57</v>
      </c>
      <c r="U5983" s="5">
        <f t="shared" ref="U5983:U5984" si="2535">C5983+2</f>
        <v>40706</v>
      </c>
    </row>
    <row r="5984" ht="12.75" customHeight="1">
      <c r="A5984" s="4">
        <v>1276.0</v>
      </c>
      <c r="B5984" s="4">
        <v>9254.0</v>
      </c>
      <c r="C5984" s="5">
        <f>DATE(2012,12,31)-962</f>
        <v>40312</v>
      </c>
      <c r="D5984" s="4" t="s">
        <v>63</v>
      </c>
      <c r="E5984" s="4">
        <v>24.0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5"/>
        <v>40314</v>
      </c>
    </row>
    <row r="5985" ht="12.75" customHeight="1">
      <c r="A5985" s="4">
        <v>1346.0</v>
      </c>
      <c r="B5985" s="4">
        <v>9829.0</v>
      </c>
      <c r="C5985" s="5">
        <f t="shared" ref="C5985:C5986" si="2536">DATE(2012,12,31)-389</f>
        <v>40885</v>
      </c>
      <c r="D5985" s="4" t="s">
        <v>78</v>
      </c>
      <c r="E5985" s="4">
        <v>23.0</v>
      </c>
      <c r="F5985" s="4">
        <v>750.39</v>
      </c>
      <c r="G5985" s="4">
        <v>0.04</v>
      </c>
      <c r="H5985" s="4" t="s">
        <v>22</v>
      </c>
      <c r="I5985" s="6">
        <v>133.705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ht="12.75" customHeight="1">
      <c r="A5986" s="4">
        <v>1347.0</v>
      </c>
      <c r="B5986" s="4">
        <v>9829.0</v>
      </c>
      <c r="C5986" s="5">
        <f t="shared" si="2536"/>
        <v>40885</v>
      </c>
      <c r="D5986" s="4" t="s">
        <v>78</v>
      </c>
      <c r="E5986" s="4">
        <v>4.0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7">C5986+2</f>
        <v>40887</v>
      </c>
    </row>
    <row r="5987" ht="12.75" customHeight="1">
      <c r="A5987" s="4">
        <v>1460.0</v>
      </c>
      <c r="B5987" s="4">
        <v>10528.0</v>
      </c>
      <c r="C5987" s="5">
        <f>DATE(2012,12,31)-1205</f>
        <v>40069</v>
      </c>
      <c r="D5987" s="4" t="s">
        <v>63</v>
      </c>
      <c r="E5987" s="4">
        <v>47.0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7"/>
        <v>40071</v>
      </c>
    </row>
    <row r="5988" ht="12.75" customHeight="1">
      <c r="A5988" s="4">
        <v>1492.0</v>
      </c>
      <c r="B5988" s="4">
        <v>10754.0</v>
      </c>
      <c r="C5988" s="5">
        <f>DATE(2012,12,31)-1020</f>
        <v>40254</v>
      </c>
      <c r="D5988" s="4" t="s">
        <v>21</v>
      </c>
      <c r="E5988" s="4">
        <v>7.0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7"/>
        <v>40256</v>
      </c>
    </row>
    <row r="5989" ht="12.75" customHeight="1">
      <c r="A5989" s="4">
        <v>1541.0</v>
      </c>
      <c r="B5989" s="4">
        <v>11109.0</v>
      </c>
      <c r="C5989" s="5">
        <f>DATE(2012,12,31)-657</f>
        <v>40617</v>
      </c>
      <c r="D5989" s="4" t="s">
        <v>63</v>
      </c>
      <c r="E5989" s="4">
        <v>18.0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8">C5989+1</f>
        <v>40618</v>
      </c>
    </row>
    <row r="5990" ht="12.75" customHeight="1">
      <c r="A5990" s="4">
        <v>1581.0</v>
      </c>
      <c r="B5990" s="4">
        <v>11426.0</v>
      </c>
      <c r="C5990" s="5">
        <f>DATE(2012,12,31)-1334</f>
        <v>39940</v>
      </c>
      <c r="D5990" s="4" t="s">
        <v>63</v>
      </c>
      <c r="E5990" s="4">
        <v>19.0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8"/>
        <v>39941</v>
      </c>
    </row>
    <row r="5991" ht="12.75" customHeight="1">
      <c r="A5991" s="4">
        <v>1797.0</v>
      </c>
      <c r="B5991" s="4">
        <v>12869.0</v>
      </c>
      <c r="C5991" s="5">
        <f>DATE(2012,12,31)-1436</f>
        <v>39838</v>
      </c>
      <c r="D5991" s="4" t="s">
        <v>45</v>
      </c>
      <c r="E5991" s="4">
        <v>15.0</v>
      </c>
      <c r="F5991" s="4">
        <v>1532.482</v>
      </c>
      <c r="G5991" s="4">
        <v>0.1</v>
      </c>
      <c r="H5991" s="4" t="s">
        <v>22</v>
      </c>
      <c r="I5991" s="6">
        <v>-42.999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0.57</v>
      </c>
      <c r="U5991" s="5">
        <f>C5991+3</f>
        <v>39841</v>
      </c>
    </row>
    <row r="5992" ht="12.75" customHeight="1">
      <c r="A5992" s="4">
        <v>1825.0</v>
      </c>
      <c r="B5992" s="4">
        <v>13094.0</v>
      </c>
      <c r="C5992" s="5">
        <f>DATE(2012,12,31)-866</f>
        <v>40408</v>
      </c>
      <c r="D5992" s="4" t="s">
        <v>45</v>
      </c>
      <c r="E5992" s="4">
        <v>7.0</v>
      </c>
      <c r="F5992" s="4">
        <v>283.57</v>
      </c>
      <c r="G5992" s="4">
        <v>0.02</v>
      </c>
      <c r="H5992" s="4" t="s">
        <v>22</v>
      </c>
      <c r="I5992" s="6">
        <v>71.21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ht="12.75" customHeight="1">
      <c r="A5993" s="4">
        <v>2001.0</v>
      </c>
      <c r="B5993" s="4">
        <v>14274.0</v>
      </c>
      <c r="C5993" s="5">
        <f t="shared" ref="C5993:C5995" si="2539">DATE(2012,12,31)-1455</f>
        <v>39819</v>
      </c>
      <c r="D5993" s="4" t="s">
        <v>45</v>
      </c>
      <c r="E5993" s="4">
        <v>23.0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150.98</v>
      </c>
      <c r="K5993" s="4">
        <v>30.0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40">C5993+2</f>
        <v>39821</v>
      </c>
    </row>
    <row r="5994" ht="12.75" customHeight="1">
      <c r="A5994" s="4">
        <v>2002.0</v>
      </c>
      <c r="B5994" s="4">
        <v>14274.0</v>
      </c>
      <c r="C5994" s="5">
        <f t="shared" si="2539"/>
        <v>39819</v>
      </c>
      <c r="D5994" s="4" t="s">
        <v>45</v>
      </c>
      <c r="E5994" s="4">
        <v>46.0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0.58</v>
      </c>
      <c r="U5994" s="5">
        <f t="shared" si="2540"/>
        <v>39821</v>
      </c>
    </row>
    <row r="5995" ht="12.75" customHeight="1">
      <c r="A5995" s="4">
        <v>2003.0</v>
      </c>
      <c r="B5995" s="4">
        <v>14274.0</v>
      </c>
      <c r="C5995" s="5">
        <f t="shared" si="2539"/>
        <v>39819</v>
      </c>
      <c r="D5995" s="4" t="s">
        <v>45</v>
      </c>
      <c r="E5995" s="4">
        <v>2.0</v>
      </c>
      <c r="F5995" s="4">
        <v>61.7185</v>
      </c>
      <c r="G5995" s="4">
        <v>0.03</v>
      </c>
      <c r="H5995" s="4" t="s">
        <v>22</v>
      </c>
      <c r="I5995" s="6">
        <v>-164.043</v>
      </c>
      <c r="J5995" s="4">
        <v>35.99</v>
      </c>
      <c r="K5995" s="4">
        <v>1.1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</v>
      </c>
      <c r="U5995" s="5">
        <f>C5995+1</f>
        <v>39820</v>
      </c>
    </row>
    <row r="5996" ht="12.75" customHeight="1">
      <c r="A5996" s="4">
        <v>2039.0</v>
      </c>
      <c r="B5996" s="4">
        <v>14530.0</v>
      </c>
      <c r="C5996" s="5">
        <f t="shared" ref="C5996:C5998" si="2541">DATE(2012,12,31)-1365</f>
        <v>39909</v>
      </c>
      <c r="D5996" s="4" t="s">
        <v>30</v>
      </c>
      <c r="E5996" s="4">
        <v>17.0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35.0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2">C5996+2</f>
        <v>39911</v>
      </c>
    </row>
    <row r="5997" ht="12.75" customHeight="1">
      <c r="A5997" s="4">
        <v>2040.0</v>
      </c>
      <c r="B5997" s="4">
        <v>14530.0</v>
      </c>
      <c r="C5997" s="5">
        <f t="shared" si="2541"/>
        <v>39909</v>
      </c>
      <c r="D5997" s="4" t="s">
        <v>30</v>
      </c>
      <c r="E5997" s="4">
        <v>49.0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0.57</v>
      </c>
      <c r="U5997" s="5">
        <f t="shared" si="2542"/>
        <v>39911</v>
      </c>
    </row>
    <row r="5998" ht="12.75" customHeight="1">
      <c r="A5998" s="4">
        <v>2041.0</v>
      </c>
      <c r="B5998" s="4">
        <v>14530.0</v>
      </c>
      <c r="C5998" s="5">
        <f t="shared" si="2541"/>
        <v>39909</v>
      </c>
      <c r="D5998" s="4" t="s">
        <v>30</v>
      </c>
      <c r="E5998" s="4">
        <v>44.0</v>
      </c>
      <c r="F5998" s="4">
        <v>4851.5025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0.58</v>
      </c>
      <c r="U5998" s="5">
        <f>C5998+0</f>
        <v>39909</v>
      </c>
    </row>
    <row r="5999" ht="12.75" customHeight="1">
      <c r="A5999" s="4">
        <v>2157.0</v>
      </c>
      <c r="B5999" s="4">
        <v>15462.0</v>
      </c>
      <c r="C5999" s="5">
        <f>DATE(2012,12,31)-674</f>
        <v>40600</v>
      </c>
      <c r="D5999" s="4" t="s">
        <v>78</v>
      </c>
      <c r="E5999" s="4">
        <v>20.0</v>
      </c>
      <c r="F5999" s="4">
        <v>862.64</v>
      </c>
      <c r="G5999" s="4">
        <v>0.08</v>
      </c>
      <c r="H5999" s="4" t="s">
        <v>22</v>
      </c>
      <c r="I5999" s="6">
        <v>320.807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ht="12.75" customHeight="1">
      <c r="A6000" s="4">
        <v>2181.0</v>
      </c>
      <c r="B6000" s="4">
        <v>15715.0</v>
      </c>
      <c r="C6000" s="5">
        <f>DATE(2012,12,31)-77</f>
        <v>41197</v>
      </c>
      <c r="D6000" s="4" t="s">
        <v>78</v>
      </c>
      <c r="E6000" s="4">
        <v>43.0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ht="12.75" customHeight="1">
      <c r="A6001" s="4">
        <v>2231.0</v>
      </c>
      <c r="B6001" s="4">
        <v>16128.0</v>
      </c>
      <c r="C6001" s="5">
        <f>DATE(2012,12,31)-603</f>
        <v>40671</v>
      </c>
      <c r="D6001" s="4" t="s">
        <v>30</v>
      </c>
      <c r="E6001" s="4">
        <v>46.0</v>
      </c>
      <c r="F6001" s="4">
        <v>2968.66</v>
      </c>
      <c r="G6001" s="4">
        <v>0.07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ht="12.75" customHeight="1">
      <c r="A6002" s="4">
        <v>2300.0</v>
      </c>
      <c r="B6002" s="4">
        <v>16579.0</v>
      </c>
      <c r="C6002" s="5">
        <f t="shared" ref="C6002:C6003" si="2543">DATE(2012,12,31)-750</f>
        <v>40524</v>
      </c>
      <c r="D6002" s="4" t="s">
        <v>45</v>
      </c>
      <c r="E6002" s="4">
        <v>33.0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4">C6002+1</f>
        <v>40525</v>
      </c>
    </row>
    <row r="6003" ht="12.75" customHeight="1">
      <c r="A6003" s="4">
        <v>2301.0</v>
      </c>
      <c r="B6003" s="4">
        <v>16579.0</v>
      </c>
      <c r="C6003" s="5">
        <f t="shared" si="2543"/>
        <v>40524</v>
      </c>
      <c r="D6003" s="4" t="s">
        <v>45</v>
      </c>
      <c r="E6003" s="4">
        <v>23.0</v>
      </c>
      <c r="F6003" s="4">
        <v>177.23</v>
      </c>
      <c r="G6003" s="4">
        <v>0.07</v>
      </c>
      <c r="H6003" s="4" t="s">
        <v>22</v>
      </c>
      <c r="I6003" s="6">
        <v>4.94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4"/>
        <v>40525</v>
      </c>
    </row>
    <row r="6004" ht="12.75" customHeight="1">
      <c r="A6004" s="4">
        <v>2348.0</v>
      </c>
      <c r="B6004" s="4">
        <v>16935.0</v>
      </c>
      <c r="C6004" s="5">
        <f t="shared" ref="C6004:C6005" si="2545">DATE(2012,12,31)-16</f>
        <v>41258</v>
      </c>
      <c r="D6004" s="4" t="s">
        <v>45</v>
      </c>
      <c r="E6004" s="4">
        <v>3.0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4"/>
        <v>41259</v>
      </c>
    </row>
    <row r="6005" ht="12.75" customHeight="1">
      <c r="A6005" s="4">
        <v>2349.0</v>
      </c>
      <c r="B6005" s="4">
        <v>16935.0</v>
      </c>
      <c r="C6005" s="5">
        <f t="shared" si="2545"/>
        <v>41258</v>
      </c>
      <c r="D6005" s="4" t="s">
        <v>45</v>
      </c>
      <c r="E6005" s="4">
        <v>43.0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</v>
      </c>
      <c r="U6005" s="5">
        <f>C6005+2</f>
        <v>41260</v>
      </c>
    </row>
    <row r="6006" ht="12.75" customHeight="1">
      <c r="A6006" s="4">
        <v>2620.0</v>
      </c>
      <c r="B6006" s="4">
        <v>18946.0</v>
      </c>
      <c r="C6006" s="5">
        <f>DATE(2012,12,31)-972</f>
        <v>40302</v>
      </c>
      <c r="D6006" s="4" t="s">
        <v>78</v>
      </c>
      <c r="E6006" s="4">
        <v>32.0</v>
      </c>
      <c r="F6006" s="4">
        <v>202.89</v>
      </c>
      <c r="G6006" s="4">
        <v>0.07</v>
      </c>
      <c r="H6006" s="4" t="s">
        <v>22</v>
      </c>
      <c r="I6006" s="6">
        <v>-201.91</v>
      </c>
      <c r="J6006" s="4">
        <v>6.48</v>
      </c>
      <c r="K6006" s="4">
        <v>10.05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ht="12.75" customHeight="1">
      <c r="A6007" s="4">
        <v>2675.0</v>
      </c>
      <c r="B6007" s="4">
        <v>19361.0</v>
      </c>
      <c r="C6007" s="5">
        <f>DATE(2012,12,31)-99</f>
        <v>41175</v>
      </c>
      <c r="D6007" s="4" t="s">
        <v>21</v>
      </c>
      <c r="E6007" s="4">
        <v>21.0</v>
      </c>
      <c r="F6007" s="4">
        <v>535.57</v>
      </c>
      <c r="G6007" s="4">
        <v>0.05</v>
      </c>
      <c r="H6007" s="4" t="s">
        <v>22</v>
      </c>
      <c r="I6007" s="6">
        <v>131.05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ht="12.75" customHeight="1">
      <c r="A6008" s="4">
        <v>2813.0</v>
      </c>
      <c r="B6008" s="4">
        <v>20292.0</v>
      </c>
      <c r="C6008" s="5">
        <f t="shared" ref="C6008:C6009" si="2546">DATE(2012,12,31)-53</f>
        <v>41221</v>
      </c>
      <c r="D6008" s="4" t="s">
        <v>63</v>
      </c>
      <c r="E6008" s="4">
        <v>26.0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ht="12.75" customHeight="1">
      <c r="A6009" s="4">
        <v>2814.0</v>
      </c>
      <c r="B6009" s="4">
        <v>20292.0</v>
      </c>
      <c r="C6009" s="5">
        <f t="shared" si="2546"/>
        <v>41221</v>
      </c>
      <c r="D6009" s="4" t="s">
        <v>63</v>
      </c>
      <c r="E6009" s="4">
        <v>5.0</v>
      </c>
      <c r="F6009" s="4">
        <v>117.13</v>
      </c>
      <c r="G6009" s="4">
        <v>0.0</v>
      </c>
      <c r="H6009" s="4" t="s">
        <v>22</v>
      </c>
      <c r="I6009" s="6">
        <v>-70.47</v>
      </c>
      <c r="J6009" s="4">
        <v>20.95</v>
      </c>
      <c r="K6009" s="4">
        <v>4.0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ht="12.75" customHeight="1">
      <c r="A6010" s="4">
        <v>3003.0</v>
      </c>
      <c r="B6010" s="4">
        <v>21635.0</v>
      </c>
      <c r="C6010" s="5">
        <f>DATE(2012,12,31)-1125</f>
        <v>40149</v>
      </c>
      <c r="D6010" s="4" t="s">
        <v>21</v>
      </c>
      <c r="E6010" s="4">
        <v>2.0</v>
      </c>
      <c r="F6010" s="4">
        <v>65.31</v>
      </c>
      <c r="G6010" s="4">
        <v>0.0</v>
      </c>
      <c r="H6010" s="4" t="s">
        <v>22</v>
      </c>
      <c r="I6010" s="6">
        <v>-34.4195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ht="12.75" customHeight="1">
      <c r="A6011" s="4">
        <v>3045.0</v>
      </c>
      <c r="B6011" s="4">
        <v>21860.0</v>
      </c>
      <c r="C6011" s="5">
        <f>DATE(2012,12,31)-247</f>
        <v>41027</v>
      </c>
      <c r="D6011" s="4" t="s">
        <v>78</v>
      </c>
      <c r="E6011" s="4">
        <v>9.0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4.0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ht="12.75" customHeight="1">
      <c r="A6012" s="4">
        <v>3189.0</v>
      </c>
      <c r="B6012" s="4">
        <v>22882.0</v>
      </c>
      <c r="C6012" s="5">
        <f>DATE(2012,12,31)-840</f>
        <v>40434</v>
      </c>
      <c r="D6012" s="4" t="s">
        <v>78</v>
      </c>
      <c r="E6012" s="4">
        <v>10.0</v>
      </c>
      <c r="F6012" s="4">
        <v>71.24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7">C6012+2</f>
        <v>40436</v>
      </c>
    </row>
    <row r="6013" ht="12.75" customHeight="1">
      <c r="A6013" s="4">
        <v>3480.0</v>
      </c>
      <c r="B6013" s="4">
        <v>24775.0</v>
      </c>
      <c r="C6013" s="5">
        <f t="shared" ref="C6013:C6014" si="2548">DATE(2012,12,31)-318</f>
        <v>40956</v>
      </c>
      <c r="D6013" s="4" t="s">
        <v>78</v>
      </c>
      <c r="E6013" s="4">
        <v>15.0</v>
      </c>
      <c r="F6013" s="4">
        <v>1616.66</v>
      </c>
      <c r="G6013" s="4">
        <v>0.0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7"/>
        <v>40958</v>
      </c>
    </row>
    <row r="6014" ht="12.75" customHeight="1">
      <c r="A6014" s="4">
        <v>3481.0</v>
      </c>
      <c r="B6014" s="4">
        <v>24775.0</v>
      </c>
      <c r="C6014" s="5">
        <f t="shared" si="2548"/>
        <v>40956</v>
      </c>
      <c r="D6014" s="4" t="s">
        <v>78</v>
      </c>
      <c r="E6014" s="4">
        <v>6.0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ht="12.75" customHeight="1">
      <c r="A6015" s="4">
        <v>3529.0</v>
      </c>
      <c r="B6015" s="4">
        <v>25120.0</v>
      </c>
      <c r="C6015" s="5">
        <f t="shared" ref="C6015:C6017" si="2549">DATE(2012,12,31)-1426</f>
        <v>39848</v>
      </c>
      <c r="D6015" s="4" t="s">
        <v>63</v>
      </c>
      <c r="E6015" s="4">
        <v>46.0</v>
      </c>
      <c r="F6015" s="4">
        <v>237.15</v>
      </c>
      <c r="G6015" s="4">
        <v>0.0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ht="12.75" customHeight="1">
      <c r="A6016" s="4">
        <v>3530.0</v>
      </c>
      <c r="B6016" s="4">
        <v>25120.0</v>
      </c>
      <c r="C6016" s="5">
        <f t="shared" si="2549"/>
        <v>39848</v>
      </c>
      <c r="D6016" s="4" t="s">
        <v>63</v>
      </c>
      <c r="E6016" s="4">
        <v>22.0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ht="12.75" customHeight="1">
      <c r="A6017" s="4">
        <v>3531.0</v>
      </c>
      <c r="B6017" s="4">
        <v>25120.0</v>
      </c>
      <c r="C6017" s="5">
        <f t="shared" si="2549"/>
        <v>39848</v>
      </c>
      <c r="D6017" s="4" t="s">
        <v>63</v>
      </c>
      <c r="E6017" s="4">
        <v>10.0</v>
      </c>
      <c r="F6017" s="4">
        <v>71.86</v>
      </c>
      <c r="G6017" s="4">
        <v>0.1</v>
      </c>
      <c r="H6017" s="4" t="s">
        <v>22</v>
      </c>
      <c r="I6017" s="6">
        <v>-35.52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ht="12.75" customHeight="1">
      <c r="A6018" s="4">
        <v>3563.0</v>
      </c>
      <c r="B6018" s="4">
        <v>25440.0</v>
      </c>
      <c r="C6018" s="5">
        <f>DATE(2012,12,31)-1424</f>
        <v>39850</v>
      </c>
      <c r="D6018" s="4" t="s">
        <v>30</v>
      </c>
      <c r="E6018" s="4">
        <v>30.0</v>
      </c>
      <c r="F6018" s="4">
        <v>6589.304</v>
      </c>
      <c r="G6018" s="4">
        <v>0.02</v>
      </c>
      <c r="H6018" s="4" t="s">
        <v>31</v>
      </c>
      <c r="I6018" s="6">
        <v>912.48</v>
      </c>
      <c r="J6018" s="4">
        <v>259.71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ht="12.75" customHeight="1">
      <c r="A6019" s="4">
        <v>3608.0</v>
      </c>
      <c r="B6019" s="4">
        <v>25799.0</v>
      </c>
      <c r="C6019" s="5">
        <f>DATE(2012,12,31)-676</f>
        <v>40598</v>
      </c>
      <c r="D6019" s="4" t="s">
        <v>21</v>
      </c>
      <c r="E6019" s="4">
        <v>38.0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ht="12.75" customHeight="1">
      <c r="A6020" s="4">
        <v>3620.0</v>
      </c>
      <c r="B6020" s="4">
        <v>25831.0</v>
      </c>
      <c r="C6020" s="5">
        <f>DATE(2012,12,31)-1204</f>
        <v>40070</v>
      </c>
      <c r="D6020" s="4" t="s">
        <v>63</v>
      </c>
      <c r="E6020" s="4">
        <v>6.0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</v>
      </c>
      <c r="U6020" s="5">
        <f>C6020+2</f>
        <v>40072</v>
      </c>
    </row>
    <row r="6021" ht="12.75" customHeight="1">
      <c r="A6021" s="4">
        <v>4000.0</v>
      </c>
      <c r="B6021" s="4">
        <v>28545.0</v>
      </c>
      <c r="C6021" s="5">
        <f>DATE(2012,12,31)-496</f>
        <v>40778</v>
      </c>
      <c r="D6021" s="4" t="s">
        <v>30</v>
      </c>
      <c r="E6021" s="4">
        <v>15.0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19.99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0.57</v>
      </c>
      <c r="U6021" s="5">
        <f t="shared" ref="U6021:U6022" si="2550">C6021+1</f>
        <v>40779</v>
      </c>
    </row>
    <row r="6022" ht="12.75" customHeight="1">
      <c r="A6022" s="4">
        <v>4060.0</v>
      </c>
      <c r="B6022" s="4">
        <v>28929.0</v>
      </c>
      <c r="C6022" s="5">
        <f t="shared" ref="C6022:C6023" si="2551">DATE(2012,12,31)-83</f>
        <v>41191</v>
      </c>
      <c r="D6022" s="4" t="s">
        <v>63</v>
      </c>
      <c r="E6022" s="4">
        <v>37.0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50"/>
        <v>41192</v>
      </c>
    </row>
    <row r="6023" ht="12.75" customHeight="1">
      <c r="A6023" s="4">
        <v>4061.0</v>
      </c>
      <c r="B6023" s="4">
        <v>28929.0</v>
      </c>
      <c r="C6023" s="5">
        <f t="shared" si="2551"/>
        <v>41191</v>
      </c>
      <c r="D6023" s="4" t="s">
        <v>63</v>
      </c>
      <c r="E6023" s="4">
        <v>46.0</v>
      </c>
      <c r="F6023" s="4">
        <v>723.17</v>
      </c>
      <c r="G6023" s="4">
        <v>0.09</v>
      </c>
      <c r="H6023" s="4" t="s">
        <v>22</v>
      </c>
      <c r="I6023" s="6">
        <v>-154.11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ht="12.75" customHeight="1">
      <c r="A6024" s="4">
        <v>4234.0</v>
      </c>
      <c r="B6024" s="4">
        <v>30083.0</v>
      </c>
      <c r="C6024" s="5">
        <f>DATE(2012,12,31)-1453</f>
        <v>39821</v>
      </c>
      <c r="D6024" s="4" t="s">
        <v>45</v>
      </c>
      <c r="E6024" s="4">
        <v>23.0</v>
      </c>
      <c r="F6024" s="4">
        <v>324.28</v>
      </c>
      <c r="G6024" s="4">
        <v>0.07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0.58</v>
      </c>
      <c r="U6024" s="5">
        <f>C6024+1</f>
        <v>39822</v>
      </c>
    </row>
    <row r="6025" ht="12.75" customHeight="1">
      <c r="A6025" s="4">
        <v>4331.0</v>
      </c>
      <c r="B6025" s="4">
        <v>30853.0</v>
      </c>
      <c r="C6025" s="5">
        <f>DATE(2012,12,31)-523</f>
        <v>40751</v>
      </c>
      <c r="D6025" s="4" t="s">
        <v>63</v>
      </c>
      <c r="E6025" s="4">
        <v>40.0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ht="12.75" customHeight="1">
      <c r="A6026" s="4">
        <v>4345.0</v>
      </c>
      <c r="B6026" s="4">
        <v>30944.0</v>
      </c>
      <c r="C6026" s="5">
        <f>DATE(2012,12,31)-558</f>
        <v>40716</v>
      </c>
      <c r="D6026" s="4" t="s">
        <v>78</v>
      </c>
      <c r="E6026" s="4">
        <v>32.0</v>
      </c>
      <c r="F6026" s="4">
        <v>546.01</v>
      </c>
      <c r="G6026" s="4">
        <v>0.01</v>
      </c>
      <c r="H6026" s="4" t="s">
        <v>22</v>
      </c>
      <c r="I6026" s="6">
        <v>133.5605</v>
      </c>
      <c r="J6026" s="4">
        <v>16.74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ht="12.75" customHeight="1">
      <c r="A6027" s="4">
        <v>4686.0</v>
      </c>
      <c r="B6027" s="4">
        <v>33350.0</v>
      </c>
      <c r="C6027" s="5">
        <f>DATE(2012,12,31)-1259</f>
        <v>40015</v>
      </c>
      <c r="D6027" s="4" t="s">
        <v>45</v>
      </c>
      <c r="E6027" s="4">
        <v>1.0</v>
      </c>
      <c r="F6027" s="4">
        <v>1786.04</v>
      </c>
      <c r="G6027" s="4">
        <v>0.1</v>
      </c>
      <c r="H6027" s="4" t="s">
        <v>22</v>
      </c>
      <c r="I6027" s="6">
        <v>-924.991</v>
      </c>
      <c r="J6027" s="4">
        <v>1889.99</v>
      </c>
      <c r="K6027" s="4">
        <v>19.99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ht="12.75" customHeight="1">
      <c r="A6028" s="4">
        <v>4869.0</v>
      </c>
      <c r="B6028" s="4">
        <v>34660.0</v>
      </c>
      <c r="C6028" s="5">
        <f t="shared" ref="C6028:C6029" si="2552">DATE(2012,12,31)-485</f>
        <v>40789</v>
      </c>
      <c r="D6028" s="4" t="s">
        <v>45</v>
      </c>
      <c r="E6028" s="4">
        <v>4.0</v>
      </c>
      <c r="F6028" s="4">
        <v>24.77</v>
      </c>
      <c r="G6028" s="4">
        <v>0.1</v>
      </c>
      <c r="H6028" s="4" t="s">
        <v>22</v>
      </c>
      <c r="I6028" s="6">
        <v>-17.066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ht="12.75" customHeight="1">
      <c r="A6029" s="4">
        <v>4870.0</v>
      </c>
      <c r="B6029" s="4">
        <v>34660.0</v>
      </c>
      <c r="C6029" s="5">
        <f t="shared" si="2552"/>
        <v>40789</v>
      </c>
      <c r="D6029" s="4" t="s">
        <v>45</v>
      </c>
      <c r="E6029" s="4">
        <v>36.0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3">C6029+2</f>
        <v>40791</v>
      </c>
    </row>
    <row r="6030" ht="12.75" customHeight="1">
      <c r="A6030" s="4">
        <v>4977.0</v>
      </c>
      <c r="B6030" s="4">
        <v>35425.0</v>
      </c>
      <c r="C6030" s="5">
        <f t="shared" ref="C6030:C6031" si="2554">DATE(2012,12,31)-1009</f>
        <v>40265</v>
      </c>
      <c r="D6030" s="4" t="s">
        <v>45</v>
      </c>
      <c r="E6030" s="4">
        <v>25.0</v>
      </c>
      <c r="F6030" s="4">
        <v>100.34</v>
      </c>
      <c r="G6030" s="4">
        <v>0.0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3"/>
        <v>40267</v>
      </c>
    </row>
    <row r="6031" ht="12.75" customHeight="1">
      <c r="A6031" s="4">
        <v>4978.0</v>
      </c>
      <c r="B6031" s="4">
        <v>35425.0</v>
      </c>
      <c r="C6031" s="5">
        <f t="shared" si="2554"/>
        <v>40265</v>
      </c>
      <c r="D6031" s="4" t="s">
        <v>45</v>
      </c>
      <c r="E6031" s="4">
        <v>45.0</v>
      </c>
      <c r="F6031" s="4">
        <v>75.68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3"/>
        <v>40267</v>
      </c>
    </row>
    <row r="6032" ht="12.75" customHeight="1">
      <c r="A6032" s="4">
        <v>5251.0</v>
      </c>
      <c r="B6032" s="4">
        <v>37350.0</v>
      </c>
      <c r="C6032" s="5">
        <f>DATE(2012,12,31)-225</f>
        <v>41049</v>
      </c>
      <c r="D6032" s="4" t="s">
        <v>78</v>
      </c>
      <c r="E6032" s="4">
        <v>7.0</v>
      </c>
      <c r="F6032" s="4">
        <v>163.14</v>
      </c>
      <c r="G6032" s="4">
        <v>0.07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0.57</v>
      </c>
      <c r="U6032" s="5">
        <f>C6032+1</f>
        <v>41050</v>
      </c>
    </row>
    <row r="6033" ht="12.75" customHeight="1">
      <c r="A6033" s="4">
        <v>5307.0</v>
      </c>
      <c r="B6033" s="4">
        <v>37765.0</v>
      </c>
      <c r="C6033" s="5">
        <f t="shared" ref="C6033:C6035" si="2555">DATE(2012,12,31)-37</f>
        <v>41237</v>
      </c>
      <c r="D6033" s="4" t="s">
        <v>21</v>
      </c>
      <c r="E6033" s="4">
        <v>7.0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ht="12.75" customHeight="1">
      <c r="A6034" s="4">
        <v>5308.0</v>
      </c>
      <c r="B6034" s="4">
        <v>37765.0</v>
      </c>
      <c r="C6034" s="5">
        <f t="shared" si="2555"/>
        <v>41237</v>
      </c>
      <c r="D6034" s="4" t="s">
        <v>21</v>
      </c>
      <c r="E6034" s="4">
        <v>18.0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ht="12.75" customHeight="1">
      <c r="A6035" s="4">
        <v>5309.0</v>
      </c>
      <c r="B6035" s="4">
        <v>37765.0</v>
      </c>
      <c r="C6035" s="5">
        <f t="shared" si="2555"/>
        <v>41237</v>
      </c>
      <c r="D6035" s="4" t="s">
        <v>21</v>
      </c>
      <c r="E6035" s="4">
        <v>12.0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30.0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ht="12.75" customHeight="1">
      <c r="A6036" s="4">
        <v>5354.0</v>
      </c>
      <c r="B6036" s="4">
        <v>38050.0</v>
      </c>
      <c r="C6036" s="5">
        <f t="shared" ref="C6036:C6038" si="2556">DATE(2012,12,31)-797</f>
        <v>40477</v>
      </c>
      <c r="D6036" s="4" t="s">
        <v>45</v>
      </c>
      <c r="E6036" s="4">
        <v>31.0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ht="12.75" customHeight="1">
      <c r="A6037" s="4">
        <v>5355.0</v>
      </c>
      <c r="B6037" s="4">
        <v>38050.0</v>
      </c>
      <c r="C6037" s="5">
        <f t="shared" si="2556"/>
        <v>40477</v>
      </c>
      <c r="D6037" s="4" t="s">
        <v>45</v>
      </c>
      <c r="E6037" s="4">
        <v>36.0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</v>
      </c>
      <c r="U6037" s="5">
        <f t="shared" ref="U6037:U6038" si="2557">C6037+2</f>
        <v>40479</v>
      </c>
    </row>
    <row r="6038" ht="12.75" customHeight="1">
      <c r="A6038" s="4">
        <v>5356.0</v>
      </c>
      <c r="B6038" s="4">
        <v>38050.0</v>
      </c>
      <c r="C6038" s="5">
        <f t="shared" si="2556"/>
        <v>40477</v>
      </c>
      <c r="D6038" s="4" t="s">
        <v>45</v>
      </c>
      <c r="E6038" s="4">
        <v>14.0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69.0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7"/>
        <v>40479</v>
      </c>
    </row>
    <row r="6039" ht="12.75" customHeight="1">
      <c r="A6039" s="4">
        <v>5507.0</v>
      </c>
      <c r="B6039" s="4">
        <v>39043.0</v>
      </c>
      <c r="C6039" s="5">
        <f t="shared" ref="C6039:C6040" si="2558">DATE(2012,12,31)-740</f>
        <v>40534</v>
      </c>
      <c r="D6039" s="4" t="s">
        <v>45</v>
      </c>
      <c r="E6039" s="4">
        <v>14.0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9">C6039+1</f>
        <v>40535</v>
      </c>
    </row>
    <row r="6040" ht="12.75" customHeight="1">
      <c r="A6040" s="4">
        <v>5508.0</v>
      </c>
      <c r="B6040" s="4">
        <v>39043.0</v>
      </c>
      <c r="C6040" s="5">
        <f t="shared" si="2558"/>
        <v>40534</v>
      </c>
      <c r="D6040" s="4" t="s">
        <v>45</v>
      </c>
      <c r="E6040" s="4">
        <v>37.0</v>
      </c>
      <c r="F6040" s="4">
        <v>750.89</v>
      </c>
      <c r="G6040" s="4">
        <v>0.07</v>
      </c>
      <c r="H6040" s="4" t="s">
        <v>56</v>
      </c>
      <c r="I6040" s="6">
        <v>-1176.28</v>
      </c>
      <c r="J6040" s="4">
        <v>20.34</v>
      </c>
      <c r="K6040" s="4">
        <v>35.0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9"/>
        <v>40535</v>
      </c>
    </row>
    <row r="6041" ht="12.75" customHeight="1">
      <c r="A6041" s="4">
        <v>5709.0</v>
      </c>
      <c r="B6041" s="4">
        <v>40388.0</v>
      </c>
      <c r="C6041" s="5">
        <f>DATE(2012,12,31)-160</f>
        <v>41114</v>
      </c>
      <c r="D6041" s="4" t="s">
        <v>78</v>
      </c>
      <c r="E6041" s="4">
        <v>17.0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</v>
      </c>
      <c r="U6041" s="5">
        <f t="shared" ref="U6041:U6042" si="2560">C6041+2</f>
        <v>41116</v>
      </c>
    </row>
    <row r="6042" ht="12.75" customHeight="1">
      <c r="A6042" s="4">
        <v>5963.0</v>
      </c>
      <c r="B6042" s="4">
        <v>42309.0</v>
      </c>
      <c r="C6042" s="5">
        <f t="shared" ref="C6042:C6044" si="2561">DATE(2012,12,31)-1243</f>
        <v>40031</v>
      </c>
      <c r="D6042" s="4" t="s">
        <v>21</v>
      </c>
      <c r="E6042" s="4">
        <v>41.0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0.58</v>
      </c>
      <c r="U6042" s="5">
        <f t="shared" si="2560"/>
        <v>40033</v>
      </c>
    </row>
    <row r="6043" ht="12.75" customHeight="1">
      <c r="A6043" s="4">
        <v>5964.0</v>
      </c>
      <c r="B6043" s="4">
        <v>42309.0</v>
      </c>
      <c r="C6043" s="5">
        <f t="shared" si="2561"/>
        <v>40031</v>
      </c>
      <c r="D6043" s="4" t="s">
        <v>21</v>
      </c>
      <c r="E6043" s="4">
        <v>26.0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2">C6043+5</f>
        <v>40036</v>
      </c>
    </row>
    <row r="6044" ht="12.75" customHeight="1">
      <c r="A6044" s="4">
        <v>5965.0</v>
      </c>
      <c r="B6044" s="4">
        <v>42309.0</v>
      </c>
      <c r="C6044" s="5">
        <f t="shared" si="2561"/>
        <v>40031</v>
      </c>
      <c r="D6044" s="4" t="s">
        <v>21</v>
      </c>
      <c r="E6044" s="4">
        <v>38.0</v>
      </c>
      <c r="F6044" s="4">
        <v>6427.258</v>
      </c>
      <c r="G6044" s="4">
        <v>0.08</v>
      </c>
      <c r="H6044" s="4" t="s">
        <v>22</v>
      </c>
      <c r="I6044" s="6">
        <v>1636.407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2"/>
        <v>40036</v>
      </c>
    </row>
    <row r="6045" ht="12.75" customHeight="1">
      <c r="A6045" s="4">
        <v>6033.0</v>
      </c>
      <c r="B6045" s="4">
        <v>42727.0</v>
      </c>
      <c r="C6045" s="5">
        <f t="shared" ref="C6045:C6046" si="2563">DATE(2012,12,31)-612</f>
        <v>40662</v>
      </c>
      <c r="D6045" s="4" t="s">
        <v>45</v>
      </c>
      <c r="E6045" s="4">
        <v>11.0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26.0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4">C6045+1</f>
        <v>40663</v>
      </c>
    </row>
    <row r="6046" ht="12.75" customHeight="1">
      <c r="A6046" s="4">
        <v>6034.0</v>
      </c>
      <c r="B6046" s="4">
        <v>42727.0</v>
      </c>
      <c r="C6046" s="5">
        <f t="shared" si="2563"/>
        <v>40662</v>
      </c>
      <c r="D6046" s="4" t="s">
        <v>45</v>
      </c>
      <c r="E6046" s="4">
        <v>21.0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8.45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</v>
      </c>
      <c r="U6046" s="5">
        <f t="shared" si="2564"/>
        <v>40663</v>
      </c>
    </row>
    <row r="6047" ht="12.75" customHeight="1">
      <c r="A6047" s="4">
        <v>6124.0</v>
      </c>
      <c r="B6047" s="4">
        <v>43363.0</v>
      </c>
      <c r="C6047" s="5">
        <f>DATE(2012,12,31)-483</f>
        <v>40791</v>
      </c>
      <c r="D6047" s="4" t="s">
        <v>78</v>
      </c>
      <c r="E6047" s="4">
        <v>35.0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59.0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</v>
      </c>
      <c r="U6047" s="5">
        <f>C6047+2</f>
        <v>40793</v>
      </c>
    </row>
    <row r="6048" ht="12.75" customHeight="1">
      <c r="A6048" s="4">
        <v>6153.0</v>
      </c>
      <c r="B6048" s="4">
        <v>43556.0</v>
      </c>
      <c r="C6048" s="5">
        <f>DATE(2012,12,31)-162</f>
        <v>41112</v>
      </c>
      <c r="D6048" s="4" t="s">
        <v>21</v>
      </c>
      <c r="E6048" s="4">
        <v>31.0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ht="12.75" customHeight="1">
      <c r="A6049" s="4">
        <v>6364.0</v>
      </c>
      <c r="B6049" s="4">
        <v>45156.0</v>
      </c>
      <c r="C6049" s="5">
        <f t="shared" ref="C6049:C6051" si="2565">DATE(2012,12,31)-688</f>
        <v>40586</v>
      </c>
      <c r="D6049" s="4" t="s">
        <v>21</v>
      </c>
      <c r="E6049" s="4">
        <v>30.0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0.58</v>
      </c>
      <c r="U6049" s="5">
        <f>C6049+0</f>
        <v>40586</v>
      </c>
    </row>
    <row r="6050" ht="12.75" customHeight="1">
      <c r="A6050" s="4">
        <v>6365.0</v>
      </c>
      <c r="B6050" s="4">
        <v>45156.0</v>
      </c>
      <c r="C6050" s="5">
        <f t="shared" si="2565"/>
        <v>40586</v>
      </c>
      <c r="D6050" s="4" t="s">
        <v>21</v>
      </c>
      <c r="E6050" s="4">
        <v>35.0</v>
      </c>
      <c r="F6050" s="4">
        <v>238.08</v>
      </c>
      <c r="G6050" s="4">
        <v>0.07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ht="12.75" customHeight="1">
      <c r="A6051" s="4">
        <v>6366.0</v>
      </c>
      <c r="B6051" s="4">
        <v>45156.0</v>
      </c>
      <c r="C6051" s="5">
        <f t="shared" si="2565"/>
        <v>40586</v>
      </c>
      <c r="D6051" s="4" t="s">
        <v>21</v>
      </c>
      <c r="E6051" s="4">
        <v>14.0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6">C6051+5</f>
        <v>40591</v>
      </c>
    </row>
    <row r="6052" ht="12.75" customHeight="1">
      <c r="A6052" s="4">
        <v>6396.0</v>
      </c>
      <c r="B6052" s="4">
        <v>45410.0</v>
      </c>
      <c r="C6052" s="5">
        <f>DATE(2012,12,31)-1230</f>
        <v>40044</v>
      </c>
      <c r="D6052" s="4" t="s">
        <v>21</v>
      </c>
      <c r="E6052" s="4">
        <v>19.0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19.99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6"/>
        <v>40049</v>
      </c>
    </row>
    <row r="6053" ht="12.75" customHeight="1">
      <c r="A6053" s="4">
        <v>6609.0</v>
      </c>
      <c r="B6053" s="4">
        <v>47014.0</v>
      </c>
      <c r="C6053" s="5">
        <f>DATE(2012,12,31)-232</f>
        <v>41042</v>
      </c>
      <c r="D6053" s="4" t="s">
        <v>78</v>
      </c>
      <c r="E6053" s="4">
        <v>33.0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7">C6053+2</f>
        <v>41044</v>
      </c>
    </row>
    <row r="6054" ht="12.75" customHeight="1">
      <c r="A6054" s="4">
        <v>6733.0</v>
      </c>
      <c r="B6054" s="4">
        <v>47942.0</v>
      </c>
      <c r="C6054" s="5">
        <f t="shared" ref="C6054:C6056" si="2568">DATE(2012,12,31)-1038</f>
        <v>40236</v>
      </c>
      <c r="D6054" s="4" t="s">
        <v>63</v>
      </c>
      <c r="E6054" s="4">
        <v>30.0</v>
      </c>
      <c r="F6054" s="4">
        <v>17034.92</v>
      </c>
      <c r="G6054" s="4">
        <v>0.09</v>
      </c>
      <c r="H6054" s="4" t="s">
        <v>22</v>
      </c>
      <c r="I6054" s="6">
        <v>5916.343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7"/>
        <v>40238</v>
      </c>
    </row>
    <row r="6055" ht="12.75" customHeight="1">
      <c r="A6055" s="4">
        <v>6734.0</v>
      </c>
      <c r="B6055" s="4">
        <v>47942.0</v>
      </c>
      <c r="C6055" s="5">
        <f t="shared" si="2568"/>
        <v>40236</v>
      </c>
      <c r="D6055" s="4" t="s">
        <v>63</v>
      </c>
      <c r="E6055" s="4">
        <v>3.0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7"/>
        <v>40238</v>
      </c>
    </row>
    <row r="6056" ht="12.75" customHeight="1">
      <c r="A6056" s="4">
        <v>6735.0</v>
      </c>
      <c r="B6056" s="4">
        <v>47942.0</v>
      </c>
      <c r="C6056" s="5">
        <f t="shared" si="2568"/>
        <v>40236</v>
      </c>
      <c r="D6056" s="4" t="s">
        <v>63</v>
      </c>
      <c r="E6056" s="4">
        <v>9.0</v>
      </c>
      <c r="F6056" s="4">
        <v>918.7394999999999</v>
      </c>
      <c r="G6056" s="4">
        <v>0.06</v>
      </c>
      <c r="H6056" s="4" t="s">
        <v>56</v>
      </c>
      <c r="I6056" s="6">
        <v>-303.556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 t="shared" ref="U6056:U6058" si="2569">C6056+1</f>
        <v>40237</v>
      </c>
    </row>
    <row r="6057" ht="12.75" customHeight="1">
      <c r="A6057" s="4">
        <v>6755.0</v>
      </c>
      <c r="B6057" s="4">
        <v>48128.0</v>
      </c>
      <c r="C6057" s="5">
        <f>DATE(2012,12,31)-264</f>
        <v>41010</v>
      </c>
      <c r="D6057" s="4" t="s">
        <v>63</v>
      </c>
      <c r="E6057" s="4">
        <v>5.0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9"/>
        <v>41011</v>
      </c>
    </row>
    <row r="6058" ht="12.75" customHeight="1">
      <c r="A6058" s="4">
        <v>6838.0</v>
      </c>
      <c r="B6058" s="4">
        <v>48704.0</v>
      </c>
      <c r="C6058" s="5">
        <f>DATE(2012,12,31)-357</f>
        <v>40917</v>
      </c>
      <c r="D6058" s="4" t="s">
        <v>30</v>
      </c>
      <c r="E6058" s="4">
        <v>11.0</v>
      </c>
      <c r="F6058" s="4">
        <v>1247.8595</v>
      </c>
      <c r="G6058" s="4">
        <v>0.01</v>
      </c>
      <c r="H6058" s="4" t="s">
        <v>22</v>
      </c>
      <c r="I6058" s="6">
        <v>-55.803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0.57</v>
      </c>
      <c r="U6058" s="5">
        <f t="shared" si="2569"/>
        <v>40918</v>
      </c>
    </row>
    <row r="6059" ht="12.75" customHeight="1">
      <c r="A6059" s="4">
        <v>6895.0</v>
      </c>
      <c r="B6059" s="4">
        <v>49155.0</v>
      </c>
      <c r="C6059" s="5">
        <f>DATE(2012,12,31)-835</f>
        <v>40439</v>
      </c>
      <c r="D6059" s="4" t="s">
        <v>21</v>
      </c>
      <c r="E6059" s="4">
        <v>22.0</v>
      </c>
      <c r="F6059" s="4">
        <v>3760.3065</v>
      </c>
      <c r="G6059" s="4">
        <v>0.05</v>
      </c>
      <c r="H6059" s="4" t="s">
        <v>22</v>
      </c>
      <c r="I6059" s="6">
        <v>593.181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ht="12.75" customHeight="1">
      <c r="A6060" s="4">
        <v>6935.0</v>
      </c>
      <c r="B6060" s="4">
        <v>49504.0</v>
      </c>
      <c r="C6060" s="5">
        <f>DATE(2012,12,31)-1141</f>
        <v>40133</v>
      </c>
      <c r="D6060" s="4" t="s">
        <v>45</v>
      </c>
      <c r="E6060" s="4">
        <v>45.0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ht="12.75" customHeight="1">
      <c r="A6061" s="4">
        <v>7006.0</v>
      </c>
      <c r="B6061" s="4">
        <v>50016.0</v>
      </c>
      <c r="C6061" s="5">
        <f>DATE(2012,12,31)-1366</f>
        <v>39908</v>
      </c>
      <c r="D6061" s="4" t="s">
        <v>30</v>
      </c>
      <c r="E6061" s="4">
        <v>15.0</v>
      </c>
      <c r="F6061" s="4">
        <v>1093.6355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</v>
      </c>
      <c r="U6061" s="5">
        <f>C6061+2</f>
        <v>39910</v>
      </c>
    </row>
    <row r="6062" ht="12.75" customHeight="1">
      <c r="A6062" s="4">
        <v>7024.0</v>
      </c>
      <c r="B6062" s="4">
        <v>50145.0</v>
      </c>
      <c r="C6062" s="5">
        <f t="shared" ref="C6062:C6063" si="2570">DATE(2012,12,31)-674</f>
        <v>40600</v>
      </c>
      <c r="D6062" s="4" t="s">
        <v>30</v>
      </c>
      <c r="E6062" s="4">
        <v>18.0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ht="12.75" customHeight="1">
      <c r="A6063" s="4">
        <v>7025.0</v>
      </c>
      <c r="B6063" s="4">
        <v>50145.0</v>
      </c>
      <c r="C6063" s="5">
        <f t="shared" si="2570"/>
        <v>40600</v>
      </c>
      <c r="D6063" s="4" t="s">
        <v>30</v>
      </c>
      <c r="E6063" s="4">
        <v>9.0</v>
      </c>
      <c r="F6063" s="4">
        <v>458.8</v>
      </c>
      <c r="G6063" s="4">
        <v>0.0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ht="12.75" customHeight="1">
      <c r="A6064" s="4">
        <v>7080.0</v>
      </c>
      <c r="B6064" s="4">
        <v>50532.0</v>
      </c>
      <c r="C6064" s="5">
        <f t="shared" ref="C6064:C6065" si="2571">DATE(2012,12,31)-139</f>
        <v>41135</v>
      </c>
      <c r="D6064" s="4" t="s">
        <v>63</v>
      </c>
      <c r="E6064" s="4">
        <v>10.0</v>
      </c>
      <c r="F6064" s="4">
        <v>267.06</v>
      </c>
      <c r="G6064" s="4">
        <v>0.02</v>
      </c>
      <c r="H6064" s="4" t="s">
        <v>22</v>
      </c>
      <c r="I6064" s="6">
        <v>76.466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ht="12.75" customHeight="1">
      <c r="A6065" s="4">
        <v>7081.0</v>
      </c>
      <c r="B6065" s="4">
        <v>50532.0</v>
      </c>
      <c r="C6065" s="5">
        <f t="shared" si="2571"/>
        <v>41135</v>
      </c>
      <c r="D6065" s="4" t="s">
        <v>63</v>
      </c>
      <c r="E6065" s="4">
        <v>22.0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4.0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ht="12.75" customHeight="1">
      <c r="A6066" s="4">
        <v>7182.0</v>
      </c>
      <c r="B6066" s="4">
        <v>51266.0</v>
      </c>
      <c r="C6066" s="5">
        <f t="shared" ref="C6066:C6069" si="2572">DATE(2012,12,31)-1377</f>
        <v>39897</v>
      </c>
      <c r="D6066" s="4" t="s">
        <v>45</v>
      </c>
      <c r="E6066" s="4">
        <v>11.0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150.98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ht="12.75" customHeight="1">
      <c r="A6067" s="4">
        <v>7183.0</v>
      </c>
      <c r="B6067" s="4">
        <v>51266.0</v>
      </c>
      <c r="C6067" s="5">
        <f t="shared" si="2572"/>
        <v>39897</v>
      </c>
      <c r="D6067" s="4" t="s">
        <v>45</v>
      </c>
      <c r="E6067" s="4">
        <v>30.0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9.03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ht="12.75" customHeight="1">
      <c r="A6068" s="4">
        <v>7184.0</v>
      </c>
      <c r="B6068" s="4">
        <v>51266.0</v>
      </c>
      <c r="C6068" s="5">
        <f t="shared" si="2572"/>
        <v>39897</v>
      </c>
      <c r="D6068" s="4" t="s">
        <v>45</v>
      </c>
      <c r="E6068" s="4">
        <v>23.0</v>
      </c>
      <c r="F6068" s="4">
        <v>278.83</v>
      </c>
      <c r="G6068" s="4">
        <v>0.03</v>
      </c>
      <c r="H6068" s="4" t="s">
        <v>22</v>
      </c>
      <c r="I6068" s="6">
        <v>35.16</v>
      </c>
      <c r="J6068" s="4">
        <v>12.28</v>
      </c>
      <c r="K6068" s="4">
        <v>4.86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ht="12.75" customHeight="1">
      <c r="A6069" s="4">
        <v>7185.0</v>
      </c>
      <c r="B6069" s="4">
        <v>51266.0</v>
      </c>
      <c r="C6069" s="5">
        <f t="shared" si="2572"/>
        <v>39897</v>
      </c>
      <c r="D6069" s="4" t="s">
        <v>45</v>
      </c>
      <c r="E6069" s="4">
        <v>46.0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ht="12.75" customHeight="1">
      <c r="A6070" s="4">
        <v>7208.0</v>
      </c>
      <c r="B6070" s="4">
        <v>51426.0</v>
      </c>
      <c r="C6070" s="5">
        <f>DATE(2012,12,31)-761</f>
        <v>40513</v>
      </c>
      <c r="D6070" s="4" t="s">
        <v>63</v>
      </c>
      <c r="E6070" s="4">
        <v>41.0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ht="12.75" customHeight="1">
      <c r="A6071" s="4">
        <v>7682.0</v>
      </c>
      <c r="B6071" s="4">
        <v>55045.0</v>
      </c>
      <c r="C6071" s="5">
        <f>DATE(2012,12,31)-1135</f>
        <v>40139</v>
      </c>
      <c r="D6071" s="4" t="s">
        <v>30</v>
      </c>
      <c r="E6071" s="4">
        <v>20.0</v>
      </c>
      <c r="F6071" s="4">
        <v>632.05</v>
      </c>
      <c r="G6071" s="4">
        <v>0.09</v>
      </c>
      <c r="H6071" s="4" t="s">
        <v>22</v>
      </c>
      <c r="I6071" s="6">
        <v>-626.61</v>
      </c>
      <c r="J6071" s="4">
        <v>32.48</v>
      </c>
      <c r="K6071" s="4">
        <v>35.0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ht="12.75" customHeight="1">
      <c r="A6072" s="4">
        <v>7704.0</v>
      </c>
      <c r="B6072" s="4">
        <v>55234.0</v>
      </c>
      <c r="C6072" s="5">
        <f t="shared" ref="C6072:C6073" si="2573">DATE(2012,12,31)-887</f>
        <v>40387</v>
      </c>
      <c r="D6072" s="4" t="s">
        <v>21</v>
      </c>
      <c r="E6072" s="4">
        <v>12.0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ht="12.75" customHeight="1">
      <c r="A6073" s="4">
        <v>7705.0</v>
      </c>
      <c r="B6073" s="4">
        <v>55234.0</v>
      </c>
      <c r="C6073" s="5">
        <f t="shared" si="2573"/>
        <v>40387</v>
      </c>
      <c r="D6073" s="4" t="s">
        <v>21</v>
      </c>
      <c r="E6073" s="4">
        <v>5.0</v>
      </c>
      <c r="F6073" s="4">
        <v>17.06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2.03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0.57</v>
      </c>
      <c r="U6073" s="5">
        <f>C6073+2</f>
        <v>40389</v>
      </c>
    </row>
    <row r="6074" ht="12.75" customHeight="1">
      <c r="A6074" s="4">
        <v>7782.0</v>
      </c>
      <c r="B6074" s="4">
        <v>55683.0</v>
      </c>
      <c r="C6074" s="5">
        <f>DATE(2012,12,31)-169</f>
        <v>41105</v>
      </c>
      <c r="D6074" s="4" t="s">
        <v>30</v>
      </c>
      <c r="E6074" s="4">
        <v>23.0</v>
      </c>
      <c r="F6074" s="4">
        <v>1198.1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19.99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</v>
      </c>
      <c r="U6074" s="5">
        <f>C6074+1</f>
        <v>41106</v>
      </c>
    </row>
    <row r="6075" ht="12.75" customHeight="1">
      <c r="A6075" s="4">
        <v>7817.0</v>
      </c>
      <c r="B6075" s="4">
        <v>55906.0</v>
      </c>
      <c r="C6075" s="5">
        <f t="shared" ref="C6075:C6077" si="2574">DATE(2012,12,31)-1131</f>
        <v>40143</v>
      </c>
      <c r="D6075" s="4" t="s">
        <v>78</v>
      </c>
      <c r="E6075" s="4">
        <v>49.0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ht="12.75" customHeight="1">
      <c r="A6076" s="4">
        <v>7818.0</v>
      </c>
      <c r="B6076" s="4">
        <v>55906.0</v>
      </c>
      <c r="C6076" s="5">
        <f t="shared" si="2574"/>
        <v>40143</v>
      </c>
      <c r="D6076" s="4" t="s">
        <v>78</v>
      </c>
      <c r="E6076" s="4">
        <v>15.0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5">C6076+1</f>
        <v>40144</v>
      </c>
    </row>
    <row r="6077" ht="12.75" customHeight="1">
      <c r="A6077" s="4">
        <v>7819.0</v>
      </c>
      <c r="B6077" s="4">
        <v>55906.0</v>
      </c>
      <c r="C6077" s="5">
        <f t="shared" si="2574"/>
        <v>40143</v>
      </c>
      <c r="D6077" s="4" t="s">
        <v>78</v>
      </c>
      <c r="E6077" s="4">
        <v>42.0</v>
      </c>
      <c r="F6077" s="4">
        <v>2269.01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19.99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5"/>
        <v>40144</v>
      </c>
    </row>
    <row r="6078" ht="12.75" customHeight="1">
      <c r="A6078" s="4">
        <v>7838.0</v>
      </c>
      <c r="B6078" s="4">
        <v>56032.0</v>
      </c>
      <c r="C6078" s="5">
        <f t="shared" ref="C6078:C6079" si="2576">DATE(2012,12,31)-378</f>
        <v>40896</v>
      </c>
      <c r="D6078" s="4" t="s">
        <v>45</v>
      </c>
      <c r="E6078" s="4">
        <v>31.0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ht="12.75" customHeight="1">
      <c r="A6079" s="4">
        <v>7839.0</v>
      </c>
      <c r="B6079" s="4">
        <v>56032.0</v>
      </c>
      <c r="C6079" s="5">
        <f t="shared" si="2576"/>
        <v>40896</v>
      </c>
      <c r="D6079" s="4" t="s">
        <v>45</v>
      </c>
      <c r="E6079" s="4">
        <v>25.0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60.0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</v>
      </c>
      <c r="U6079" s="5">
        <f t="shared" ref="U6079:U6081" si="2577">C6079+2</f>
        <v>40898</v>
      </c>
    </row>
    <row r="6080" ht="12.75" customHeight="1">
      <c r="A6080" s="4">
        <v>7847.0</v>
      </c>
      <c r="B6080" s="4">
        <v>56103.0</v>
      </c>
      <c r="C6080" s="5">
        <f>DATE(2012,12,31)-736</f>
        <v>40538</v>
      </c>
      <c r="D6080" s="4" t="s">
        <v>30</v>
      </c>
      <c r="E6080" s="4">
        <v>24.0</v>
      </c>
      <c r="F6080" s="4">
        <v>2332.5955</v>
      </c>
      <c r="G6080" s="4">
        <v>0.07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0.58</v>
      </c>
      <c r="U6080" s="5">
        <f t="shared" si="2577"/>
        <v>40540</v>
      </c>
    </row>
    <row r="6081" ht="12.75" customHeight="1">
      <c r="A6081" s="4">
        <v>19.0</v>
      </c>
      <c r="B6081" s="4">
        <v>130.0</v>
      </c>
      <c r="C6081" s="5">
        <f t="shared" ref="C6081:C6083" si="2578">DATE(2012,12,31)-238</f>
        <v>41036</v>
      </c>
      <c r="D6081" s="4" t="s">
        <v>30</v>
      </c>
      <c r="E6081" s="4">
        <v>3.0</v>
      </c>
      <c r="F6081" s="4">
        <v>461.89</v>
      </c>
      <c r="G6081" s="4">
        <v>0.05</v>
      </c>
      <c r="H6081" s="4" t="s">
        <v>56</v>
      </c>
      <c r="I6081" s="6">
        <v>-309.8244</v>
      </c>
      <c r="J6081" s="4">
        <v>150.98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7"/>
        <v>41038</v>
      </c>
    </row>
    <row r="6082" ht="12.75" customHeight="1">
      <c r="A6082" s="4">
        <v>20.0</v>
      </c>
      <c r="B6082" s="4">
        <v>130.0</v>
      </c>
      <c r="C6082" s="5">
        <f t="shared" si="2578"/>
        <v>41036</v>
      </c>
      <c r="D6082" s="4" t="s">
        <v>30</v>
      </c>
      <c r="E6082" s="4">
        <v>29.0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9.03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ht="12.75" customHeight="1">
      <c r="A6083" s="4">
        <v>21.0</v>
      </c>
      <c r="B6083" s="4">
        <v>130.0</v>
      </c>
      <c r="C6083" s="5">
        <f t="shared" si="2578"/>
        <v>41036</v>
      </c>
      <c r="D6083" s="4" t="s">
        <v>30</v>
      </c>
      <c r="E6083" s="4">
        <v>23.0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</v>
      </c>
      <c r="K6083" s="4">
        <v>9.45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ht="12.75" customHeight="1">
      <c r="A6084" s="4">
        <v>126.0</v>
      </c>
      <c r="B6084" s="4">
        <v>805.0</v>
      </c>
      <c r="C6084" s="5">
        <f>DATE(2012,12,31)-546</f>
        <v>40728</v>
      </c>
      <c r="D6084" s="4" t="s">
        <v>45</v>
      </c>
      <c r="E6084" s="4">
        <v>39.0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ht="12.75" customHeight="1">
      <c r="A6085" s="4">
        <v>324.0</v>
      </c>
      <c r="B6085" s="4">
        <v>2240.0</v>
      </c>
      <c r="C6085" s="5">
        <f t="shared" ref="C6085:C6086" si="2579">DATE(2012,12,31)-301</f>
        <v>40973</v>
      </c>
      <c r="D6085" s="4" t="s">
        <v>45</v>
      </c>
      <c r="E6085" s="4">
        <v>17.0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0.57</v>
      </c>
      <c r="U6085" s="5">
        <f t="shared" ref="U6085:U6086" si="2580">C6085+1</f>
        <v>40974</v>
      </c>
    </row>
    <row r="6086" ht="12.75" customHeight="1">
      <c r="A6086" s="4">
        <v>325.0</v>
      </c>
      <c r="B6086" s="4">
        <v>2240.0</v>
      </c>
      <c r="C6086" s="5">
        <f t="shared" si="2579"/>
        <v>40973</v>
      </c>
      <c r="D6086" s="4" t="s">
        <v>45</v>
      </c>
      <c r="E6086" s="4">
        <v>5.0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</v>
      </c>
      <c r="U6086" s="5">
        <f t="shared" si="2580"/>
        <v>40974</v>
      </c>
    </row>
    <row r="6087" ht="12.75" customHeight="1">
      <c r="A6087" s="4">
        <v>326.0</v>
      </c>
      <c r="B6087" s="4">
        <v>2241.0</v>
      </c>
      <c r="C6087" s="5">
        <f>DATE(2012,12,31)-966</f>
        <v>40308</v>
      </c>
      <c r="D6087" s="4" t="s">
        <v>78</v>
      </c>
      <c r="E6087" s="4">
        <v>38.0</v>
      </c>
      <c r="F6087" s="4">
        <v>967.78</v>
      </c>
      <c r="G6087" s="4">
        <v>0.04</v>
      </c>
      <c r="H6087" s="4" t="s">
        <v>22</v>
      </c>
      <c r="I6087" s="6">
        <v>369.325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ht="12.75" customHeight="1">
      <c r="A6088" s="4">
        <v>667.0</v>
      </c>
      <c r="B6088" s="4">
        <v>4674.0</v>
      </c>
      <c r="C6088" s="5">
        <f>DATE(2012,12,31)-1353</f>
        <v>39921</v>
      </c>
      <c r="D6088" s="4" t="s">
        <v>78</v>
      </c>
      <c r="E6088" s="4">
        <v>23.0</v>
      </c>
      <c r="F6088" s="4">
        <v>3041.33</v>
      </c>
      <c r="G6088" s="4">
        <v>0.02</v>
      </c>
      <c r="H6088" s="4" t="s">
        <v>31</v>
      </c>
      <c r="I6088" s="6">
        <v>-260.41</v>
      </c>
      <c r="J6088" s="4">
        <v>130.98</v>
      </c>
      <c r="K6088" s="4">
        <v>30.0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1">C6088+1</f>
        <v>39922</v>
      </c>
    </row>
    <row r="6089" ht="12.75" customHeight="1">
      <c r="A6089" s="4">
        <v>676.0</v>
      </c>
      <c r="B6089" s="4">
        <v>4737.0</v>
      </c>
      <c r="C6089" s="5">
        <f>DATE(2012,12,31)-1027</f>
        <v>40247</v>
      </c>
      <c r="D6089" s="4" t="s">
        <v>45</v>
      </c>
      <c r="E6089" s="4">
        <v>49.0</v>
      </c>
      <c r="F6089" s="4">
        <v>314.21</v>
      </c>
      <c r="G6089" s="4">
        <v>0.0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1"/>
        <v>40248</v>
      </c>
    </row>
    <row r="6090" ht="12.75" customHeight="1">
      <c r="A6090" s="4">
        <v>727.0</v>
      </c>
      <c r="B6090" s="4">
        <v>5221.0</v>
      </c>
      <c r="C6090" s="5">
        <f>DATE(2012,12,31)-572</f>
        <v>40702</v>
      </c>
      <c r="D6090" s="4" t="s">
        <v>45</v>
      </c>
      <c r="E6090" s="4">
        <v>48.0</v>
      </c>
      <c r="F6090" s="4">
        <v>1347.63</v>
      </c>
      <c r="G6090" s="4">
        <v>0.07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ht="12.75" customHeight="1">
      <c r="A6091" s="4">
        <v>781.0</v>
      </c>
      <c r="B6091" s="4">
        <v>5568.0</v>
      </c>
      <c r="C6091" s="5">
        <f>DATE(2012,12,31)-574</f>
        <v>40700</v>
      </c>
      <c r="D6091" s="4" t="s">
        <v>63</v>
      </c>
      <c r="E6091" s="4">
        <v>8.0</v>
      </c>
      <c r="F6091" s="4">
        <v>120.22</v>
      </c>
      <c r="G6091" s="4">
        <v>0.07</v>
      </c>
      <c r="H6091" s="4" t="s">
        <v>22</v>
      </c>
      <c r="I6091" s="6">
        <v>52.69</v>
      </c>
      <c r="J6091" s="4">
        <v>14.34</v>
      </c>
      <c r="K6091" s="4">
        <v>5.0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ht="12.75" customHeight="1">
      <c r="A6092" s="4">
        <v>842.0</v>
      </c>
      <c r="B6092" s="4">
        <v>6020.0</v>
      </c>
      <c r="C6092" s="5">
        <f>DATE(2012,12,31)-1197</f>
        <v>40077</v>
      </c>
      <c r="D6092" s="4" t="s">
        <v>63</v>
      </c>
      <c r="E6092" s="4">
        <v>23.0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ht="12.75" customHeight="1">
      <c r="A6093" s="4">
        <v>849.0</v>
      </c>
      <c r="B6093" s="4">
        <v>6112.0</v>
      </c>
      <c r="C6093" s="5">
        <f t="shared" ref="C6093:C6094" si="2582">DATE(2012,12,31)-1226</f>
        <v>40048</v>
      </c>
      <c r="D6093" s="4" t="s">
        <v>63</v>
      </c>
      <c r="E6093" s="4">
        <v>10.0</v>
      </c>
      <c r="F6093" s="4">
        <v>1597.37</v>
      </c>
      <c r="G6093" s="4">
        <v>0.02</v>
      </c>
      <c r="H6093" s="4" t="s">
        <v>31</v>
      </c>
      <c r="I6093" s="6">
        <v>-533.69</v>
      </c>
      <c r="J6093" s="4">
        <v>146.05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ht="12.75" customHeight="1">
      <c r="A6094" s="4">
        <v>850.0</v>
      </c>
      <c r="B6094" s="4">
        <v>6112.0</v>
      </c>
      <c r="C6094" s="5">
        <f t="shared" si="2582"/>
        <v>40048</v>
      </c>
      <c r="D6094" s="4" t="s">
        <v>63</v>
      </c>
      <c r="E6094" s="4">
        <v>31.0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65.99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</v>
      </c>
      <c r="U6094" s="5">
        <f>C6094+1</f>
        <v>40049</v>
      </c>
    </row>
    <row r="6095" ht="12.75" customHeight="1">
      <c r="A6095" s="4">
        <v>871.0</v>
      </c>
      <c r="B6095" s="4">
        <v>6272.0</v>
      </c>
      <c r="C6095" s="5">
        <f t="shared" ref="C6095:C6098" si="2583">DATE(2012,12,31)-1038</f>
        <v>40236</v>
      </c>
      <c r="D6095" s="4" t="s">
        <v>30</v>
      </c>
      <c r="E6095" s="4">
        <v>33.0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4">C6095+2</f>
        <v>40238</v>
      </c>
    </row>
    <row r="6096" ht="12.75" customHeight="1">
      <c r="A6096" s="4">
        <v>872.0</v>
      </c>
      <c r="B6096" s="4">
        <v>6272.0</v>
      </c>
      <c r="C6096" s="5">
        <f t="shared" si="2583"/>
        <v>40236</v>
      </c>
      <c r="D6096" s="4" t="s">
        <v>30</v>
      </c>
      <c r="E6096" s="4">
        <v>48.0</v>
      </c>
      <c r="F6096" s="4">
        <v>4965.384</v>
      </c>
      <c r="G6096" s="4">
        <v>0.0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4"/>
        <v>40238</v>
      </c>
    </row>
    <row r="6097" ht="12.75" customHeight="1">
      <c r="A6097" s="4">
        <v>873.0</v>
      </c>
      <c r="B6097" s="4">
        <v>6272.0</v>
      </c>
      <c r="C6097" s="5">
        <f t="shared" si="2583"/>
        <v>40236</v>
      </c>
      <c r="D6097" s="4" t="s">
        <v>30</v>
      </c>
      <c r="E6097" s="4">
        <v>8.0</v>
      </c>
      <c r="F6097" s="4">
        <v>358.4195</v>
      </c>
      <c r="G6097" s="4">
        <v>0.09</v>
      </c>
      <c r="H6097" s="4" t="s">
        <v>56</v>
      </c>
      <c r="I6097" s="6">
        <v>-275.055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4"/>
        <v>40238</v>
      </c>
    </row>
    <row r="6098" ht="12.75" customHeight="1">
      <c r="A6098" s="4">
        <v>874.0</v>
      </c>
      <c r="B6098" s="4">
        <v>6272.0</v>
      </c>
      <c r="C6098" s="5">
        <f t="shared" si="2583"/>
        <v>40236</v>
      </c>
      <c r="D6098" s="4" t="s">
        <v>30</v>
      </c>
      <c r="E6098" s="4">
        <v>31.0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4"/>
        <v>40238</v>
      </c>
    </row>
    <row r="6099" ht="12.75" customHeight="1">
      <c r="A6099" s="4">
        <v>904.0</v>
      </c>
      <c r="B6099" s="4">
        <v>6501.0</v>
      </c>
      <c r="C6099" s="5">
        <f t="shared" ref="C6099:C6100" si="2585">DATE(2012,12,31)-353</f>
        <v>40921</v>
      </c>
      <c r="D6099" s="4" t="s">
        <v>30</v>
      </c>
      <c r="E6099" s="4">
        <v>35.0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4"/>
        <v>40923</v>
      </c>
    </row>
    <row r="6100" ht="12.75" customHeight="1">
      <c r="A6100" s="4">
        <v>905.0</v>
      </c>
      <c r="B6100" s="4">
        <v>6501.0</v>
      </c>
      <c r="C6100" s="5">
        <f t="shared" si="2585"/>
        <v>40921</v>
      </c>
      <c r="D6100" s="4" t="s">
        <v>30</v>
      </c>
      <c r="E6100" s="4">
        <v>46.0</v>
      </c>
      <c r="F6100" s="4">
        <v>4617.335999999999</v>
      </c>
      <c r="G6100" s="4">
        <v>0.09</v>
      </c>
      <c r="H6100" s="4" t="s">
        <v>22</v>
      </c>
      <c r="I6100" s="6">
        <v>978.3539999999999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0.58</v>
      </c>
      <c r="U6100" s="5">
        <f t="shared" si="2584"/>
        <v>40923</v>
      </c>
    </row>
    <row r="6101" ht="12.75" customHeight="1">
      <c r="A6101" s="4">
        <v>908.0</v>
      </c>
      <c r="B6101" s="4">
        <v>6529.0</v>
      </c>
      <c r="C6101" s="5">
        <f>DATE(2012,12,31)-35</f>
        <v>41239</v>
      </c>
      <c r="D6101" s="4" t="s">
        <v>63</v>
      </c>
      <c r="E6101" s="4">
        <v>35.0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4"/>
        <v>41241</v>
      </c>
    </row>
    <row r="6102" ht="12.75" customHeight="1">
      <c r="A6102" s="4">
        <v>994.0</v>
      </c>
      <c r="B6102" s="4">
        <v>7171.0</v>
      </c>
      <c r="C6102" s="5">
        <f t="shared" ref="C6102:C6103" si="2586">DATE(2012,12,31)-687</f>
        <v>40587</v>
      </c>
      <c r="D6102" s="4" t="s">
        <v>63</v>
      </c>
      <c r="E6102" s="4">
        <v>28.0</v>
      </c>
      <c r="F6102" s="4">
        <v>1703.8505</v>
      </c>
      <c r="G6102" s="4">
        <v>0.0</v>
      </c>
      <c r="H6102" s="4" t="s">
        <v>22</v>
      </c>
      <c r="I6102" s="6">
        <v>316.062</v>
      </c>
      <c r="J6102" s="4">
        <v>65.99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0.58</v>
      </c>
      <c r="U6102" s="5">
        <f t="shared" si="2584"/>
        <v>40589</v>
      </c>
    </row>
    <row r="6103" ht="12.75" customHeight="1">
      <c r="A6103" s="4">
        <v>995.0</v>
      </c>
      <c r="B6103" s="4">
        <v>7171.0</v>
      </c>
      <c r="C6103" s="5">
        <f t="shared" si="2586"/>
        <v>40587</v>
      </c>
      <c r="D6103" s="4" t="s">
        <v>63</v>
      </c>
      <c r="E6103" s="4">
        <v>17.0</v>
      </c>
      <c r="F6103" s="4">
        <v>303.18649999999997</v>
      </c>
      <c r="G6103" s="4">
        <v>0.02</v>
      </c>
      <c r="H6103" s="4" t="s">
        <v>22</v>
      </c>
      <c r="I6103" s="6">
        <v>92.592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4"/>
        <v>40589</v>
      </c>
    </row>
    <row r="6104" ht="12.75" customHeight="1">
      <c r="A6104" s="4">
        <v>1058.0</v>
      </c>
      <c r="B6104" s="4">
        <v>7815.0</v>
      </c>
      <c r="C6104" s="5">
        <f>DATE(2012,12,31)-1439</f>
        <v>39835</v>
      </c>
      <c r="D6104" s="4" t="s">
        <v>78</v>
      </c>
      <c r="E6104" s="4">
        <v>6.0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32.98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ht="12.75" customHeight="1">
      <c r="A6105" s="4">
        <v>1360.0</v>
      </c>
      <c r="B6105" s="4">
        <v>9921.0</v>
      </c>
      <c r="C6105" s="5">
        <f>DATE(2012,12,31)-597</f>
        <v>40677</v>
      </c>
      <c r="D6105" s="4" t="s">
        <v>21</v>
      </c>
      <c r="E6105" s="4">
        <v>23.0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ht="12.75" customHeight="1">
      <c r="A6106" s="4">
        <v>1386.0</v>
      </c>
      <c r="B6106" s="4">
        <v>10053.0</v>
      </c>
      <c r="C6106" s="5">
        <f t="shared" ref="C6106:C6107" si="2587">DATE(2012,12,31)-356</f>
        <v>40918</v>
      </c>
      <c r="D6106" s="4" t="s">
        <v>30</v>
      </c>
      <c r="E6106" s="4">
        <v>31.0</v>
      </c>
      <c r="F6106" s="4">
        <v>162.58</v>
      </c>
      <c r="G6106" s="4">
        <v>0.0</v>
      </c>
      <c r="H6106" s="4" t="s">
        <v>22</v>
      </c>
      <c r="I6106" s="6">
        <v>-109.86</v>
      </c>
      <c r="J6106" s="4">
        <v>4.89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ht="12.75" customHeight="1">
      <c r="A6107" s="4">
        <v>1387.0</v>
      </c>
      <c r="B6107" s="4">
        <v>10053.0</v>
      </c>
      <c r="C6107" s="5">
        <f t="shared" si="2587"/>
        <v>40918</v>
      </c>
      <c r="D6107" s="4" t="s">
        <v>30</v>
      </c>
      <c r="E6107" s="4">
        <v>44.0</v>
      </c>
      <c r="F6107" s="4">
        <v>6815.23</v>
      </c>
      <c r="G6107" s="4">
        <v>0.0</v>
      </c>
      <c r="H6107" s="4" t="s">
        <v>31</v>
      </c>
      <c r="I6107" s="6">
        <v>-196.07</v>
      </c>
      <c r="J6107" s="4">
        <v>150.98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ht="12.75" customHeight="1">
      <c r="A6108" s="4">
        <v>1422.0</v>
      </c>
      <c r="B6108" s="4">
        <v>10309.0</v>
      </c>
      <c r="C6108" s="5">
        <f>DATE(2012,12,31)-1136</f>
        <v>40138</v>
      </c>
      <c r="D6108" s="4" t="s">
        <v>21</v>
      </c>
      <c r="E6108" s="4">
        <v>23.0</v>
      </c>
      <c r="F6108" s="4">
        <v>496.15</v>
      </c>
      <c r="G6108" s="4">
        <v>0.03</v>
      </c>
      <c r="H6108" s="4" t="s">
        <v>22</v>
      </c>
      <c r="I6108" s="6">
        <v>213.3755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ht="12.75" customHeight="1">
      <c r="A6109" s="4">
        <v>1517.0</v>
      </c>
      <c r="B6109" s="4">
        <v>10978.0</v>
      </c>
      <c r="C6109" s="5">
        <f>DATE(2012,12,31)-1370</f>
        <v>39904</v>
      </c>
      <c r="D6109" s="4" t="s">
        <v>78</v>
      </c>
      <c r="E6109" s="4">
        <v>9.0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30.0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ht="12.75" customHeight="1">
      <c r="A6110" s="4">
        <v>1518.0</v>
      </c>
      <c r="B6110" s="4">
        <v>10979.0</v>
      </c>
      <c r="C6110" s="5">
        <f t="shared" ref="C6110:C6111" si="2588">DATE(2012,12,31)-454</f>
        <v>40820</v>
      </c>
      <c r="D6110" s="4" t="s">
        <v>63</v>
      </c>
      <c r="E6110" s="4">
        <v>15.0</v>
      </c>
      <c r="F6110" s="4">
        <v>486.43</v>
      </c>
      <c r="G6110" s="4">
        <v>0.0</v>
      </c>
      <c r="H6110" s="4" t="s">
        <v>22</v>
      </c>
      <c r="I6110" s="6">
        <v>285.35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9">C6110+2</f>
        <v>40822</v>
      </c>
    </row>
    <row r="6111" ht="12.75" customHeight="1">
      <c r="A6111" s="4">
        <v>1519.0</v>
      </c>
      <c r="B6111" s="4">
        <v>10979.0</v>
      </c>
      <c r="C6111" s="5">
        <f t="shared" si="2588"/>
        <v>40820</v>
      </c>
      <c r="D6111" s="4" t="s">
        <v>63</v>
      </c>
      <c r="E6111" s="4">
        <v>7.0</v>
      </c>
      <c r="F6111" s="4">
        <v>144.95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9"/>
        <v>40822</v>
      </c>
    </row>
    <row r="6112" ht="12.75" customHeight="1">
      <c r="A6112" s="4">
        <v>1540.0</v>
      </c>
      <c r="B6112" s="4">
        <v>11108.0</v>
      </c>
      <c r="C6112" s="5">
        <f>DATE(2012,12,31)-137</f>
        <v>41137</v>
      </c>
      <c r="D6112" s="4" t="s">
        <v>45</v>
      </c>
      <c r="E6112" s="4">
        <v>20.0</v>
      </c>
      <c r="F6112" s="4">
        <v>131.71</v>
      </c>
      <c r="G6112" s="4">
        <v>0.1</v>
      </c>
      <c r="H6112" s="4" t="s">
        <v>22</v>
      </c>
      <c r="I6112" s="6">
        <v>-44.0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9"/>
        <v>41139</v>
      </c>
    </row>
    <row r="6113" ht="12.75" customHeight="1">
      <c r="A6113" s="4">
        <v>1670.0</v>
      </c>
      <c r="B6113" s="4">
        <v>12067.0</v>
      </c>
      <c r="C6113" s="5">
        <f t="shared" ref="C6113:C6117" si="2590">DATE(2012,12,31)-1061</f>
        <v>40213</v>
      </c>
      <c r="D6113" s="4" t="s">
        <v>78</v>
      </c>
      <c r="E6113" s="4">
        <v>45.0</v>
      </c>
      <c r="F6113" s="4">
        <v>271.06</v>
      </c>
      <c r="G6113" s="4">
        <v>0.0</v>
      </c>
      <c r="H6113" s="4" t="s">
        <v>22</v>
      </c>
      <c r="I6113" s="6">
        <v>-76.6015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ht="12.75" customHeight="1">
      <c r="A6114" s="4">
        <v>1671.0</v>
      </c>
      <c r="B6114" s="4">
        <v>12067.0</v>
      </c>
      <c r="C6114" s="5">
        <f t="shared" si="2590"/>
        <v>40213</v>
      </c>
      <c r="D6114" s="4" t="s">
        <v>78</v>
      </c>
      <c r="E6114" s="4">
        <v>6.0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1">C6114+1</f>
        <v>40214</v>
      </c>
    </row>
    <row r="6115" ht="12.75" customHeight="1">
      <c r="A6115" s="4">
        <v>1672.0</v>
      </c>
      <c r="B6115" s="4">
        <v>12067.0</v>
      </c>
      <c r="C6115" s="5">
        <f t="shared" si="2590"/>
        <v>40213</v>
      </c>
      <c r="D6115" s="4" t="s">
        <v>78</v>
      </c>
      <c r="E6115" s="4">
        <v>12.0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1"/>
        <v>40214</v>
      </c>
    </row>
    <row r="6116" ht="12.75" customHeight="1">
      <c r="A6116" s="4">
        <v>1673.0</v>
      </c>
      <c r="B6116" s="4">
        <v>12067.0</v>
      </c>
      <c r="C6116" s="5">
        <f t="shared" si="2590"/>
        <v>40213</v>
      </c>
      <c r="D6116" s="4" t="s">
        <v>78</v>
      </c>
      <c r="E6116" s="4">
        <v>9.0</v>
      </c>
      <c r="F6116" s="4">
        <v>75.26</v>
      </c>
      <c r="G6116" s="4">
        <v>0.01</v>
      </c>
      <c r="H6116" s="4" t="s">
        <v>22</v>
      </c>
      <c r="I6116" s="6">
        <v>-17.24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1"/>
        <v>40214</v>
      </c>
    </row>
    <row r="6117" ht="12.75" customHeight="1">
      <c r="A6117" s="4">
        <v>1674.0</v>
      </c>
      <c r="B6117" s="4">
        <v>12067.0</v>
      </c>
      <c r="C6117" s="5">
        <f t="shared" si="2590"/>
        <v>40213</v>
      </c>
      <c r="D6117" s="4" t="s">
        <v>78</v>
      </c>
      <c r="E6117" s="4">
        <v>7.0</v>
      </c>
      <c r="F6117" s="4">
        <v>407.116</v>
      </c>
      <c r="G6117" s="4">
        <v>0.08</v>
      </c>
      <c r="H6117" s="4" t="s">
        <v>22</v>
      </c>
      <c r="I6117" s="6">
        <v>-289.806</v>
      </c>
      <c r="J6117" s="4">
        <v>65.99</v>
      </c>
      <c r="K6117" s="4">
        <v>19.99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1"/>
        <v>40214</v>
      </c>
    </row>
    <row r="6118" ht="12.75" customHeight="1">
      <c r="A6118" s="4">
        <v>1788.0</v>
      </c>
      <c r="B6118" s="4">
        <v>12804.0</v>
      </c>
      <c r="C6118" s="5">
        <f t="shared" ref="C6118:C6120" si="2592">DATE(2012,12,31)-220</f>
        <v>41054</v>
      </c>
      <c r="D6118" s="4" t="s">
        <v>63</v>
      </c>
      <c r="E6118" s="4">
        <v>21.0</v>
      </c>
      <c r="F6118" s="4">
        <v>69.06</v>
      </c>
      <c r="G6118" s="4">
        <v>0.0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ht="12.75" customHeight="1">
      <c r="A6119" s="4">
        <v>1789.0</v>
      </c>
      <c r="B6119" s="4">
        <v>12804.0</v>
      </c>
      <c r="C6119" s="5">
        <f t="shared" si="2592"/>
        <v>41054</v>
      </c>
      <c r="D6119" s="4" t="s">
        <v>63</v>
      </c>
      <c r="E6119" s="4">
        <v>50.0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3">C6119+2</f>
        <v>41056</v>
      </c>
    </row>
    <row r="6120" ht="12.75" customHeight="1">
      <c r="A6120" s="4">
        <v>1790.0</v>
      </c>
      <c r="B6120" s="4">
        <v>12804.0</v>
      </c>
      <c r="C6120" s="5">
        <f t="shared" si="2592"/>
        <v>41054</v>
      </c>
      <c r="D6120" s="4" t="s">
        <v>63</v>
      </c>
      <c r="E6120" s="4">
        <v>34.0</v>
      </c>
      <c r="F6120" s="4">
        <v>592.92</v>
      </c>
      <c r="G6120" s="4">
        <v>0.02</v>
      </c>
      <c r="H6120" s="4" t="s">
        <v>56</v>
      </c>
      <c r="I6120" s="6">
        <v>-44.92</v>
      </c>
      <c r="J6120" s="4">
        <v>16.06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3"/>
        <v>41056</v>
      </c>
    </row>
    <row r="6121" ht="12.75" customHeight="1">
      <c r="A6121" s="4">
        <v>1892.0</v>
      </c>
      <c r="B6121" s="4">
        <v>13575.0</v>
      </c>
      <c r="C6121" s="5">
        <f>DATE(2012,12,31)-124</f>
        <v>41150</v>
      </c>
      <c r="D6121" s="4" t="s">
        <v>78</v>
      </c>
      <c r="E6121" s="4">
        <v>15.0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ht="12.75" customHeight="1">
      <c r="A6122" s="4">
        <v>1907.0</v>
      </c>
      <c r="B6122" s="4">
        <v>13635.0</v>
      </c>
      <c r="C6122" s="5">
        <f t="shared" ref="C6122:C6123" si="2594">DATE(2012,12,31)-1340</f>
        <v>39934</v>
      </c>
      <c r="D6122" s="4" t="s">
        <v>78</v>
      </c>
      <c r="E6122" s="4">
        <v>28.0</v>
      </c>
      <c r="F6122" s="4">
        <v>149.0</v>
      </c>
      <c r="G6122" s="4">
        <v>0.06</v>
      </c>
      <c r="H6122" s="4" t="s">
        <v>22</v>
      </c>
      <c r="I6122" s="6">
        <v>-119.48</v>
      </c>
      <c r="J6122" s="4">
        <v>4.98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ht="12.75" customHeight="1">
      <c r="A6123" s="4">
        <v>1908.0</v>
      </c>
      <c r="B6123" s="4">
        <v>13635.0</v>
      </c>
      <c r="C6123" s="5">
        <f t="shared" si="2594"/>
        <v>39934</v>
      </c>
      <c r="D6123" s="4" t="s">
        <v>78</v>
      </c>
      <c r="E6123" s="4">
        <v>49.0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ht="12.75" customHeight="1">
      <c r="A6124" s="4">
        <v>1998.0</v>
      </c>
      <c r="B6124" s="4">
        <v>14245.0</v>
      </c>
      <c r="C6124" s="5">
        <f>DATE(2012,12,31)-1054</f>
        <v>40220</v>
      </c>
      <c r="D6124" s="4" t="s">
        <v>78</v>
      </c>
      <c r="E6124" s="4">
        <v>17.0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</v>
      </c>
      <c r="U6124" s="5">
        <f t="shared" ref="U6124:U6125" si="2595">C6124+1</f>
        <v>40221</v>
      </c>
    </row>
    <row r="6125" ht="12.75" customHeight="1">
      <c r="A6125" s="4">
        <v>2203.0</v>
      </c>
      <c r="B6125" s="4">
        <v>15904.0</v>
      </c>
      <c r="C6125" s="5">
        <f t="shared" ref="C6125:C6126" si="2596">DATE(2012,12,31)-1161</f>
        <v>40113</v>
      </c>
      <c r="D6125" s="4" t="s">
        <v>45</v>
      </c>
      <c r="E6125" s="4">
        <v>39.0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</v>
      </c>
      <c r="U6125" s="5">
        <f t="shared" si="2595"/>
        <v>40114</v>
      </c>
    </row>
    <row r="6126" ht="12.75" customHeight="1">
      <c r="A6126" s="4">
        <v>2204.0</v>
      </c>
      <c r="B6126" s="4">
        <v>15904.0</v>
      </c>
      <c r="C6126" s="5">
        <f t="shared" si="2596"/>
        <v>40113</v>
      </c>
      <c r="D6126" s="4" t="s">
        <v>45</v>
      </c>
      <c r="E6126" s="4">
        <v>49.0</v>
      </c>
      <c r="F6126" s="4">
        <v>1836.84</v>
      </c>
      <c r="G6126" s="4">
        <v>0.09</v>
      </c>
      <c r="H6126" s="4" t="s">
        <v>56</v>
      </c>
      <c r="I6126" s="6">
        <v>129.95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ht="12.75" customHeight="1">
      <c r="A6127" s="4">
        <v>2279.0</v>
      </c>
      <c r="B6127" s="4">
        <v>16422.0</v>
      </c>
      <c r="C6127" s="5">
        <f t="shared" ref="C6127:C6128" si="2597">DATE(2012,12,31)-449</f>
        <v>40825</v>
      </c>
      <c r="D6127" s="4" t="s">
        <v>78</v>
      </c>
      <c r="E6127" s="4">
        <v>40.0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ht="12.75" customHeight="1">
      <c r="A6128" s="4">
        <v>2280.0</v>
      </c>
      <c r="B6128" s="4">
        <v>16422.0</v>
      </c>
      <c r="C6128" s="5">
        <f t="shared" si="2597"/>
        <v>40825</v>
      </c>
      <c r="D6128" s="4" t="s">
        <v>78</v>
      </c>
      <c r="E6128" s="4">
        <v>16.0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8">C6128+2</f>
        <v>40827</v>
      </c>
    </row>
    <row r="6129" ht="12.75" customHeight="1">
      <c r="A6129" s="4">
        <v>2394.0</v>
      </c>
      <c r="B6129" s="4">
        <v>17345.0</v>
      </c>
      <c r="C6129" s="5">
        <f>DATE(2012,12,31)-517</f>
        <v>40757</v>
      </c>
      <c r="D6129" s="4" t="s">
        <v>78</v>
      </c>
      <c r="E6129" s="4">
        <v>23.0</v>
      </c>
      <c r="F6129" s="4">
        <v>195.61</v>
      </c>
      <c r="G6129" s="4">
        <v>0.0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8"/>
        <v>40759</v>
      </c>
    </row>
    <row r="6130" ht="12.75" customHeight="1">
      <c r="A6130" s="4">
        <v>2504.0</v>
      </c>
      <c r="B6130" s="4">
        <v>18208.0</v>
      </c>
      <c r="C6130" s="5">
        <f t="shared" ref="C6130:C6131" si="2599">DATE(2012,12,31)-274</f>
        <v>41000</v>
      </c>
      <c r="D6130" s="4" t="s">
        <v>45</v>
      </c>
      <c r="E6130" s="4">
        <v>34.0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8"/>
        <v>41002</v>
      </c>
    </row>
    <row r="6131" ht="12.75" customHeight="1">
      <c r="A6131" s="4">
        <v>2505.0</v>
      </c>
      <c r="B6131" s="4">
        <v>18208.0</v>
      </c>
      <c r="C6131" s="5">
        <f t="shared" si="2599"/>
        <v>41000</v>
      </c>
      <c r="D6131" s="4" t="s">
        <v>45</v>
      </c>
      <c r="E6131" s="4">
        <v>36.0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8"/>
        <v>41002</v>
      </c>
    </row>
    <row r="6132" ht="12.75" customHeight="1">
      <c r="A6132" s="4">
        <v>2556.0</v>
      </c>
      <c r="B6132" s="4">
        <v>18500.0</v>
      </c>
      <c r="C6132" s="5">
        <f t="shared" ref="C6132:C6134" si="2600">DATE(2012,12,31)-324</f>
        <v>40950</v>
      </c>
      <c r="D6132" s="4" t="s">
        <v>63</v>
      </c>
      <c r="E6132" s="4">
        <v>44.0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1">C6132+1</f>
        <v>40951</v>
      </c>
    </row>
    <row r="6133" ht="12.75" customHeight="1">
      <c r="A6133" s="4">
        <v>2557.0</v>
      </c>
      <c r="B6133" s="4">
        <v>18500.0</v>
      </c>
      <c r="C6133" s="5">
        <f t="shared" si="2600"/>
        <v>40950</v>
      </c>
      <c r="D6133" s="4" t="s">
        <v>63</v>
      </c>
      <c r="E6133" s="4">
        <v>30.0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32.98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1"/>
        <v>40951</v>
      </c>
    </row>
    <row r="6134" ht="12.75" customHeight="1">
      <c r="A6134" s="4">
        <v>2558.0</v>
      </c>
      <c r="B6134" s="4">
        <v>18500.0</v>
      </c>
      <c r="C6134" s="5">
        <f t="shared" si="2600"/>
        <v>40950</v>
      </c>
      <c r="D6134" s="4" t="s">
        <v>63</v>
      </c>
      <c r="E6134" s="4">
        <v>30.0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35.0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ht="12.75" customHeight="1">
      <c r="A6135" s="4">
        <v>2580.0</v>
      </c>
      <c r="B6135" s="4">
        <v>18597.0</v>
      </c>
      <c r="C6135" s="5">
        <f>DATE(2012,12,31)-827</f>
        <v>40447</v>
      </c>
      <c r="D6135" s="4" t="s">
        <v>63</v>
      </c>
      <c r="E6135" s="4">
        <v>37.0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ht="12.75" customHeight="1">
      <c r="A6136" s="4">
        <v>2605.0</v>
      </c>
      <c r="B6136" s="4">
        <v>18822.0</v>
      </c>
      <c r="C6136" s="5">
        <f>DATE(2012,12,31)-741</f>
        <v>40533</v>
      </c>
      <c r="D6136" s="4" t="s">
        <v>21</v>
      </c>
      <c r="E6136" s="4">
        <v>34.0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65.99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</v>
      </c>
      <c r="U6136" s="5">
        <f>C6136+9</f>
        <v>40542</v>
      </c>
    </row>
    <row r="6137" ht="12.75" customHeight="1">
      <c r="A6137" s="4">
        <v>2661.0</v>
      </c>
      <c r="B6137" s="4">
        <v>19232.0</v>
      </c>
      <c r="C6137" s="5">
        <f t="shared" ref="C6137:C6139" si="2602">DATE(2012,12,31)-1268</f>
        <v>40006</v>
      </c>
      <c r="D6137" s="4" t="s">
        <v>21</v>
      </c>
      <c r="E6137" s="4">
        <v>43.0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ht="12.75" customHeight="1">
      <c r="A6138" s="4">
        <v>2662.0</v>
      </c>
      <c r="B6138" s="4">
        <v>19232.0</v>
      </c>
      <c r="C6138" s="5">
        <f t="shared" si="2602"/>
        <v>40006</v>
      </c>
      <c r="D6138" s="4" t="s">
        <v>21</v>
      </c>
      <c r="E6138" s="4">
        <v>5.0</v>
      </c>
      <c r="F6138" s="4">
        <v>33.41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ht="12.75" customHeight="1">
      <c r="A6139" s="4">
        <v>2663.0</v>
      </c>
      <c r="B6139" s="4">
        <v>19232.0</v>
      </c>
      <c r="C6139" s="5">
        <f t="shared" si="2602"/>
        <v>40006</v>
      </c>
      <c r="D6139" s="4" t="s">
        <v>21</v>
      </c>
      <c r="E6139" s="4">
        <v>28.0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ht="12.75" customHeight="1">
      <c r="A6140" s="4">
        <v>2676.0</v>
      </c>
      <c r="B6140" s="4">
        <v>19363.0</v>
      </c>
      <c r="C6140" s="5">
        <f t="shared" ref="C6140:C6141" si="2603">DATE(2012,12,31)-545</f>
        <v>40729</v>
      </c>
      <c r="D6140" s="4" t="s">
        <v>30</v>
      </c>
      <c r="E6140" s="4">
        <v>44.0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ht="12.75" customHeight="1">
      <c r="A6141" s="4">
        <v>2677.0</v>
      </c>
      <c r="B6141" s="4">
        <v>19363.0</v>
      </c>
      <c r="C6141" s="5">
        <f t="shared" si="2603"/>
        <v>40729</v>
      </c>
      <c r="D6141" s="4" t="s">
        <v>30</v>
      </c>
      <c r="E6141" s="4">
        <v>41.0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4">C6141+2</f>
        <v>40731</v>
      </c>
    </row>
    <row r="6142" ht="12.75" customHeight="1">
      <c r="A6142" s="4">
        <v>2679.0</v>
      </c>
      <c r="B6142" s="4">
        <v>19367.0</v>
      </c>
      <c r="C6142" s="5">
        <f>DATE(2012,12,31)-1351</f>
        <v>39923</v>
      </c>
      <c r="D6142" s="4" t="s">
        <v>30</v>
      </c>
      <c r="E6142" s="4">
        <v>20.0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4"/>
        <v>39925</v>
      </c>
    </row>
    <row r="6143" ht="12.75" customHeight="1">
      <c r="A6143" s="4">
        <v>2755.0</v>
      </c>
      <c r="B6143" s="4">
        <v>19911.0</v>
      </c>
      <c r="C6143" s="5">
        <f t="shared" ref="C6143:C6145" si="2605">DATE(2012,12,31)-452</f>
        <v>40822</v>
      </c>
      <c r="D6143" s="4" t="s">
        <v>30</v>
      </c>
      <c r="E6143" s="4">
        <v>43.0</v>
      </c>
      <c r="F6143" s="4">
        <v>1054.7</v>
      </c>
      <c r="G6143" s="4">
        <v>0.07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ht="12.75" customHeight="1">
      <c r="A6144" s="4">
        <v>2756.0</v>
      </c>
      <c r="B6144" s="4">
        <v>19911.0</v>
      </c>
      <c r="C6144" s="5">
        <f t="shared" si="2605"/>
        <v>40822</v>
      </c>
      <c r="D6144" s="4" t="s">
        <v>30</v>
      </c>
      <c r="E6144" s="4">
        <v>38.0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ht="12.75" customHeight="1">
      <c r="A6145" s="4">
        <v>2757.0</v>
      </c>
      <c r="B6145" s="4">
        <v>19911.0</v>
      </c>
      <c r="C6145" s="5">
        <f t="shared" si="2605"/>
        <v>40822</v>
      </c>
      <c r="D6145" s="4" t="s">
        <v>30</v>
      </c>
      <c r="E6145" s="4">
        <v>39.0</v>
      </c>
      <c r="F6145" s="4">
        <v>4859.37</v>
      </c>
      <c r="G6145" s="4">
        <v>0.07</v>
      </c>
      <c r="H6145" s="4" t="s">
        <v>22</v>
      </c>
      <c r="I6145" s="6">
        <v>2472.32</v>
      </c>
      <c r="J6145" s="4">
        <v>150.98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ht="12.75" customHeight="1">
      <c r="A6146" s="4">
        <v>2848.0</v>
      </c>
      <c r="B6146" s="4">
        <v>20517.0</v>
      </c>
      <c r="C6146" s="5">
        <f>DATE(2012,12,31)-838</f>
        <v>40436</v>
      </c>
      <c r="D6146" s="4" t="s">
        <v>21</v>
      </c>
      <c r="E6146" s="4">
        <v>39.0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0.58</v>
      </c>
      <c r="U6146" s="5">
        <f t="shared" ref="U6146:U6148" si="2606">C6146+2</f>
        <v>40438</v>
      </c>
    </row>
    <row r="6147" ht="12.75" customHeight="1">
      <c r="A6147" s="4">
        <v>2995.0</v>
      </c>
      <c r="B6147" s="4">
        <v>21605.0</v>
      </c>
      <c r="C6147" s="5">
        <f t="shared" ref="C6147:C6148" si="2607">DATE(2012,12,31)-267</f>
        <v>41007</v>
      </c>
      <c r="D6147" s="4" t="s">
        <v>30</v>
      </c>
      <c r="E6147" s="4">
        <v>32.0</v>
      </c>
      <c r="F6147" s="4">
        <v>1932.97</v>
      </c>
      <c r="G6147" s="4">
        <v>0.08</v>
      </c>
      <c r="H6147" s="4" t="s">
        <v>31</v>
      </c>
      <c r="I6147" s="6">
        <v>-514.94</v>
      </c>
      <c r="J6147" s="4">
        <v>60.98</v>
      </c>
      <c r="K6147" s="4">
        <v>30.0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6"/>
        <v>41009</v>
      </c>
    </row>
    <row r="6148" ht="12.75" customHeight="1">
      <c r="A6148" s="4">
        <v>2996.0</v>
      </c>
      <c r="B6148" s="4">
        <v>21605.0</v>
      </c>
      <c r="C6148" s="5">
        <f t="shared" si="2607"/>
        <v>41007</v>
      </c>
      <c r="D6148" s="4" t="s">
        <v>30</v>
      </c>
      <c r="E6148" s="4">
        <v>46.0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0.57</v>
      </c>
      <c r="U6148" s="5">
        <f t="shared" si="2606"/>
        <v>41009</v>
      </c>
    </row>
    <row r="6149" ht="12.75" customHeight="1">
      <c r="A6149" s="4">
        <v>3040.0</v>
      </c>
      <c r="B6149" s="4">
        <v>21830.0</v>
      </c>
      <c r="C6149" s="5">
        <f>DATE(2012,12,31)-1450</f>
        <v>39824</v>
      </c>
      <c r="D6149" s="4" t="s">
        <v>21</v>
      </c>
      <c r="E6149" s="4">
        <v>19.0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</v>
      </c>
      <c r="U6149" s="5">
        <f>C6149+7</f>
        <v>39831</v>
      </c>
    </row>
    <row r="6150" ht="12.75" customHeight="1">
      <c r="A6150" s="4">
        <v>3086.0</v>
      </c>
      <c r="B6150" s="4">
        <v>22147.0</v>
      </c>
      <c r="C6150" s="5">
        <f>DATE(2012,12,31)-1445</f>
        <v>39829</v>
      </c>
      <c r="D6150" s="4" t="s">
        <v>21</v>
      </c>
      <c r="E6150" s="4">
        <v>37.0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ht="12.75" customHeight="1">
      <c r="A6151" s="4">
        <v>3092.0</v>
      </c>
      <c r="B6151" s="4">
        <v>22182.0</v>
      </c>
      <c r="C6151" s="5">
        <f t="shared" ref="C6151:C6153" si="2608">DATE(2012,12,31)-117</f>
        <v>41157</v>
      </c>
      <c r="D6151" s="4" t="s">
        <v>63</v>
      </c>
      <c r="E6151" s="4">
        <v>4.0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ht="12.75" customHeight="1">
      <c r="A6152" s="4">
        <v>3093.0</v>
      </c>
      <c r="B6152" s="4">
        <v>22182.0</v>
      </c>
      <c r="C6152" s="5">
        <f t="shared" si="2608"/>
        <v>41157</v>
      </c>
      <c r="D6152" s="4" t="s">
        <v>63</v>
      </c>
      <c r="E6152" s="4">
        <v>9.0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4.0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ht="12.75" customHeight="1">
      <c r="A6153" s="4">
        <v>3094.0</v>
      </c>
      <c r="B6153" s="4">
        <v>22182.0</v>
      </c>
      <c r="C6153" s="5">
        <f t="shared" si="2608"/>
        <v>41157</v>
      </c>
      <c r="D6153" s="4" t="s">
        <v>63</v>
      </c>
      <c r="E6153" s="4">
        <v>48.0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0.57</v>
      </c>
      <c r="U6153" s="5">
        <f>C6153+2</f>
        <v>41159</v>
      </c>
    </row>
    <row r="6154" ht="12.75" customHeight="1">
      <c r="A6154" s="4">
        <v>3103.0</v>
      </c>
      <c r="B6154" s="4">
        <v>22243.0</v>
      </c>
      <c r="C6154" s="5">
        <f>DATE(2012,12,31)-1446</f>
        <v>39828</v>
      </c>
      <c r="D6154" s="4" t="s">
        <v>78</v>
      </c>
      <c r="E6154" s="4">
        <v>9.0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</v>
      </c>
      <c r="U6154" s="5">
        <f t="shared" ref="U6154:U6155" si="2609">C6154+1</f>
        <v>39829</v>
      </c>
    </row>
    <row r="6155" ht="12.75" customHeight="1">
      <c r="A6155" s="4">
        <v>3218.0</v>
      </c>
      <c r="B6155" s="4">
        <v>23104.0</v>
      </c>
      <c r="C6155" s="5">
        <f t="shared" ref="C6155:C6156" si="2610">DATE(2012,12,31)-632</f>
        <v>40642</v>
      </c>
      <c r="D6155" s="4" t="s">
        <v>63</v>
      </c>
      <c r="E6155" s="4">
        <v>3.0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9"/>
        <v>40643</v>
      </c>
    </row>
    <row r="6156" ht="12.75" customHeight="1">
      <c r="A6156" s="4">
        <v>3219.0</v>
      </c>
      <c r="B6156" s="4">
        <v>23104.0</v>
      </c>
      <c r="C6156" s="5">
        <f t="shared" si="2610"/>
        <v>40642</v>
      </c>
      <c r="D6156" s="4" t="s">
        <v>63</v>
      </c>
      <c r="E6156" s="4">
        <v>24.0</v>
      </c>
      <c r="F6156" s="4">
        <v>142.8</v>
      </c>
      <c r="G6156" s="4">
        <v>0.01</v>
      </c>
      <c r="H6156" s="4" t="s">
        <v>22</v>
      </c>
      <c r="I6156" s="6">
        <v>-25.0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ht="12.75" customHeight="1">
      <c r="A6157" s="4">
        <v>3267.0</v>
      </c>
      <c r="B6157" s="4">
        <v>23363.0</v>
      </c>
      <c r="C6157" s="5">
        <f>DATE(2012,12,31)-216</f>
        <v>41058</v>
      </c>
      <c r="D6157" s="4" t="s">
        <v>21</v>
      </c>
      <c r="E6157" s="4">
        <v>46.0</v>
      </c>
      <c r="F6157" s="4">
        <v>241.81</v>
      </c>
      <c r="G6157" s="4">
        <v>0.02</v>
      </c>
      <c r="H6157" s="4" t="s">
        <v>22</v>
      </c>
      <c r="I6157" s="6">
        <v>-94.829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1">C6157+7</f>
        <v>41065</v>
      </c>
    </row>
    <row r="6158" ht="12.75" customHeight="1">
      <c r="A6158" s="4">
        <v>3298.0</v>
      </c>
      <c r="B6158" s="4">
        <v>23559.0</v>
      </c>
      <c r="C6158" s="5">
        <f t="shared" ref="C6158:C6159" si="2612">DATE(2012,12,31)-897</f>
        <v>40377</v>
      </c>
      <c r="D6158" s="4" t="s">
        <v>21</v>
      </c>
      <c r="E6158" s="4">
        <v>14.0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1"/>
        <v>40384</v>
      </c>
    </row>
    <row r="6159" ht="12.75" customHeight="1">
      <c r="A6159" s="4">
        <v>3299.0</v>
      </c>
      <c r="B6159" s="4">
        <v>23559.0</v>
      </c>
      <c r="C6159" s="5">
        <f t="shared" si="2612"/>
        <v>40377</v>
      </c>
      <c r="D6159" s="4" t="s">
        <v>21</v>
      </c>
      <c r="E6159" s="4">
        <v>9.0</v>
      </c>
      <c r="F6159" s="4">
        <v>173.44</v>
      </c>
      <c r="G6159" s="4">
        <v>0.02</v>
      </c>
      <c r="H6159" s="4" t="s">
        <v>22</v>
      </c>
      <c r="I6159" s="6">
        <v>-34.626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ht="12.75" customHeight="1">
      <c r="A6160" s="4">
        <v>3389.0</v>
      </c>
      <c r="B6160" s="4">
        <v>24160.0</v>
      </c>
      <c r="C6160" s="5">
        <f>DATE(2012,12,31)-699</f>
        <v>40575</v>
      </c>
      <c r="D6160" s="4" t="s">
        <v>63</v>
      </c>
      <c r="E6160" s="4">
        <v>44.0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</v>
      </c>
      <c r="U6160" s="5">
        <f>C6160+1</f>
        <v>40576</v>
      </c>
    </row>
    <row r="6161" ht="12.75" customHeight="1">
      <c r="A6161" s="4">
        <v>3392.0</v>
      </c>
      <c r="B6161" s="4">
        <v>24193.0</v>
      </c>
      <c r="C6161" s="5">
        <f t="shared" ref="C6161:C6163" si="2613">DATE(2012,12,31)-1388</f>
        <v>39886</v>
      </c>
      <c r="D6161" s="4" t="s">
        <v>45</v>
      </c>
      <c r="E6161" s="4">
        <v>45.0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ht="12.75" customHeight="1">
      <c r="A6162" s="4">
        <v>3393.0</v>
      </c>
      <c r="B6162" s="4">
        <v>24193.0</v>
      </c>
      <c r="C6162" s="5">
        <f t="shared" si="2613"/>
        <v>39886</v>
      </c>
      <c r="D6162" s="4" t="s">
        <v>45</v>
      </c>
      <c r="E6162" s="4">
        <v>24.0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ht="12.75" customHeight="1">
      <c r="A6163" s="4">
        <v>3394.0</v>
      </c>
      <c r="B6163" s="4">
        <v>24193.0</v>
      </c>
      <c r="C6163" s="5">
        <f t="shared" si="2613"/>
        <v>39886</v>
      </c>
      <c r="D6163" s="4" t="s">
        <v>45</v>
      </c>
      <c r="E6163" s="4">
        <v>19.0</v>
      </c>
      <c r="F6163" s="4">
        <v>1426.5125</v>
      </c>
      <c r="G6163" s="4">
        <v>0.04</v>
      </c>
      <c r="H6163" s="4" t="s">
        <v>22</v>
      </c>
      <c r="I6163" s="6">
        <v>-175.175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ht="12.75" customHeight="1">
      <c r="A6164" s="4">
        <v>3409.0</v>
      </c>
      <c r="B6164" s="4">
        <v>24352.0</v>
      </c>
      <c r="C6164" s="5">
        <f>DATE(2012,12,31)-966</f>
        <v>40308</v>
      </c>
      <c r="D6164" s="4" t="s">
        <v>78</v>
      </c>
      <c r="E6164" s="4">
        <v>32.0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1.14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ht="12.75" customHeight="1">
      <c r="A6165" s="4">
        <v>3460.0</v>
      </c>
      <c r="B6165" s="4">
        <v>24646.0</v>
      </c>
      <c r="C6165" s="5">
        <f t="shared" ref="C6165:C6166" si="2614">DATE(2012,12,31)-626</f>
        <v>40648</v>
      </c>
      <c r="D6165" s="4" t="s">
        <v>45</v>
      </c>
      <c r="E6165" s="4">
        <v>46.0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ht="12.75" customHeight="1">
      <c r="A6166" s="4">
        <v>3461.0</v>
      </c>
      <c r="B6166" s="4">
        <v>24646.0</v>
      </c>
      <c r="C6166" s="5">
        <f t="shared" si="2614"/>
        <v>40648</v>
      </c>
      <c r="D6166" s="4" t="s">
        <v>45</v>
      </c>
      <c r="E6166" s="4">
        <v>21.0</v>
      </c>
      <c r="F6166" s="4">
        <v>61.18</v>
      </c>
      <c r="G6166" s="4">
        <v>0.0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</v>
      </c>
      <c r="U6166" s="5">
        <f t="shared" ref="U6166:U6169" si="2615">C6166+2</f>
        <v>40650</v>
      </c>
    </row>
    <row r="6167" ht="12.75" customHeight="1">
      <c r="A6167" s="4">
        <v>3508.0</v>
      </c>
      <c r="B6167" s="4">
        <v>24993.0</v>
      </c>
      <c r="C6167" s="5">
        <f>DATE(2012,12,31)-1026</f>
        <v>40248</v>
      </c>
      <c r="D6167" s="4" t="s">
        <v>30</v>
      </c>
      <c r="E6167" s="4">
        <v>36.0</v>
      </c>
      <c r="F6167" s="4">
        <v>1561.2205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5"/>
        <v>40250</v>
      </c>
    </row>
    <row r="6168" ht="12.75" customHeight="1">
      <c r="A6168" s="4">
        <v>3517.0</v>
      </c>
      <c r="B6168" s="4">
        <v>25060.0</v>
      </c>
      <c r="C6168" s="5">
        <f t="shared" ref="C6168:C6169" si="2616">DATE(2012,12,31)-1260</f>
        <v>40014</v>
      </c>
      <c r="D6168" s="4" t="s">
        <v>45</v>
      </c>
      <c r="E6168" s="4">
        <v>6.0</v>
      </c>
      <c r="F6168" s="4">
        <v>7767.02</v>
      </c>
      <c r="G6168" s="4">
        <v>0.03</v>
      </c>
      <c r="H6168" s="4" t="s">
        <v>22</v>
      </c>
      <c r="I6168" s="6">
        <v>2070.617</v>
      </c>
      <c r="J6168" s="4">
        <v>1270.99</v>
      </c>
      <c r="K6168" s="4">
        <v>19.99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5"/>
        <v>40016</v>
      </c>
    </row>
    <row r="6169" ht="12.75" customHeight="1">
      <c r="A6169" s="4">
        <v>3518.0</v>
      </c>
      <c r="B6169" s="4">
        <v>25060.0</v>
      </c>
      <c r="C6169" s="5">
        <f t="shared" si="2616"/>
        <v>40014</v>
      </c>
      <c r="D6169" s="4" t="s">
        <v>45</v>
      </c>
      <c r="E6169" s="4">
        <v>1.0</v>
      </c>
      <c r="F6169" s="4">
        <v>1893.93</v>
      </c>
      <c r="G6169" s="4">
        <v>0.07</v>
      </c>
      <c r="H6169" s="4" t="s">
        <v>31</v>
      </c>
      <c r="I6169" s="6">
        <v>-4654.7349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</v>
      </c>
      <c r="U6169" s="5">
        <f t="shared" si="2615"/>
        <v>40016</v>
      </c>
    </row>
    <row r="6170" ht="12.75" customHeight="1">
      <c r="A6170" s="4">
        <v>3568.0</v>
      </c>
      <c r="B6170" s="4">
        <v>25447.0</v>
      </c>
      <c r="C6170" s="5">
        <f t="shared" ref="C6170:C6171" si="2617">DATE(2012,12,31)-222</f>
        <v>41052</v>
      </c>
      <c r="D6170" s="4" t="s">
        <v>45</v>
      </c>
      <c r="E6170" s="4">
        <v>25.0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ht="12.75" customHeight="1">
      <c r="A6171" s="4">
        <v>3569.0</v>
      </c>
      <c r="B6171" s="4">
        <v>25447.0</v>
      </c>
      <c r="C6171" s="5">
        <f t="shared" si="2617"/>
        <v>41052</v>
      </c>
      <c r="D6171" s="4" t="s">
        <v>45</v>
      </c>
      <c r="E6171" s="4">
        <v>18.0</v>
      </c>
      <c r="F6171" s="4">
        <v>4428.56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ht="12.75" customHeight="1">
      <c r="A6172" s="4">
        <v>3660.0</v>
      </c>
      <c r="B6172" s="4">
        <v>26214.0</v>
      </c>
      <c r="C6172" s="5">
        <f t="shared" ref="C6172:C6173" si="2618">DATE(2012,12,31)-407</f>
        <v>40867</v>
      </c>
      <c r="D6172" s="4" t="s">
        <v>63</v>
      </c>
      <c r="E6172" s="4">
        <v>19.0</v>
      </c>
      <c r="F6172" s="4">
        <v>305.68</v>
      </c>
      <c r="G6172" s="4">
        <v>0.1</v>
      </c>
      <c r="H6172" s="4" t="s">
        <v>56</v>
      </c>
      <c r="I6172" s="6">
        <v>128.17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9">C6172+1</f>
        <v>40868</v>
      </c>
    </row>
    <row r="6173" ht="12.75" customHeight="1">
      <c r="A6173" s="4">
        <v>3661.0</v>
      </c>
      <c r="B6173" s="4">
        <v>26214.0</v>
      </c>
      <c r="C6173" s="5">
        <f t="shared" si="2618"/>
        <v>40867</v>
      </c>
      <c r="D6173" s="4" t="s">
        <v>63</v>
      </c>
      <c r="E6173" s="4">
        <v>41.0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9"/>
        <v>40868</v>
      </c>
    </row>
    <row r="6174" ht="12.75" customHeight="1">
      <c r="A6174" s="4">
        <v>3767.0</v>
      </c>
      <c r="B6174" s="4">
        <v>26913.0</v>
      </c>
      <c r="C6174" s="5">
        <f>DATE(2012,12,31)-1189</f>
        <v>40085</v>
      </c>
      <c r="D6174" s="4" t="s">
        <v>30</v>
      </c>
      <c r="E6174" s="4">
        <v>11.0</v>
      </c>
      <c r="F6174" s="4">
        <v>642.9145</v>
      </c>
      <c r="G6174" s="4">
        <v>0.01</v>
      </c>
      <c r="H6174" s="4" t="s">
        <v>22</v>
      </c>
      <c r="I6174" s="6">
        <v>-118.8</v>
      </c>
      <c r="J6174" s="4">
        <v>65.99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ht="12.75" customHeight="1">
      <c r="A6175" s="4">
        <v>3822.0</v>
      </c>
      <c r="B6175" s="4">
        <v>27265.0</v>
      </c>
      <c r="C6175" s="5">
        <f t="shared" ref="C6175:C6177" si="2620">DATE(2012,12,31)-239</f>
        <v>41035</v>
      </c>
      <c r="D6175" s="4" t="s">
        <v>78</v>
      </c>
      <c r="E6175" s="4">
        <v>49.0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ht="12.75" customHeight="1">
      <c r="A6176" s="4">
        <v>3823.0</v>
      </c>
      <c r="B6176" s="4">
        <v>27265.0</v>
      </c>
      <c r="C6176" s="5">
        <f t="shared" si="2620"/>
        <v>41035</v>
      </c>
      <c r="D6176" s="4" t="s">
        <v>78</v>
      </c>
      <c r="E6176" s="4">
        <v>36.0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19.99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ht="12.75" customHeight="1">
      <c r="A6177" s="4">
        <v>3824.0</v>
      </c>
      <c r="B6177" s="4">
        <v>27265.0</v>
      </c>
      <c r="C6177" s="5">
        <f t="shared" si="2620"/>
        <v>41035</v>
      </c>
      <c r="D6177" s="4" t="s">
        <v>78</v>
      </c>
      <c r="E6177" s="4">
        <v>49.0</v>
      </c>
      <c r="F6177" s="4">
        <v>401.39</v>
      </c>
      <c r="G6177" s="4">
        <v>0.03</v>
      </c>
      <c r="H6177" s="4" t="s">
        <v>56</v>
      </c>
      <c r="I6177" s="6">
        <v>161.95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1">C6177+2</f>
        <v>41037</v>
      </c>
    </row>
    <row r="6178" ht="12.75" customHeight="1">
      <c r="A6178" s="4">
        <v>3855.0</v>
      </c>
      <c r="B6178" s="4">
        <v>27491.0</v>
      </c>
      <c r="C6178" s="5">
        <f t="shared" ref="C6178:C6180" si="2622">DATE(2012,12,31)-1362</f>
        <v>39912</v>
      </c>
      <c r="D6178" s="4" t="s">
        <v>45</v>
      </c>
      <c r="E6178" s="4">
        <v>11.0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19.99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1"/>
        <v>39914</v>
      </c>
    </row>
    <row r="6179" ht="12.75" customHeight="1">
      <c r="A6179" s="4">
        <v>3856.0</v>
      </c>
      <c r="B6179" s="4">
        <v>27491.0</v>
      </c>
      <c r="C6179" s="5">
        <f t="shared" si="2622"/>
        <v>39912</v>
      </c>
      <c r="D6179" s="4" t="s">
        <v>45</v>
      </c>
      <c r="E6179" s="4">
        <v>36.0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ht="12.75" customHeight="1">
      <c r="A6180" s="4">
        <v>3857.0</v>
      </c>
      <c r="B6180" s="4">
        <v>27491.0</v>
      </c>
      <c r="C6180" s="5">
        <f t="shared" si="2622"/>
        <v>39912</v>
      </c>
      <c r="D6180" s="4" t="s">
        <v>45</v>
      </c>
      <c r="E6180" s="4">
        <v>2.0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ht="12.75" customHeight="1">
      <c r="A6181" s="4">
        <v>3907.0</v>
      </c>
      <c r="B6181" s="4">
        <v>27845.0</v>
      </c>
      <c r="C6181" s="5">
        <f>DATE(2012,12,31)-537</f>
        <v>40737</v>
      </c>
      <c r="D6181" s="4" t="s">
        <v>45</v>
      </c>
      <c r="E6181" s="4">
        <v>36.0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ht="12.75" customHeight="1">
      <c r="A6182" s="4">
        <v>4243.0</v>
      </c>
      <c r="B6182" s="4">
        <v>30176.0</v>
      </c>
      <c r="C6182" s="5">
        <f>DATE(2012,12,31)-1352</f>
        <v>39922</v>
      </c>
      <c r="D6182" s="4" t="s">
        <v>21</v>
      </c>
      <c r="E6182" s="4">
        <v>30.0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ht="12.75" customHeight="1">
      <c r="A6183" s="4">
        <v>4270.0</v>
      </c>
      <c r="B6183" s="4">
        <v>30375.0</v>
      </c>
      <c r="C6183" s="5">
        <f>DATE(2012,12,31)-242</f>
        <v>41032</v>
      </c>
      <c r="D6183" s="4" t="s">
        <v>21</v>
      </c>
      <c r="E6183" s="4">
        <v>20.0</v>
      </c>
      <c r="F6183" s="4">
        <v>71.45</v>
      </c>
      <c r="G6183" s="4">
        <v>0.03</v>
      </c>
      <c r="H6183" s="4" t="s">
        <v>22</v>
      </c>
      <c r="I6183" s="6">
        <v>-92.9545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ht="12.75" customHeight="1">
      <c r="A6184" s="4">
        <v>4289.0</v>
      </c>
      <c r="B6184" s="4">
        <v>30565.0</v>
      </c>
      <c r="C6184" s="5">
        <f>DATE(2012,12,31)-524</f>
        <v>40750</v>
      </c>
      <c r="D6184" s="4" t="s">
        <v>63</v>
      </c>
      <c r="E6184" s="4">
        <v>32.0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4.0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ht="12.75" customHeight="1">
      <c r="A6185" s="4">
        <v>4291.0</v>
      </c>
      <c r="B6185" s="4">
        <v>30567.0</v>
      </c>
      <c r="C6185" s="5">
        <f t="shared" ref="C6185:C6188" si="2623">DATE(2012,12,31)-1447</f>
        <v>39827</v>
      </c>
      <c r="D6185" s="4" t="s">
        <v>45</v>
      </c>
      <c r="E6185" s="4">
        <v>14.0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0.58</v>
      </c>
      <c r="U6185" s="5">
        <f>C6185+0</f>
        <v>39827</v>
      </c>
    </row>
    <row r="6186" ht="12.75" customHeight="1">
      <c r="A6186" s="4">
        <v>4292.0</v>
      </c>
      <c r="B6186" s="4">
        <v>30567.0</v>
      </c>
      <c r="C6186" s="5">
        <f t="shared" si="2623"/>
        <v>39827</v>
      </c>
      <c r="D6186" s="4" t="s">
        <v>45</v>
      </c>
      <c r="E6186" s="4">
        <v>8.0</v>
      </c>
      <c r="F6186" s="4">
        <v>733.55</v>
      </c>
      <c r="G6186" s="4">
        <v>0.07</v>
      </c>
      <c r="H6186" s="4" t="s">
        <v>22</v>
      </c>
      <c r="I6186" s="6">
        <v>103.13</v>
      </c>
      <c r="J6186" s="4">
        <v>90.48</v>
      </c>
      <c r="K6186" s="4">
        <v>19.99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ht="12.75" customHeight="1">
      <c r="A6187" s="4">
        <v>4293.0</v>
      </c>
      <c r="B6187" s="4">
        <v>30567.0</v>
      </c>
      <c r="C6187" s="5">
        <f t="shared" si="2623"/>
        <v>39827</v>
      </c>
      <c r="D6187" s="4" t="s">
        <v>45</v>
      </c>
      <c r="E6187" s="4">
        <v>3.0</v>
      </c>
      <c r="F6187" s="4">
        <v>38.71</v>
      </c>
      <c r="G6187" s="4">
        <v>0.01</v>
      </c>
      <c r="H6187" s="4" t="s">
        <v>56</v>
      </c>
      <c r="I6187" s="6">
        <v>23.0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ht="12.75" customHeight="1">
      <c r="A6188" s="4">
        <v>4294.0</v>
      </c>
      <c r="B6188" s="4">
        <v>30567.0</v>
      </c>
      <c r="C6188" s="5">
        <f t="shared" si="2623"/>
        <v>39827</v>
      </c>
      <c r="D6188" s="4" t="s">
        <v>45</v>
      </c>
      <c r="E6188" s="4">
        <v>14.0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</v>
      </c>
      <c r="U6188" s="5">
        <f>C6188+1</f>
        <v>39828</v>
      </c>
    </row>
    <row r="6189" ht="12.75" customHeight="1">
      <c r="A6189" s="4">
        <v>4431.0</v>
      </c>
      <c r="B6189" s="4">
        <v>31586.0</v>
      </c>
      <c r="C6189" s="5">
        <f t="shared" ref="C6189:C6190" si="2624">DATE(2012,12,31)-285</f>
        <v>40989</v>
      </c>
      <c r="D6189" s="4" t="s">
        <v>21</v>
      </c>
      <c r="E6189" s="4">
        <v>22.0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4.0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ht="12.75" customHeight="1">
      <c r="A6190" s="4">
        <v>4432.0</v>
      </c>
      <c r="B6190" s="4">
        <v>31586.0</v>
      </c>
      <c r="C6190" s="5">
        <f t="shared" si="2624"/>
        <v>40989</v>
      </c>
      <c r="D6190" s="4" t="s">
        <v>21</v>
      </c>
      <c r="E6190" s="4">
        <v>25.0</v>
      </c>
      <c r="F6190" s="4">
        <v>4390.0289999999995</v>
      </c>
      <c r="G6190" s="4">
        <v>0.0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</v>
      </c>
      <c r="U6190" s="5">
        <f>C6190+9</f>
        <v>40998</v>
      </c>
    </row>
    <row r="6191" ht="12.75" customHeight="1">
      <c r="A6191" s="4">
        <v>4448.0</v>
      </c>
      <c r="B6191" s="4">
        <v>31687.0</v>
      </c>
      <c r="C6191" s="5">
        <f>DATE(2012,12,31)-592</f>
        <v>40682</v>
      </c>
      <c r="D6191" s="4" t="s">
        <v>30</v>
      </c>
      <c r="E6191" s="4">
        <v>44.0</v>
      </c>
      <c r="F6191" s="4">
        <v>123.06</v>
      </c>
      <c r="G6191" s="4">
        <v>0.07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ht="12.75" customHeight="1">
      <c r="A6192" s="4">
        <v>4470.0</v>
      </c>
      <c r="B6192" s="4">
        <v>31847.0</v>
      </c>
      <c r="C6192" s="5">
        <f>DATE(2012,12,31)-1109</f>
        <v>40165</v>
      </c>
      <c r="D6192" s="4" t="s">
        <v>21</v>
      </c>
      <c r="E6192" s="4">
        <v>46.0</v>
      </c>
      <c r="F6192" s="4">
        <v>1692.28</v>
      </c>
      <c r="G6192" s="4">
        <v>0.1</v>
      </c>
      <c r="H6192" s="4" t="s">
        <v>22</v>
      </c>
      <c r="I6192" s="6">
        <v>61.0</v>
      </c>
      <c r="J6192" s="4">
        <v>39.98</v>
      </c>
      <c r="K6192" s="4">
        <v>4.0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ht="12.75" customHeight="1">
      <c r="A6193" s="4">
        <v>4612.0</v>
      </c>
      <c r="B6193" s="4">
        <v>32868.0</v>
      </c>
      <c r="C6193" s="5">
        <f>DATE(2012,12,31)-1444</f>
        <v>39830</v>
      </c>
      <c r="D6193" s="4" t="s">
        <v>45</v>
      </c>
      <c r="E6193" s="4">
        <v>39.0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</v>
      </c>
      <c r="U6193" s="5">
        <f>C6193+1</f>
        <v>39831</v>
      </c>
    </row>
    <row r="6194" ht="12.75" customHeight="1">
      <c r="A6194" s="4">
        <v>5081.0</v>
      </c>
      <c r="B6194" s="4">
        <v>36224.0</v>
      </c>
      <c r="C6194" s="5">
        <f>DATE(2012,12,31)-1338</f>
        <v>39936</v>
      </c>
      <c r="D6194" s="4" t="s">
        <v>63</v>
      </c>
      <c r="E6194" s="4">
        <v>15.0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5">C6194+2</f>
        <v>39938</v>
      </c>
    </row>
    <row r="6195" ht="12.75" customHeight="1">
      <c r="A6195" s="4">
        <v>5157.0</v>
      </c>
      <c r="B6195" s="4">
        <v>36709.0</v>
      </c>
      <c r="C6195" s="5">
        <f>DATE(2012,12,31)-130</f>
        <v>41144</v>
      </c>
      <c r="D6195" s="4" t="s">
        <v>78</v>
      </c>
      <c r="E6195" s="4">
        <v>42.0</v>
      </c>
      <c r="F6195" s="4">
        <v>2245.6915</v>
      </c>
      <c r="G6195" s="4">
        <v>0.05</v>
      </c>
      <c r="H6195" s="4" t="s">
        <v>22</v>
      </c>
      <c r="I6195" s="6">
        <v>369.08099999999996</v>
      </c>
      <c r="J6195" s="4">
        <v>65.99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</v>
      </c>
      <c r="U6195" s="5">
        <f t="shared" si="2625"/>
        <v>41146</v>
      </c>
    </row>
    <row r="6196" ht="12.75" customHeight="1">
      <c r="A6196" s="4">
        <v>5318.0</v>
      </c>
      <c r="B6196" s="4">
        <v>37826.0</v>
      </c>
      <c r="C6196" s="5">
        <f>DATE(2012,12,31)-618</f>
        <v>40656</v>
      </c>
      <c r="D6196" s="4" t="s">
        <v>63</v>
      </c>
      <c r="E6196" s="4">
        <v>45.0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5"/>
        <v>40658</v>
      </c>
    </row>
    <row r="6197" ht="12.75" customHeight="1">
      <c r="A6197" s="4">
        <v>5338.0</v>
      </c>
      <c r="B6197" s="4">
        <v>37924.0</v>
      </c>
      <c r="C6197" s="5">
        <f>DATE(2012,12,31)-1128</f>
        <v>40146</v>
      </c>
      <c r="D6197" s="4" t="s">
        <v>30</v>
      </c>
      <c r="E6197" s="4">
        <v>49.0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19.99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6">C6197+0</f>
        <v>40146</v>
      </c>
    </row>
    <row r="6198" ht="12.75" customHeight="1">
      <c r="A6198" s="4">
        <v>5371.0</v>
      </c>
      <c r="B6198" s="4">
        <v>38182.0</v>
      </c>
      <c r="C6198" s="5">
        <f>DATE(2012,12,31)-223</f>
        <v>41051</v>
      </c>
      <c r="D6198" s="4" t="s">
        <v>30</v>
      </c>
      <c r="E6198" s="4">
        <v>45.0</v>
      </c>
      <c r="F6198" s="4">
        <v>2848.83</v>
      </c>
      <c r="G6198" s="4">
        <v>0.07</v>
      </c>
      <c r="H6198" s="4" t="s">
        <v>22</v>
      </c>
      <c r="I6198" s="6">
        <v>-1182.87</v>
      </c>
      <c r="J6198" s="4">
        <v>64.65</v>
      </c>
      <c r="K6198" s="4">
        <v>35.0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6"/>
        <v>41051</v>
      </c>
    </row>
    <row r="6199" ht="12.75" customHeight="1">
      <c r="A6199" s="4">
        <v>5604.0</v>
      </c>
      <c r="B6199" s="4">
        <v>39717.0</v>
      </c>
      <c r="C6199" s="5">
        <f>DATE(2012,12,31)-1129</f>
        <v>40145</v>
      </c>
      <c r="D6199" s="4" t="s">
        <v>30</v>
      </c>
      <c r="E6199" s="4">
        <v>20.0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</v>
      </c>
      <c r="U6199" s="5">
        <f>C6199+2</f>
        <v>40147</v>
      </c>
    </row>
    <row r="6200" ht="12.75" customHeight="1">
      <c r="A6200" s="4">
        <v>5692.0</v>
      </c>
      <c r="B6200" s="4">
        <v>40257.0</v>
      </c>
      <c r="C6200" s="5">
        <f>DATE(2012,12,31)-863</f>
        <v>40411</v>
      </c>
      <c r="D6200" s="4" t="s">
        <v>45</v>
      </c>
      <c r="E6200" s="4">
        <v>24.0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0.57</v>
      </c>
      <c r="U6200" s="5">
        <f>C6200+1</f>
        <v>40412</v>
      </c>
    </row>
    <row r="6201" ht="12.75" customHeight="1">
      <c r="A6201" s="4">
        <v>5700.0</v>
      </c>
      <c r="B6201" s="4">
        <v>40321.0</v>
      </c>
      <c r="C6201" s="5">
        <f t="shared" ref="C6201:C6202" si="2627">DATE(2012,12,31)-922</f>
        <v>40352</v>
      </c>
      <c r="D6201" s="4" t="s">
        <v>30</v>
      </c>
      <c r="E6201" s="4">
        <v>23.0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19.99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ht="12.75" customHeight="1">
      <c r="A6202" s="4">
        <v>5701.0</v>
      </c>
      <c r="B6202" s="4">
        <v>40321.0</v>
      </c>
      <c r="C6202" s="5">
        <f t="shared" si="2627"/>
        <v>40352</v>
      </c>
      <c r="D6202" s="4" t="s">
        <v>30</v>
      </c>
      <c r="E6202" s="4">
        <v>18.0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ht="12.75" customHeight="1">
      <c r="A6203" s="4">
        <v>5947.0</v>
      </c>
      <c r="B6203" s="4">
        <v>42214.0</v>
      </c>
      <c r="C6203" s="5">
        <f t="shared" ref="C6203:C6204" si="2628">DATE(2012,12,31)-587</f>
        <v>40687</v>
      </c>
      <c r="D6203" s="4" t="s">
        <v>21</v>
      </c>
      <c r="E6203" s="4">
        <v>46.0</v>
      </c>
      <c r="F6203" s="4">
        <v>569.92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</v>
      </c>
      <c r="U6203" s="5">
        <f t="shared" ref="U6203:U6204" si="2629">C6203+7</f>
        <v>40694</v>
      </c>
    </row>
    <row r="6204" ht="12.75" customHeight="1">
      <c r="A6204" s="4">
        <v>5948.0</v>
      </c>
      <c r="B6204" s="4">
        <v>42214.0</v>
      </c>
      <c r="C6204" s="5">
        <f t="shared" si="2628"/>
        <v>40687</v>
      </c>
      <c r="D6204" s="4" t="s">
        <v>21</v>
      </c>
      <c r="E6204" s="4">
        <v>28.0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9"/>
        <v>40694</v>
      </c>
    </row>
    <row r="6205" ht="12.75" customHeight="1">
      <c r="A6205" s="4">
        <v>6039.0</v>
      </c>
      <c r="B6205" s="4">
        <v>42788.0</v>
      </c>
      <c r="C6205" s="5">
        <f>DATE(2012,12,31)-445</f>
        <v>40829</v>
      </c>
      <c r="D6205" s="4" t="s">
        <v>78</v>
      </c>
      <c r="E6205" s="4">
        <v>26.0</v>
      </c>
      <c r="F6205" s="4">
        <v>241.92</v>
      </c>
      <c r="G6205" s="4">
        <v>0.1</v>
      </c>
      <c r="H6205" s="4" t="s">
        <v>22</v>
      </c>
      <c r="I6205" s="6">
        <v>67.71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30">C6205+2</f>
        <v>40831</v>
      </c>
    </row>
    <row r="6206" ht="12.75" customHeight="1">
      <c r="A6206" s="4">
        <v>6054.0</v>
      </c>
      <c r="B6206" s="4">
        <v>42912.0</v>
      </c>
      <c r="C6206" s="5">
        <f>DATE(2012,12,31)-972</f>
        <v>40302</v>
      </c>
      <c r="D6206" s="4" t="s">
        <v>45</v>
      </c>
      <c r="E6206" s="4">
        <v>4.0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0.57</v>
      </c>
      <c r="U6206" s="5">
        <f t="shared" si="2630"/>
        <v>40304</v>
      </c>
    </row>
    <row r="6207" ht="12.75" customHeight="1">
      <c r="A6207" s="4">
        <v>6162.0</v>
      </c>
      <c r="B6207" s="4">
        <v>43653.0</v>
      </c>
      <c r="C6207" s="5">
        <f t="shared" ref="C6207:C6209" si="2631">DATE(2012,12,31)-62</f>
        <v>41212</v>
      </c>
      <c r="D6207" s="4" t="s">
        <v>30</v>
      </c>
      <c r="E6207" s="4">
        <v>3.0</v>
      </c>
      <c r="F6207" s="4">
        <v>10.62</v>
      </c>
      <c r="G6207" s="4">
        <v>0.07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ht="12.75" customHeight="1">
      <c r="A6208" s="4">
        <v>6163.0</v>
      </c>
      <c r="B6208" s="4">
        <v>43653.0</v>
      </c>
      <c r="C6208" s="5">
        <f t="shared" si="2631"/>
        <v>41212</v>
      </c>
      <c r="D6208" s="4" t="s">
        <v>30</v>
      </c>
      <c r="E6208" s="4">
        <v>39.0</v>
      </c>
      <c r="F6208" s="4">
        <v>666.4</v>
      </c>
      <c r="G6208" s="4">
        <v>0.0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</v>
      </c>
      <c r="U6208" s="5">
        <f>C6208+1</f>
        <v>41213</v>
      </c>
    </row>
    <row r="6209" ht="12.75" customHeight="1">
      <c r="A6209" s="4">
        <v>6164.0</v>
      </c>
      <c r="B6209" s="4">
        <v>43653.0</v>
      </c>
      <c r="C6209" s="5">
        <f t="shared" si="2631"/>
        <v>41212</v>
      </c>
      <c r="D6209" s="4" t="s">
        <v>30</v>
      </c>
      <c r="E6209" s="4">
        <v>10.0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0.57</v>
      </c>
      <c r="U6209" s="5">
        <f t="shared" ref="U6209:U6210" si="2632">C6209+2</f>
        <v>41214</v>
      </c>
    </row>
    <row r="6210" ht="12.75" customHeight="1">
      <c r="A6210" s="4">
        <v>6343.0</v>
      </c>
      <c r="B6210" s="4">
        <v>44962.0</v>
      </c>
      <c r="C6210" s="5">
        <f>DATE(2012,12,31)-1099</f>
        <v>40175</v>
      </c>
      <c r="D6210" s="4" t="s">
        <v>63</v>
      </c>
      <c r="E6210" s="4">
        <v>27.0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2"/>
        <v>40177</v>
      </c>
    </row>
    <row r="6211" ht="12.75" customHeight="1">
      <c r="A6211" s="4">
        <v>6397.0</v>
      </c>
      <c r="B6211" s="4">
        <v>45412.0</v>
      </c>
      <c r="C6211" s="5">
        <f>DATE(2012,12,31)-984</f>
        <v>40290</v>
      </c>
      <c r="D6211" s="4" t="s">
        <v>63</v>
      </c>
      <c r="E6211" s="4">
        <v>20.0</v>
      </c>
      <c r="F6211" s="4">
        <v>586.619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</v>
      </c>
      <c r="U6211" s="5">
        <f>C6211+1</f>
        <v>40291</v>
      </c>
    </row>
    <row r="6212" ht="12.75" customHeight="1">
      <c r="A6212" s="4">
        <v>6436.0</v>
      </c>
      <c r="B6212" s="4">
        <v>45734.0</v>
      </c>
      <c r="C6212" s="5">
        <f>DATE(2012,12,31)-167</f>
        <v>41107</v>
      </c>
      <c r="D6212" s="4" t="s">
        <v>78</v>
      </c>
      <c r="E6212" s="4">
        <v>47.0</v>
      </c>
      <c r="F6212" s="4">
        <v>557.52</v>
      </c>
      <c r="G6212" s="4">
        <v>0.03</v>
      </c>
      <c r="H6212" s="4" t="s">
        <v>56</v>
      </c>
      <c r="I6212" s="6">
        <v>-157.3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0.58</v>
      </c>
      <c r="U6212" s="5">
        <f t="shared" ref="U6212:U6216" si="2633">C6212+2</f>
        <v>41109</v>
      </c>
    </row>
    <row r="6213" ht="12.75" customHeight="1">
      <c r="A6213" s="4">
        <v>6454.0</v>
      </c>
      <c r="B6213" s="4">
        <v>45959.0</v>
      </c>
      <c r="C6213" s="5">
        <f t="shared" ref="C6213:C6214" si="2634">DATE(2012,12,31)-1121</f>
        <v>40153</v>
      </c>
      <c r="D6213" s="4" t="s">
        <v>63</v>
      </c>
      <c r="E6213" s="4">
        <v>15.0</v>
      </c>
      <c r="F6213" s="4">
        <v>201.74</v>
      </c>
      <c r="G6213" s="4">
        <v>0.08</v>
      </c>
      <c r="H6213" s="4" t="s">
        <v>56</v>
      </c>
      <c r="I6213" s="6">
        <v>-2.6335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3"/>
        <v>40155</v>
      </c>
    </row>
    <row r="6214" ht="12.75" customHeight="1">
      <c r="A6214" s="4">
        <v>6455.0</v>
      </c>
      <c r="B6214" s="4">
        <v>45959.0</v>
      </c>
      <c r="C6214" s="5">
        <f t="shared" si="2634"/>
        <v>40153</v>
      </c>
      <c r="D6214" s="4" t="s">
        <v>63</v>
      </c>
      <c r="E6214" s="4">
        <v>35.0</v>
      </c>
      <c r="F6214" s="4">
        <v>1822.13</v>
      </c>
      <c r="G6214" s="4">
        <v>0.0</v>
      </c>
      <c r="H6214" s="4" t="s">
        <v>22</v>
      </c>
      <c r="I6214" s="6">
        <v>155.17</v>
      </c>
      <c r="J6214" s="4">
        <v>49.99</v>
      </c>
      <c r="K6214" s="4">
        <v>19.99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3"/>
        <v>40155</v>
      </c>
    </row>
    <row r="6215" ht="12.75" customHeight="1">
      <c r="A6215" s="4">
        <v>6585.0</v>
      </c>
      <c r="B6215" s="4">
        <v>46884.0</v>
      </c>
      <c r="C6215" s="5">
        <f t="shared" ref="C6215:C6216" si="2635">DATE(2012,12,31)-1444</f>
        <v>39830</v>
      </c>
      <c r="D6215" s="4" t="s">
        <v>63</v>
      </c>
      <c r="E6215" s="4">
        <v>18.0</v>
      </c>
      <c r="F6215" s="4">
        <v>130.11</v>
      </c>
      <c r="G6215" s="4">
        <v>0.1</v>
      </c>
      <c r="H6215" s="4" t="s">
        <v>22</v>
      </c>
      <c r="I6215" s="6">
        <v>40.3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3"/>
        <v>39832</v>
      </c>
    </row>
    <row r="6216" ht="12.75" customHeight="1">
      <c r="A6216" s="4">
        <v>6586.0</v>
      </c>
      <c r="B6216" s="4">
        <v>46884.0</v>
      </c>
      <c r="C6216" s="5">
        <f t="shared" si="2635"/>
        <v>39830</v>
      </c>
      <c r="D6216" s="4" t="s">
        <v>63</v>
      </c>
      <c r="E6216" s="4">
        <v>3.0</v>
      </c>
      <c r="F6216" s="4">
        <v>337.3395</v>
      </c>
      <c r="G6216" s="4">
        <v>0.0</v>
      </c>
      <c r="H6216" s="4" t="s">
        <v>22</v>
      </c>
      <c r="I6216" s="6">
        <v>-509.938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3"/>
        <v>39832</v>
      </c>
    </row>
    <row r="6217" ht="12.75" customHeight="1">
      <c r="A6217" s="4">
        <v>6604.0</v>
      </c>
      <c r="B6217" s="4">
        <v>46981.0</v>
      </c>
      <c r="C6217" s="5">
        <f>DATE(2012,12,31)-1423</f>
        <v>39851</v>
      </c>
      <c r="D6217" s="4" t="s">
        <v>63</v>
      </c>
      <c r="E6217" s="4">
        <v>46.0</v>
      </c>
      <c r="F6217" s="4">
        <v>1398.87</v>
      </c>
      <c r="G6217" s="4">
        <v>0.07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6">C6217+0</f>
        <v>39851</v>
      </c>
    </row>
    <row r="6218" ht="12.75" customHeight="1">
      <c r="A6218" s="4">
        <v>6606.0</v>
      </c>
      <c r="B6218" s="4">
        <v>47010.0</v>
      </c>
      <c r="C6218" s="5">
        <f>DATE(2012,12,31)-455</f>
        <v>40819</v>
      </c>
      <c r="D6218" s="4" t="s">
        <v>78</v>
      </c>
      <c r="E6218" s="4">
        <v>11.0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130.98</v>
      </c>
      <c r="K6218" s="4">
        <v>30.0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6"/>
        <v>40819</v>
      </c>
    </row>
    <row r="6219" ht="12.75" customHeight="1">
      <c r="A6219" s="4">
        <v>6702.0</v>
      </c>
      <c r="B6219" s="4">
        <v>47717.0</v>
      </c>
      <c r="C6219" s="5">
        <f>DATE(2012,12,31)-380</f>
        <v>40894</v>
      </c>
      <c r="D6219" s="4" t="s">
        <v>45</v>
      </c>
      <c r="E6219" s="4">
        <v>35.0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ht="12.75" customHeight="1">
      <c r="A6220" s="4">
        <v>6776.0</v>
      </c>
      <c r="B6220" s="4">
        <v>48257.0</v>
      </c>
      <c r="C6220" s="5">
        <f>DATE(2012,12,31)-1349</f>
        <v>39925</v>
      </c>
      <c r="D6220" s="4" t="s">
        <v>21</v>
      </c>
      <c r="E6220" s="4">
        <v>45.0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ht="12.75" customHeight="1">
      <c r="A6221" s="4">
        <v>6822.0</v>
      </c>
      <c r="B6221" s="4">
        <v>48577.0</v>
      </c>
      <c r="C6221" s="5">
        <f>DATE(2012,12,31)-176</f>
        <v>41098</v>
      </c>
      <c r="D6221" s="4" t="s">
        <v>63</v>
      </c>
      <c r="E6221" s="4">
        <v>6.0</v>
      </c>
      <c r="F6221" s="4">
        <v>201.83</v>
      </c>
      <c r="G6221" s="4">
        <v>0.02</v>
      </c>
      <c r="H6221" s="4" t="s">
        <v>22</v>
      </c>
      <c r="I6221" s="6">
        <v>34.98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ht="12.75" customHeight="1">
      <c r="A6222" s="4">
        <v>6992.0</v>
      </c>
      <c r="B6222" s="4">
        <v>49953.0</v>
      </c>
      <c r="C6222" s="5">
        <f t="shared" ref="C6222:C6223" si="2637">DATE(2012,12,31)-289</f>
        <v>40985</v>
      </c>
      <c r="D6222" s="4" t="s">
        <v>45</v>
      </c>
      <c r="E6222" s="4">
        <v>18.0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ht="12.75" customHeight="1">
      <c r="A6223" s="4">
        <v>6993.0</v>
      </c>
      <c r="B6223" s="4">
        <v>49953.0</v>
      </c>
      <c r="C6223" s="5">
        <f t="shared" si="2637"/>
        <v>40985</v>
      </c>
      <c r="D6223" s="4" t="s">
        <v>45</v>
      </c>
      <c r="E6223" s="4">
        <v>36.0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ht="12.75" customHeight="1">
      <c r="A6224" s="4">
        <v>7192.0</v>
      </c>
      <c r="B6224" s="4">
        <v>51300.0</v>
      </c>
      <c r="C6224" s="5">
        <f>DATE(2012,12,31)-443</f>
        <v>40831</v>
      </c>
      <c r="D6224" s="4" t="s">
        <v>63</v>
      </c>
      <c r="E6224" s="4">
        <v>43.0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8">C6224+2</f>
        <v>40833</v>
      </c>
    </row>
    <row r="6225" ht="12.75" customHeight="1">
      <c r="A6225" s="4">
        <v>7249.0</v>
      </c>
      <c r="B6225" s="4">
        <v>51687.0</v>
      </c>
      <c r="C6225" s="5">
        <f>DATE(2012,12,31)-477</f>
        <v>40797</v>
      </c>
      <c r="D6225" s="4" t="s">
        <v>21</v>
      </c>
      <c r="E6225" s="4">
        <v>42.0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8"/>
        <v>40799</v>
      </c>
    </row>
    <row r="6226" ht="12.75" customHeight="1">
      <c r="A6226" s="4">
        <v>7288.0</v>
      </c>
      <c r="B6226" s="4">
        <v>51974.0</v>
      </c>
      <c r="C6226" s="5">
        <f t="shared" ref="C6226:C6227" si="2639">DATE(2012,12,31)-705</f>
        <v>40569</v>
      </c>
      <c r="D6226" s="4" t="s">
        <v>30</v>
      </c>
      <c r="E6226" s="4">
        <v>10.0</v>
      </c>
      <c r="F6226" s="4">
        <v>1290.37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40">C6226+1</f>
        <v>40570</v>
      </c>
    </row>
    <row r="6227" ht="12.75" customHeight="1">
      <c r="A6227" s="4">
        <v>7289.0</v>
      </c>
      <c r="B6227" s="4">
        <v>51974.0</v>
      </c>
      <c r="C6227" s="5">
        <f t="shared" si="2639"/>
        <v>40569</v>
      </c>
      <c r="D6227" s="4" t="s">
        <v>30</v>
      </c>
      <c r="E6227" s="4">
        <v>2.0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40"/>
        <v>40570</v>
      </c>
    </row>
    <row r="6228" ht="12.75" customHeight="1">
      <c r="A6228" s="4">
        <v>7394.0</v>
      </c>
      <c r="B6228" s="4">
        <v>52676.0</v>
      </c>
      <c r="C6228" s="5">
        <f>DATE(2012,12,31)-125</f>
        <v>41149</v>
      </c>
      <c r="D6228" s="4" t="s">
        <v>30</v>
      </c>
      <c r="E6228" s="4">
        <v>46.0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ht="12.75" customHeight="1">
      <c r="A6229" s="4">
        <v>7452.0</v>
      </c>
      <c r="B6229" s="4">
        <v>53153.0</v>
      </c>
      <c r="C6229" s="5">
        <f>DATE(2012,12,31)-1195</f>
        <v>40079</v>
      </c>
      <c r="D6229" s="4" t="s">
        <v>78</v>
      </c>
      <c r="E6229" s="4">
        <v>29.0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0.57</v>
      </c>
      <c r="U6229" s="5">
        <f>C6229+1</f>
        <v>40080</v>
      </c>
    </row>
    <row r="6230" ht="12.75" customHeight="1">
      <c r="A6230" s="4">
        <v>7542.0</v>
      </c>
      <c r="B6230" s="4">
        <v>53895.0</v>
      </c>
      <c r="C6230" s="5">
        <f>DATE(2012,12,31)-484</f>
        <v>40790</v>
      </c>
      <c r="D6230" s="4" t="s">
        <v>45</v>
      </c>
      <c r="E6230" s="4">
        <v>21.0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19.99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0.58</v>
      </c>
      <c r="U6230" s="5">
        <f>C6230+2</f>
        <v>40792</v>
      </c>
    </row>
    <row r="6231" ht="12.75" customHeight="1">
      <c r="A6231" s="4">
        <v>7615.0</v>
      </c>
      <c r="B6231" s="4">
        <v>54497.0</v>
      </c>
      <c r="C6231" s="5">
        <f>DATE(2012,12,31)-1077</f>
        <v>40197</v>
      </c>
      <c r="D6231" s="4" t="s">
        <v>45</v>
      </c>
      <c r="E6231" s="4">
        <v>1.0</v>
      </c>
      <c r="F6231" s="4">
        <v>155.51</v>
      </c>
      <c r="G6231" s="4">
        <v>0.07</v>
      </c>
      <c r="H6231" s="4" t="s">
        <v>22</v>
      </c>
      <c r="I6231" s="6">
        <v>-87.34</v>
      </c>
      <c r="J6231" s="4">
        <v>142.86</v>
      </c>
      <c r="K6231" s="4">
        <v>19.99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</v>
      </c>
      <c r="U6231" s="5">
        <f>C6231+3</f>
        <v>40200</v>
      </c>
    </row>
    <row r="6232" ht="12.75" customHeight="1">
      <c r="A6232" s="4">
        <v>7714.0</v>
      </c>
      <c r="B6232" s="4">
        <v>55296.0</v>
      </c>
      <c r="C6232" s="5">
        <f>DATE(2012,12,31)-74</f>
        <v>41200</v>
      </c>
      <c r="D6232" s="4" t="s">
        <v>21</v>
      </c>
      <c r="E6232" s="4">
        <v>32.0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ht="12.75" customHeight="1">
      <c r="A6233" s="4">
        <v>7779.0</v>
      </c>
      <c r="B6233" s="4">
        <v>55654.0</v>
      </c>
      <c r="C6233" s="5">
        <f>DATE(2012,12,31)-834</f>
        <v>40440</v>
      </c>
      <c r="D6233" s="4" t="s">
        <v>30</v>
      </c>
      <c r="E6233" s="4">
        <v>2.0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1">C6233+2</f>
        <v>40442</v>
      </c>
    </row>
    <row r="6234" ht="12.75" customHeight="1">
      <c r="A6234" s="4">
        <v>7884.0</v>
      </c>
      <c r="B6234" s="4">
        <v>56387.0</v>
      </c>
      <c r="C6234" s="5">
        <f t="shared" ref="C6234:C6235" si="2642">DATE(2012,12,31)-591</f>
        <v>40683</v>
      </c>
      <c r="D6234" s="4" t="s">
        <v>63</v>
      </c>
      <c r="E6234" s="4">
        <v>32.0</v>
      </c>
      <c r="F6234" s="4">
        <v>128.14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1"/>
        <v>40685</v>
      </c>
    </row>
    <row r="6235" ht="12.75" customHeight="1">
      <c r="A6235" s="4">
        <v>7885.0</v>
      </c>
      <c r="B6235" s="4">
        <v>56387.0</v>
      </c>
      <c r="C6235" s="5">
        <f t="shared" si="2642"/>
        <v>40683</v>
      </c>
      <c r="D6235" s="4" t="s">
        <v>63</v>
      </c>
      <c r="E6235" s="4">
        <v>9.0</v>
      </c>
      <c r="F6235" s="4">
        <v>67.46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1"/>
        <v>40685</v>
      </c>
    </row>
    <row r="6236" ht="12.75" customHeight="1">
      <c r="A6236" s="4">
        <v>7944.0</v>
      </c>
      <c r="B6236" s="4">
        <v>56743.0</v>
      </c>
      <c r="C6236" s="5">
        <f>DATE(2012,12,31)-558</f>
        <v>40716</v>
      </c>
      <c r="D6236" s="4" t="s">
        <v>63</v>
      </c>
      <c r="E6236" s="4">
        <v>23.0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ht="12.75" customHeight="1">
      <c r="A6237" s="4">
        <v>7952.0</v>
      </c>
      <c r="B6237" s="4">
        <v>56805.0</v>
      </c>
      <c r="C6237" s="5">
        <f>DATE(2012,12,31)-209</f>
        <v>41065</v>
      </c>
      <c r="D6237" s="4" t="s">
        <v>30</v>
      </c>
      <c r="E6237" s="4">
        <v>38.0</v>
      </c>
      <c r="F6237" s="4">
        <v>14753.08</v>
      </c>
      <c r="G6237" s="4">
        <v>0.01</v>
      </c>
      <c r="H6237" s="4" t="s">
        <v>31</v>
      </c>
      <c r="I6237" s="6">
        <v>1085.91</v>
      </c>
      <c r="J6237" s="4">
        <v>370.98</v>
      </c>
      <c r="K6237" s="4">
        <v>99.0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3">C6237+1</f>
        <v>41066</v>
      </c>
    </row>
    <row r="6238" ht="12.75" customHeight="1">
      <c r="A6238" s="4">
        <v>7958.0</v>
      </c>
      <c r="B6238" s="4">
        <v>56838.0</v>
      </c>
      <c r="C6238" s="5">
        <f>DATE(2012,12,31)-521</f>
        <v>40753</v>
      </c>
      <c r="D6238" s="4" t="s">
        <v>78</v>
      </c>
      <c r="E6238" s="4">
        <v>44.0</v>
      </c>
      <c r="F6238" s="4">
        <v>4326.27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3"/>
        <v>40754</v>
      </c>
    </row>
    <row r="6239" ht="12.75" customHeight="1">
      <c r="A6239" s="4">
        <v>7988.0</v>
      </c>
      <c r="B6239" s="4">
        <v>57095.0</v>
      </c>
      <c r="C6239" s="5">
        <f>DATE(2012,12,31)-649</f>
        <v>40625</v>
      </c>
      <c r="D6239" s="4" t="s">
        <v>63</v>
      </c>
      <c r="E6239" s="4">
        <v>37.0</v>
      </c>
      <c r="F6239" s="4">
        <v>254.93</v>
      </c>
      <c r="G6239" s="4">
        <v>0.01</v>
      </c>
      <c r="H6239" s="4" t="s">
        <v>22</v>
      </c>
      <c r="I6239" s="6">
        <v>-62.882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ht="12.75" customHeight="1">
      <c r="A6240" s="4">
        <v>8019.0</v>
      </c>
      <c r="B6240" s="4">
        <v>57287.0</v>
      </c>
      <c r="C6240" s="5">
        <f>DATE(2012,12,31)-430</f>
        <v>40844</v>
      </c>
      <c r="D6240" s="4" t="s">
        <v>45</v>
      </c>
      <c r="E6240" s="4">
        <v>11.0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4">C6240+1</f>
        <v>40845</v>
      </c>
    </row>
    <row r="6241" ht="12.75" customHeight="1">
      <c r="A6241" s="4">
        <v>8118.0</v>
      </c>
      <c r="B6241" s="4">
        <v>57984.0</v>
      </c>
      <c r="C6241" s="5">
        <f t="shared" ref="C6241:C6242" si="2645">DATE(2012,12,31)-821</f>
        <v>40453</v>
      </c>
      <c r="D6241" s="4" t="s">
        <v>30</v>
      </c>
      <c r="E6241" s="4">
        <v>6.0</v>
      </c>
      <c r="F6241" s="4">
        <v>192.99</v>
      </c>
      <c r="G6241" s="4">
        <v>0.07</v>
      </c>
      <c r="H6241" s="4" t="s">
        <v>56</v>
      </c>
      <c r="I6241" s="6">
        <v>-123.37</v>
      </c>
      <c r="J6241" s="4">
        <v>30.97</v>
      </c>
      <c r="K6241" s="4">
        <v>4.0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4"/>
        <v>40454</v>
      </c>
    </row>
    <row r="6242" ht="12.75" customHeight="1">
      <c r="A6242" s="4">
        <v>8119.0</v>
      </c>
      <c r="B6242" s="4">
        <v>57984.0</v>
      </c>
      <c r="C6242" s="5">
        <f t="shared" si="2645"/>
        <v>40453</v>
      </c>
      <c r="D6242" s="4" t="s">
        <v>30</v>
      </c>
      <c r="E6242" s="4">
        <v>20.0</v>
      </c>
      <c r="F6242" s="4">
        <v>11829.4</v>
      </c>
      <c r="G6242" s="4">
        <v>0.07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ht="12.75" customHeight="1">
      <c r="A6243" s="4">
        <v>8289.0</v>
      </c>
      <c r="B6243" s="4">
        <v>59207.0</v>
      </c>
      <c r="C6243" s="5">
        <f>DATE(2012,12,31)-1323</f>
        <v>39951</v>
      </c>
      <c r="D6243" s="4" t="s">
        <v>78</v>
      </c>
      <c r="E6243" s="4">
        <v>3.0</v>
      </c>
      <c r="F6243" s="4">
        <v>10.12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6">C6243+1</f>
        <v>39952</v>
      </c>
    </row>
    <row r="6244" ht="12.75" customHeight="1">
      <c r="A6244" s="4">
        <v>8296.0</v>
      </c>
      <c r="B6244" s="4">
        <v>59238.0</v>
      </c>
      <c r="C6244" s="5">
        <f>DATE(2012,12,31)-1199</f>
        <v>40075</v>
      </c>
      <c r="D6244" s="4" t="s">
        <v>30</v>
      </c>
      <c r="E6244" s="4">
        <v>11.0</v>
      </c>
      <c r="F6244" s="4">
        <v>455.88</v>
      </c>
      <c r="G6244" s="4">
        <v>0.03</v>
      </c>
      <c r="H6244" s="4" t="s">
        <v>56</v>
      </c>
      <c r="I6244" s="6">
        <v>9.150000000000006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6"/>
        <v>40076</v>
      </c>
    </row>
    <row r="6245" ht="12.75" customHeight="1">
      <c r="A6245" s="4">
        <v>8315.0</v>
      </c>
      <c r="B6245" s="4">
        <v>59396.0</v>
      </c>
      <c r="C6245" s="5">
        <f>DATE(2012,12,31)-1143</f>
        <v>40131</v>
      </c>
      <c r="D6245" s="4" t="s">
        <v>78</v>
      </c>
      <c r="E6245" s="4">
        <v>41.0</v>
      </c>
      <c r="F6245" s="4">
        <v>5930.34</v>
      </c>
      <c r="G6245" s="4">
        <v>0.07</v>
      </c>
      <c r="H6245" s="4" t="s">
        <v>22</v>
      </c>
      <c r="I6245" s="6">
        <v>427.68</v>
      </c>
      <c r="J6245" s="4">
        <v>152.48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ht="12.75" customHeight="1">
      <c r="A6246" s="4">
        <v>8388.0</v>
      </c>
      <c r="B6246" s="4">
        <v>59911.0</v>
      </c>
      <c r="C6246" s="5">
        <f>DATE(2012,12,31)-379</f>
        <v>40895</v>
      </c>
      <c r="D6246" s="4" t="s">
        <v>45</v>
      </c>
      <c r="E6246" s="4">
        <v>1.0</v>
      </c>
      <c r="F6246" s="4">
        <v>10.59</v>
      </c>
      <c r="G6246" s="4">
        <v>0.1</v>
      </c>
      <c r="H6246" s="4" t="s">
        <v>22</v>
      </c>
      <c r="I6246" s="6">
        <v>-4.31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7">C6246+1</f>
        <v>40896</v>
      </c>
    </row>
    <row r="6247" ht="12.75" customHeight="1">
      <c r="A6247" s="4">
        <v>147.0</v>
      </c>
      <c r="B6247" s="4">
        <v>930.0</v>
      </c>
      <c r="C6247" s="5">
        <f t="shared" ref="C6247:C6248" si="2648">DATE(2012,12,31)-1111</f>
        <v>40163</v>
      </c>
      <c r="D6247" s="4" t="s">
        <v>78</v>
      </c>
      <c r="E6247" s="4">
        <v>22.0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7"/>
        <v>40164</v>
      </c>
    </row>
    <row r="6248" ht="12.75" customHeight="1">
      <c r="A6248" s="4">
        <v>148.0</v>
      </c>
      <c r="B6248" s="4">
        <v>930.0</v>
      </c>
      <c r="C6248" s="5">
        <f t="shared" si="2648"/>
        <v>40163</v>
      </c>
      <c r="D6248" s="4" t="s">
        <v>78</v>
      </c>
      <c r="E6248" s="4">
        <v>11.0</v>
      </c>
      <c r="F6248" s="4">
        <v>79.19</v>
      </c>
      <c r="G6248" s="4">
        <v>0.0</v>
      </c>
      <c r="H6248" s="4" t="s">
        <v>22</v>
      </c>
      <c r="I6248" s="6">
        <v>13.91</v>
      </c>
      <c r="J6248" s="4">
        <v>6.88</v>
      </c>
      <c r="K6248" s="4">
        <v>2.0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ht="12.75" customHeight="1">
      <c r="A6249" s="4">
        <v>168.0</v>
      </c>
      <c r="B6249" s="4">
        <v>1058.0</v>
      </c>
      <c r="C6249" s="5">
        <f>DATE(2012,12,31)-981</f>
        <v>40293</v>
      </c>
      <c r="D6249" s="4" t="s">
        <v>63</v>
      </c>
      <c r="E6249" s="4">
        <v>3.0</v>
      </c>
      <c r="F6249" s="4">
        <v>469.438</v>
      </c>
      <c r="G6249" s="4">
        <v>0.07</v>
      </c>
      <c r="H6249" s="4" t="s">
        <v>22</v>
      </c>
      <c r="I6249" s="6">
        <v>-888.1619999999999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ht="12.75" customHeight="1">
      <c r="A6250" s="4">
        <v>172.0</v>
      </c>
      <c r="B6250" s="4">
        <v>1088.0</v>
      </c>
      <c r="C6250" s="5">
        <f>DATE(2012,12,31)-225</f>
        <v>41049</v>
      </c>
      <c r="D6250" s="4" t="s">
        <v>21</v>
      </c>
      <c r="E6250" s="4">
        <v>13.0</v>
      </c>
      <c r="F6250" s="4">
        <v>269.02</v>
      </c>
      <c r="G6250" s="4">
        <v>0.1</v>
      </c>
      <c r="H6250" s="4" t="s">
        <v>22</v>
      </c>
      <c r="I6250" s="6">
        <v>-112.0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ht="12.75" customHeight="1">
      <c r="A6251" s="4">
        <v>225.0</v>
      </c>
      <c r="B6251" s="4">
        <v>1504.0</v>
      </c>
      <c r="C6251" s="5">
        <f>DATE(2012,12,31)-126</f>
        <v>41148</v>
      </c>
      <c r="D6251" s="4" t="s">
        <v>63</v>
      </c>
      <c r="E6251" s="4">
        <v>31.0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ht="12.75" customHeight="1">
      <c r="A6252" s="4">
        <v>258.0</v>
      </c>
      <c r="B6252" s="4">
        <v>1796.0</v>
      </c>
      <c r="C6252" s="5">
        <f>DATE(2012,12,31)-41</f>
        <v>41233</v>
      </c>
      <c r="D6252" s="4" t="s">
        <v>30</v>
      </c>
      <c r="E6252" s="4">
        <v>43.0</v>
      </c>
      <c r="F6252" s="4">
        <v>183.41</v>
      </c>
      <c r="G6252" s="4">
        <v>0.07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ht="12.75" customHeight="1">
      <c r="A6253" s="4">
        <v>292.0</v>
      </c>
      <c r="B6253" s="4">
        <v>2048.0</v>
      </c>
      <c r="C6253" s="5">
        <f t="shared" ref="C6253:C6254" si="2649">DATE(2012,12,31)-778</f>
        <v>40496</v>
      </c>
      <c r="D6253" s="4" t="s">
        <v>78</v>
      </c>
      <c r="E6253" s="4">
        <v>12.0</v>
      </c>
      <c r="F6253" s="4">
        <v>3752.61</v>
      </c>
      <c r="G6253" s="4">
        <v>0.01</v>
      </c>
      <c r="H6253" s="4" t="s">
        <v>31</v>
      </c>
      <c r="I6253" s="6">
        <v>637.93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0.57</v>
      </c>
      <c r="U6253" s="5">
        <f t="shared" ref="U6253:U6254" si="2650">C6253+1</f>
        <v>40497</v>
      </c>
    </row>
    <row r="6254" ht="12.75" customHeight="1">
      <c r="A6254" s="4">
        <v>293.0</v>
      </c>
      <c r="B6254" s="4">
        <v>2048.0</v>
      </c>
      <c r="C6254" s="5">
        <f t="shared" si="2649"/>
        <v>40496</v>
      </c>
      <c r="D6254" s="4" t="s">
        <v>78</v>
      </c>
      <c r="E6254" s="4">
        <v>9.0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</v>
      </c>
      <c r="U6254" s="5">
        <f t="shared" si="2650"/>
        <v>40497</v>
      </c>
    </row>
    <row r="6255" ht="12.75" customHeight="1">
      <c r="A6255" s="4">
        <v>294.0</v>
      </c>
      <c r="B6255" s="4">
        <v>2050.0</v>
      </c>
      <c r="C6255" s="5">
        <f t="shared" ref="C6255:C6256" si="2651">DATE(2012,12,31)-1309</f>
        <v>39965</v>
      </c>
      <c r="D6255" s="4" t="s">
        <v>45</v>
      </c>
      <c r="E6255" s="4">
        <v>16.0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2">C6255+2</f>
        <v>39967</v>
      </c>
    </row>
    <row r="6256" ht="12.75" customHeight="1">
      <c r="A6256" s="4">
        <v>295.0</v>
      </c>
      <c r="B6256" s="4">
        <v>2050.0</v>
      </c>
      <c r="C6256" s="5">
        <f t="shared" si="2651"/>
        <v>39965</v>
      </c>
      <c r="D6256" s="4" t="s">
        <v>45</v>
      </c>
      <c r="E6256" s="4">
        <v>25.0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2"/>
        <v>39967</v>
      </c>
    </row>
    <row r="6257" ht="12.75" customHeight="1">
      <c r="A6257" s="4">
        <v>299.0</v>
      </c>
      <c r="B6257" s="4">
        <v>2054.0</v>
      </c>
      <c r="C6257" s="5">
        <f t="shared" ref="C6257:C6258" si="2653">DATE(2012,12,31)-207</f>
        <v>41067</v>
      </c>
      <c r="D6257" s="4" t="s">
        <v>45</v>
      </c>
      <c r="E6257" s="4">
        <v>1.0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19.99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0.57</v>
      </c>
      <c r="U6257" s="5">
        <f>C6257+3</f>
        <v>41070</v>
      </c>
    </row>
    <row r="6258" ht="12.75" customHeight="1">
      <c r="A6258" s="4">
        <v>300.0</v>
      </c>
      <c r="B6258" s="4">
        <v>2054.0</v>
      </c>
      <c r="C6258" s="5">
        <f t="shared" si="2653"/>
        <v>41067</v>
      </c>
      <c r="D6258" s="4" t="s">
        <v>45</v>
      </c>
      <c r="E6258" s="4">
        <v>34.0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ht="12.75" customHeight="1">
      <c r="A6259" s="4">
        <v>432.0</v>
      </c>
      <c r="B6259" s="4">
        <v>2885.0</v>
      </c>
      <c r="C6259" s="5">
        <f t="shared" ref="C6259:C6260" si="2654">DATE(2012,12,31)-104</f>
        <v>41170</v>
      </c>
      <c r="D6259" s="4" t="s">
        <v>45</v>
      </c>
      <c r="E6259" s="4">
        <v>29.0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ht="12.75" customHeight="1">
      <c r="A6260" s="4">
        <v>433.0</v>
      </c>
      <c r="B6260" s="4">
        <v>2885.0</v>
      </c>
      <c r="C6260" s="5">
        <f t="shared" si="2654"/>
        <v>41170</v>
      </c>
      <c r="D6260" s="4" t="s">
        <v>45</v>
      </c>
      <c r="E6260" s="4">
        <v>46.0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5">C6260+2</f>
        <v>41172</v>
      </c>
    </row>
    <row r="6261" ht="12.75" customHeight="1">
      <c r="A6261" s="4">
        <v>497.0</v>
      </c>
      <c r="B6261" s="4">
        <v>3458.0</v>
      </c>
      <c r="C6261" s="5">
        <f t="shared" ref="C6261:C6262" si="2656">DATE(2012,12,31)-1106</f>
        <v>40168</v>
      </c>
      <c r="D6261" s="4" t="s">
        <v>30</v>
      </c>
      <c r="E6261" s="4">
        <v>41.0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5"/>
        <v>40170</v>
      </c>
    </row>
    <row r="6262" ht="12.75" customHeight="1">
      <c r="A6262" s="4">
        <v>498.0</v>
      </c>
      <c r="B6262" s="4">
        <v>3458.0</v>
      </c>
      <c r="C6262" s="5">
        <f t="shared" si="2656"/>
        <v>40168</v>
      </c>
      <c r="D6262" s="4" t="s">
        <v>30</v>
      </c>
      <c r="E6262" s="4">
        <v>28.0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</v>
      </c>
      <c r="U6262" s="5">
        <f>C6262+3</f>
        <v>40171</v>
      </c>
    </row>
    <row r="6263" ht="12.75" customHeight="1">
      <c r="A6263" s="4">
        <v>511.0</v>
      </c>
      <c r="B6263" s="4">
        <v>3522.0</v>
      </c>
      <c r="C6263" s="5">
        <f t="shared" ref="C6263:C6264" si="2657">DATE(2012,12,31)-1193</f>
        <v>40081</v>
      </c>
      <c r="D6263" s="4" t="s">
        <v>21</v>
      </c>
      <c r="E6263" s="4">
        <v>33.0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49.0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ht="12.75" customHeight="1">
      <c r="A6264" s="4">
        <v>512.0</v>
      </c>
      <c r="B6264" s="4">
        <v>3522.0</v>
      </c>
      <c r="C6264" s="5">
        <f t="shared" si="2657"/>
        <v>40081</v>
      </c>
      <c r="D6264" s="4" t="s">
        <v>21</v>
      </c>
      <c r="E6264" s="4">
        <v>27.0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8">C6264+2</f>
        <v>40083</v>
      </c>
    </row>
    <row r="6265" ht="12.75" customHeight="1">
      <c r="A6265" s="4">
        <v>540.0</v>
      </c>
      <c r="B6265" s="4">
        <v>3653.0</v>
      </c>
      <c r="C6265" s="5">
        <f>DATE(2012,12,31)-1376</f>
        <v>39898</v>
      </c>
      <c r="D6265" s="4" t="s">
        <v>78</v>
      </c>
      <c r="E6265" s="4">
        <v>41.0</v>
      </c>
      <c r="F6265" s="4">
        <v>271.11</v>
      </c>
      <c r="G6265" s="4">
        <v>0.08</v>
      </c>
      <c r="H6265" s="4" t="s">
        <v>22</v>
      </c>
      <c r="I6265" s="6">
        <v>64.79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8"/>
        <v>39900</v>
      </c>
    </row>
    <row r="6266" ht="12.75" customHeight="1">
      <c r="A6266" s="4">
        <v>562.0</v>
      </c>
      <c r="B6266" s="4">
        <v>3808.0</v>
      </c>
      <c r="C6266" s="5">
        <f>DATE(2012,12,31)-1348</f>
        <v>39926</v>
      </c>
      <c r="D6266" s="4" t="s">
        <v>78</v>
      </c>
      <c r="E6266" s="4">
        <v>2.0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ht="12.75" customHeight="1">
      <c r="A6267" s="4">
        <v>581.0</v>
      </c>
      <c r="B6267" s="4">
        <v>3970.0</v>
      </c>
      <c r="C6267" s="5">
        <f t="shared" ref="C6267:C6268" si="2659">DATE(2012,12,31)-280</f>
        <v>40994</v>
      </c>
      <c r="D6267" s="4" t="s">
        <v>63</v>
      </c>
      <c r="E6267" s="4">
        <v>39.0</v>
      </c>
      <c r="F6267" s="4">
        <v>1032.97</v>
      </c>
      <c r="G6267" s="4">
        <v>0.07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ht="12.75" customHeight="1">
      <c r="A6268" s="4">
        <v>582.0</v>
      </c>
      <c r="B6268" s="4">
        <v>3970.0</v>
      </c>
      <c r="C6268" s="5">
        <f t="shared" si="2659"/>
        <v>40994</v>
      </c>
      <c r="D6268" s="4" t="s">
        <v>63</v>
      </c>
      <c r="E6268" s="4">
        <v>13.0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45.0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ht="12.75" customHeight="1">
      <c r="A6269" s="4">
        <v>678.0</v>
      </c>
      <c r="B6269" s="4">
        <v>4739.0</v>
      </c>
      <c r="C6269" s="5">
        <f>DATE(2012,12,31)-1045</f>
        <v>40229</v>
      </c>
      <c r="D6269" s="4" t="s">
        <v>21</v>
      </c>
      <c r="E6269" s="4">
        <v>16.0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0.58</v>
      </c>
      <c r="U6269" s="5">
        <f>C6269+4</f>
        <v>40233</v>
      </c>
    </row>
    <row r="6270" ht="12.75" customHeight="1">
      <c r="A6270" s="4">
        <v>749.0</v>
      </c>
      <c r="B6270" s="4">
        <v>5378.0</v>
      </c>
      <c r="C6270" s="5">
        <f>DATE(2012,12,31)-68</f>
        <v>41206</v>
      </c>
      <c r="D6270" s="4" t="s">
        <v>78</v>
      </c>
      <c r="E6270" s="4">
        <v>6.0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ht="12.75" customHeight="1">
      <c r="A6271" s="4">
        <v>808.0</v>
      </c>
      <c r="B6271" s="4">
        <v>5828.0</v>
      </c>
      <c r="C6271" s="5">
        <f>DATE(2012,12,31)-1397</f>
        <v>39877</v>
      </c>
      <c r="D6271" s="4" t="s">
        <v>21</v>
      </c>
      <c r="E6271" s="4">
        <v>21.0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ht="12.75" customHeight="1">
      <c r="A6272" s="4">
        <v>876.0</v>
      </c>
      <c r="B6272" s="4">
        <v>6279.0</v>
      </c>
      <c r="C6272" s="5">
        <f>DATE(2012,12,31)-1067</f>
        <v>40207</v>
      </c>
      <c r="D6272" s="4" t="s">
        <v>78</v>
      </c>
      <c r="E6272" s="4">
        <v>49.0</v>
      </c>
      <c r="F6272" s="4">
        <v>3283.74</v>
      </c>
      <c r="G6272" s="4">
        <v>0.01</v>
      </c>
      <c r="H6272" s="4" t="s">
        <v>22</v>
      </c>
      <c r="I6272" s="6">
        <v>723.3330000000001</v>
      </c>
      <c r="J6272" s="4">
        <v>67.28</v>
      </c>
      <c r="K6272" s="4">
        <v>19.99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ht="12.75" customHeight="1">
      <c r="A6273" s="4">
        <v>1000.0</v>
      </c>
      <c r="B6273" s="4">
        <v>7267.0</v>
      </c>
      <c r="C6273" s="5">
        <f>DATE(2012,12,31)-125</f>
        <v>41149</v>
      </c>
      <c r="D6273" s="4" t="s">
        <v>30</v>
      </c>
      <c r="E6273" s="4">
        <v>19.0</v>
      </c>
      <c r="F6273" s="4">
        <v>262.32</v>
      </c>
      <c r="G6273" s="4">
        <v>0.07</v>
      </c>
      <c r="H6273" s="4" t="s">
        <v>22</v>
      </c>
      <c r="I6273" s="6">
        <v>5.1595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ht="12.75" customHeight="1">
      <c r="A6274" s="4">
        <v>1001.0</v>
      </c>
      <c r="B6274" s="4">
        <v>7269.0</v>
      </c>
      <c r="C6274" s="5">
        <f>DATE(2012,12,31)-1204</f>
        <v>40070</v>
      </c>
      <c r="D6274" s="4" t="s">
        <v>63</v>
      </c>
      <c r="E6274" s="4">
        <v>29.0</v>
      </c>
      <c r="F6274" s="4">
        <v>1707.99</v>
      </c>
      <c r="G6274" s="4">
        <v>0.0</v>
      </c>
      <c r="H6274" s="4" t="s">
        <v>22</v>
      </c>
      <c r="I6274" s="6">
        <v>391.185</v>
      </c>
      <c r="J6274" s="4">
        <v>65.99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60">C6274+1</f>
        <v>40071</v>
      </c>
    </row>
    <row r="6275" ht="12.75" customHeight="1">
      <c r="A6275" s="4">
        <v>1031.0</v>
      </c>
      <c r="B6275" s="4">
        <v>7527.0</v>
      </c>
      <c r="C6275" s="5">
        <f t="shared" ref="C6275:C6276" si="2661">DATE(2012,12,31)-1116</f>
        <v>40158</v>
      </c>
      <c r="D6275" s="4" t="s">
        <v>63</v>
      </c>
      <c r="E6275" s="4">
        <v>37.0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60"/>
        <v>40159</v>
      </c>
    </row>
    <row r="6276" ht="12.75" customHeight="1">
      <c r="A6276" s="4">
        <v>1032.0</v>
      </c>
      <c r="B6276" s="4">
        <v>7527.0</v>
      </c>
      <c r="C6276" s="5">
        <f t="shared" si="2661"/>
        <v>40158</v>
      </c>
      <c r="D6276" s="4" t="s">
        <v>63</v>
      </c>
      <c r="E6276" s="4">
        <v>42.0</v>
      </c>
      <c r="F6276" s="4">
        <v>7062.615999999999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</v>
      </c>
      <c r="U6276" s="5">
        <f t="shared" si="2660"/>
        <v>40159</v>
      </c>
    </row>
    <row r="6277" ht="12.75" customHeight="1">
      <c r="A6277" s="4">
        <v>1170.0</v>
      </c>
      <c r="B6277" s="4">
        <v>8546.0</v>
      </c>
      <c r="C6277" s="5">
        <f>DATE(2012,12,31)-274</f>
        <v>41000</v>
      </c>
      <c r="D6277" s="4" t="s">
        <v>30</v>
      </c>
      <c r="E6277" s="4">
        <v>4.0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ht="12.75" customHeight="1">
      <c r="A6278" s="4">
        <v>1174.0</v>
      </c>
      <c r="B6278" s="4">
        <v>8578.0</v>
      </c>
      <c r="C6278" s="5">
        <f>DATE(2012,12,31)-486</f>
        <v>40788</v>
      </c>
      <c r="D6278" s="4" t="s">
        <v>30</v>
      </c>
      <c r="E6278" s="4">
        <v>40.0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2">C6278+1</f>
        <v>40789</v>
      </c>
    </row>
    <row r="6279" ht="12.75" customHeight="1">
      <c r="A6279" s="4">
        <v>1326.0</v>
      </c>
      <c r="B6279" s="4">
        <v>9669.0</v>
      </c>
      <c r="C6279" s="5">
        <f>DATE(2012,12,31)-1349</f>
        <v>39925</v>
      </c>
      <c r="D6279" s="4" t="s">
        <v>63</v>
      </c>
      <c r="E6279" s="4">
        <v>18.0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0.58</v>
      </c>
      <c r="U6279" s="5">
        <f t="shared" si="2662"/>
        <v>39926</v>
      </c>
    </row>
    <row r="6280" ht="12.75" customHeight="1">
      <c r="A6280" s="4">
        <v>1373.0</v>
      </c>
      <c r="B6280" s="4">
        <v>9952.0</v>
      </c>
      <c r="C6280" s="5">
        <f>DATE(2012,12,31)-244</f>
        <v>41030</v>
      </c>
      <c r="D6280" s="4" t="s">
        <v>30</v>
      </c>
      <c r="E6280" s="4">
        <v>47.0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35.0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3">C6280+2</f>
        <v>41032</v>
      </c>
    </row>
    <row r="6281" ht="12.75" customHeight="1">
      <c r="A6281" s="4">
        <v>1474.0</v>
      </c>
      <c r="B6281" s="4">
        <v>10630.0</v>
      </c>
      <c r="C6281" s="5">
        <f>DATE(2012,12,31)-1061</f>
        <v>40213</v>
      </c>
      <c r="D6281" s="4" t="s">
        <v>63</v>
      </c>
      <c r="E6281" s="4">
        <v>44.0</v>
      </c>
      <c r="F6281" s="4">
        <v>2773.84</v>
      </c>
      <c r="G6281" s="4">
        <v>0.0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3"/>
        <v>40215</v>
      </c>
    </row>
    <row r="6282" ht="12.75" customHeight="1">
      <c r="A6282" s="4">
        <v>1475.0</v>
      </c>
      <c r="B6282" s="4">
        <v>10657.0</v>
      </c>
      <c r="C6282" s="5">
        <f t="shared" ref="C6282:C6283" si="2664">DATE(2012,12,31)-828</f>
        <v>40446</v>
      </c>
      <c r="D6282" s="4" t="s">
        <v>63</v>
      </c>
      <c r="E6282" s="4">
        <v>44.0</v>
      </c>
      <c r="F6282" s="4">
        <v>289.94</v>
      </c>
      <c r="G6282" s="4">
        <v>0.07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3"/>
        <v>40448</v>
      </c>
    </row>
    <row r="6283" ht="12.75" customHeight="1">
      <c r="A6283" s="4">
        <v>1476.0</v>
      </c>
      <c r="B6283" s="4">
        <v>10657.0</v>
      </c>
      <c r="C6283" s="5">
        <f t="shared" si="2664"/>
        <v>40446</v>
      </c>
      <c r="D6283" s="4" t="s">
        <v>63</v>
      </c>
      <c r="E6283" s="4">
        <v>8.0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ht="12.75" customHeight="1">
      <c r="A6284" s="4">
        <v>1482.0</v>
      </c>
      <c r="B6284" s="4">
        <v>10661.0</v>
      </c>
      <c r="C6284" s="5">
        <f>DATE(2012,12,31)-1438</f>
        <v>39836</v>
      </c>
      <c r="D6284" s="4" t="s">
        <v>45</v>
      </c>
      <c r="E6284" s="4">
        <v>42.0</v>
      </c>
      <c r="F6284" s="4">
        <v>1312.65</v>
      </c>
      <c r="G6284" s="4">
        <v>0.07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ht="12.75" customHeight="1">
      <c r="A6285" s="4">
        <v>1582.0</v>
      </c>
      <c r="B6285" s="4">
        <v>11427.0</v>
      </c>
      <c r="C6285" s="5">
        <f t="shared" ref="C6285:C6286" si="2665">DATE(2012,12,31)-768</f>
        <v>40506</v>
      </c>
      <c r="D6285" s="4" t="s">
        <v>63</v>
      </c>
      <c r="E6285" s="4">
        <v>27.0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1.0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ht="12.75" customHeight="1">
      <c r="A6286" s="4">
        <v>1583.0</v>
      </c>
      <c r="B6286" s="4">
        <v>11427.0</v>
      </c>
      <c r="C6286" s="5">
        <f t="shared" si="2665"/>
        <v>40506</v>
      </c>
      <c r="D6286" s="4" t="s">
        <v>63</v>
      </c>
      <c r="E6286" s="4">
        <v>20.0</v>
      </c>
      <c r="F6286" s="4">
        <v>136.06</v>
      </c>
      <c r="G6286" s="4">
        <v>0.04</v>
      </c>
      <c r="H6286" s="4" t="s">
        <v>22</v>
      </c>
      <c r="I6286" s="6">
        <v>-33.2235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ht="12.75" customHeight="1">
      <c r="A6287" s="4">
        <v>1667.0</v>
      </c>
      <c r="B6287" s="4">
        <v>12037.0</v>
      </c>
      <c r="C6287" s="5">
        <f>DATE(2012,12,31)-550</f>
        <v>40724</v>
      </c>
      <c r="D6287" s="4" t="s">
        <v>21</v>
      </c>
      <c r="E6287" s="4">
        <v>14.0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4.39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ht="12.75" customHeight="1">
      <c r="A6288" s="4">
        <v>1701.0</v>
      </c>
      <c r="B6288" s="4">
        <v>12259.0</v>
      </c>
      <c r="C6288" s="5">
        <f t="shared" ref="C6288:C6289" si="2666">DATE(2012,12,31)-1051</f>
        <v>40223</v>
      </c>
      <c r="D6288" s="4" t="s">
        <v>30</v>
      </c>
      <c r="E6288" s="4">
        <v>45.0</v>
      </c>
      <c r="F6288" s="4">
        <v>5007.69</v>
      </c>
      <c r="G6288" s="4">
        <v>0.07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ht="12.75" customHeight="1">
      <c r="A6289" s="4">
        <v>1702.0</v>
      </c>
      <c r="B6289" s="4">
        <v>12259.0</v>
      </c>
      <c r="C6289" s="5">
        <f t="shared" si="2666"/>
        <v>40223</v>
      </c>
      <c r="D6289" s="4" t="s">
        <v>30</v>
      </c>
      <c r="E6289" s="4">
        <v>45.0</v>
      </c>
      <c r="F6289" s="4">
        <v>1379.62</v>
      </c>
      <c r="G6289" s="4">
        <v>0.1</v>
      </c>
      <c r="H6289" s="4" t="s">
        <v>22</v>
      </c>
      <c r="I6289" s="6">
        <v>-66.07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7">C6289+1</f>
        <v>40224</v>
      </c>
    </row>
    <row r="6290" ht="12.75" customHeight="1">
      <c r="A6290" s="4">
        <v>1801.0</v>
      </c>
      <c r="B6290" s="4">
        <v>12900.0</v>
      </c>
      <c r="C6290" s="5">
        <f t="shared" ref="C6290:C6291" si="2668">DATE(2012,12,31)-973</f>
        <v>40301</v>
      </c>
      <c r="D6290" s="4" t="s">
        <v>30</v>
      </c>
      <c r="E6290" s="4">
        <v>50.0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7"/>
        <v>40302</v>
      </c>
    </row>
    <row r="6291" ht="12.75" customHeight="1">
      <c r="A6291" s="4">
        <v>1802.0</v>
      </c>
      <c r="B6291" s="4">
        <v>12900.0</v>
      </c>
      <c r="C6291" s="5">
        <f t="shared" si="2668"/>
        <v>40301</v>
      </c>
      <c r="D6291" s="4" t="s">
        <v>30</v>
      </c>
      <c r="E6291" s="4">
        <v>18.0</v>
      </c>
      <c r="F6291" s="4">
        <v>4096.21</v>
      </c>
      <c r="G6291" s="4">
        <v>0.08</v>
      </c>
      <c r="H6291" s="4" t="s">
        <v>31</v>
      </c>
      <c r="I6291" s="6">
        <v>308.22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</v>
      </c>
      <c r="U6291" s="5">
        <f>C6291+2</f>
        <v>40303</v>
      </c>
    </row>
    <row r="6292" ht="12.75" customHeight="1">
      <c r="A6292" s="4">
        <v>1814.0</v>
      </c>
      <c r="B6292" s="4">
        <v>12999.0</v>
      </c>
      <c r="C6292" s="5">
        <f>DATE(2012,12,31)-1003</f>
        <v>40271</v>
      </c>
      <c r="D6292" s="4" t="s">
        <v>30</v>
      </c>
      <c r="E6292" s="4">
        <v>31.0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19.99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ht="12.75" customHeight="1">
      <c r="A6293" s="4">
        <v>1902.0</v>
      </c>
      <c r="B6293" s="4">
        <v>13632.0</v>
      </c>
      <c r="C6293" s="5">
        <f>DATE(2012,12,31)-1392</f>
        <v>39882</v>
      </c>
      <c r="D6293" s="4" t="s">
        <v>63</v>
      </c>
      <c r="E6293" s="4">
        <v>6.0</v>
      </c>
      <c r="F6293" s="4">
        <v>608.93</v>
      </c>
      <c r="G6293" s="4">
        <v>0.01</v>
      </c>
      <c r="H6293" s="4" t="s">
        <v>56</v>
      </c>
      <c r="I6293" s="6">
        <v>-193.9578</v>
      </c>
      <c r="J6293" s="4">
        <v>99.99</v>
      </c>
      <c r="K6293" s="4">
        <v>19.99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9">C6293+2</f>
        <v>39884</v>
      </c>
    </row>
    <row r="6294" ht="12.75" customHeight="1">
      <c r="A6294" s="4">
        <v>1941.0</v>
      </c>
      <c r="B6294" s="4">
        <v>13920.0</v>
      </c>
      <c r="C6294" s="5">
        <f t="shared" ref="C6294:C6295" si="2670">DATE(2012,12,31)-1179</f>
        <v>40095</v>
      </c>
      <c r="D6294" s="4" t="s">
        <v>78</v>
      </c>
      <c r="E6294" s="4">
        <v>25.0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9"/>
        <v>40097</v>
      </c>
    </row>
    <row r="6295" ht="12.75" customHeight="1">
      <c r="A6295" s="4">
        <v>1942.0</v>
      </c>
      <c r="B6295" s="4">
        <v>13920.0</v>
      </c>
      <c r="C6295" s="5">
        <f t="shared" si="2670"/>
        <v>40095</v>
      </c>
      <c r="D6295" s="4" t="s">
        <v>78</v>
      </c>
      <c r="E6295" s="4">
        <v>24.0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ht="12.75" customHeight="1">
      <c r="A6296" s="4">
        <v>2173.0</v>
      </c>
      <c r="B6296" s="4">
        <v>15651.0</v>
      </c>
      <c r="C6296" s="5">
        <f t="shared" ref="C6296:C6298" si="2671">DATE(2012,12,31)-88</f>
        <v>41186</v>
      </c>
      <c r="D6296" s="4" t="s">
        <v>78</v>
      </c>
      <c r="E6296" s="4">
        <v>40.0</v>
      </c>
      <c r="F6296" s="4">
        <v>2182.91</v>
      </c>
      <c r="G6296" s="4">
        <v>0.1</v>
      </c>
      <c r="H6296" s="4" t="s">
        <v>56</v>
      </c>
      <c r="I6296" s="6">
        <v>549.45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0.57</v>
      </c>
      <c r="U6296" s="5">
        <f>C6296+3</f>
        <v>41189</v>
      </c>
    </row>
    <row r="6297" ht="12.75" customHeight="1">
      <c r="A6297" s="4">
        <v>2174.0</v>
      </c>
      <c r="B6297" s="4">
        <v>15651.0</v>
      </c>
      <c r="C6297" s="5">
        <f t="shared" si="2671"/>
        <v>41186</v>
      </c>
      <c r="D6297" s="4" t="s">
        <v>78</v>
      </c>
      <c r="E6297" s="4">
        <v>14.0</v>
      </c>
      <c r="F6297" s="4">
        <v>1144.35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35.0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2">C6297+2</f>
        <v>41188</v>
      </c>
    </row>
    <row r="6298" ht="12.75" customHeight="1">
      <c r="A6298" s="4">
        <v>2175.0</v>
      </c>
      <c r="B6298" s="4">
        <v>15651.0</v>
      </c>
      <c r="C6298" s="5">
        <f t="shared" si="2671"/>
        <v>41186</v>
      </c>
      <c r="D6298" s="4" t="s">
        <v>78</v>
      </c>
      <c r="E6298" s="4">
        <v>8.0</v>
      </c>
      <c r="F6298" s="4">
        <v>1496.83</v>
      </c>
      <c r="G6298" s="4">
        <v>0.07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2"/>
        <v>41188</v>
      </c>
    </row>
    <row r="6299" ht="12.75" customHeight="1">
      <c r="A6299" s="4">
        <v>2251.0</v>
      </c>
      <c r="B6299" s="4">
        <v>16197.0</v>
      </c>
      <c r="C6299" s="5">
        <f t="shared" ref="C6299:C6300" si="2673">DATE(2012,12,31)-66</f>
        <v>41208</v>
      </c>
      <c r="D6299" s="4" t="s">
        <v>78</v>
      </c>
      <c r="E6299" s="4">
        <v>23.0</v>
      </c>
      <c r="F6299" s="4">
        <v>218.71</v>
      </c>
      <c r="G6299" s="4">
        <v>0.0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ht="12.75" customHeight="1">
      <c r="A6300" s="4">
        <v>2252.0</v>
      </c>
      <c r="B6300" s="4">
        <v>16197.0</v>
      </c>
      <c r="C6300" s="5">
        <f t="shared" si="2673"/>
        <v>41208</v>
      </c>
      <c r="D6300" s="4" t="s">
        <v>78</v>
      </c>
      <c r="E6300" s="4">
        <v>19.0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4">C6300+1</f>
        <v>41209</v>
      </c>
    </row>
    <row r="6301" ht="12.75" customHeight="1">
      <c r="A6301" s="4">
        <v>2325.0</v>
      </c>
      <c r="B6301" s="4">
        <v>16770.0</v>
      </c>
      <c r="C6301" s="5">
        <f>DATE(2012,12,31)-1455</f>
        <v>39819</v>
      </c>
      <c r="D6301" s="4" t="s">
        <v>78</v>
      </c>
      <c r="E6301" s="4">
        <v>17.0</v>
      </c>
      <c r="F6301" s="4">
        <v>37.06</v>
      </c>
      <c r="G6301" s="4">
        <v>0.03</v>
      </c>
      <c r="H6301" s="4" t="s">
        <v>22</v>
      </c>
      <c r="I6301" s="6">
        <v>0.6099999999999994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0.57</v>
      </c>
      <c r="U6301" s="5">
        <f t="shared" si="2674"/>
        <v>39820</v>
      </c>
    </row>
    <row r="6302" ht="12.75" customHeight="1">
      <c r="A6302" s="4">
        <v>2329.0</v>
      </c>
      <c r="B6302" s="4">
        <v>16802.0</v>
      </c>
      <c r="C6302" s="5">
        <f t="shared" ref="C6302:C6303" si="2675">DATE(2012,12,31)-621</f>
        <v>40653</v>
      </c>
      <c r="D6302" s="4" t="s">
        <v>63</v>
      </c>
      <c r="E6302" s="4">
        <v>44.0</v>
      </c>
      <c r="F6302" s="4">
        <v>302.59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4"/>
        <v>40654</v>
      </c>
    </row>
    <row r="6303" ht="12.75" customHeight="1">
      <c r="A6303" s="4">
        <v>2330.0</v>
      </c>
      <c r="B6303" s="4">
        <v>16802.0</v>
      </c>
      <c r="C6303" s="5">
        <f t="shared" si="2675"/>
        <v>40653</v>
      </c>
      <c r="D6303" s="4" t="s">
        <v>63</v>
      </c>
      <c r="E6303" s="4">
        <v>26.0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35.0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ht="12.75" customHeight="1">
      <c r="A6304" s="4">
        <v>2350.0</v>
      </c>
      <c r="B6304" s="4">
        <v>16961.0</v>
      </c>
      <c r="C6304" s="5">
        <f t="shared" ref="C6304:C6305" si="2676">DATE(2012,12,31)-1455</f>
        <v>39819</v>
      </c>
      <c r="D6304" s="4" t="s">
        <v>45</v>
      </c>
      <c r="E6304" s="4">
        <v>27.0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ht="12.75" customHeight="1">
      <c r="A6305" s="4">
        <v>2351.0</v>
      </c>
      <c r="B6305" s="4">
        <v>16961.0</v>
      </c>
      <c r="C6305" s="5">
        <f t="shared" si="2676"/>
        <v>39819</v>
      </c>
      <c r="D6305" s="4" t="s">
        <v>45</v>
      </c>
      <c r="E6305" s="4">
        <v>34.0</v>
      </c>
      <c r="F6305" s="4">
        <v>1089.59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ht="12.75" customHeight="1">
      <c r="A6306" s="4">
        <v>2418.0</v>
      </c>
      <c r="B6306" s="4">
        <v>17543.0</v>
      </c>
      <c r="C6306" s="5">
        <f t="shared" ref="C6306:C6308" si="2677">DATE(2012,12,31)-220</f>
        <v>41054</v>
      </c>
      <c r="D6306" s="4" t="s">
        <v>78</v>
      </c>
      <c r="E6306" s="4">
        <v>1.0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9.54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ht="12.75" customHeight="1">
      <c r="A6307" s="4">
        <v>2419.0</v>
      </c>
      <c r="B6307" s="4">
        <v>17543.0</v>
      </c>
      <c r="C6307" s="5">
        <f t="shared" si="2677"/>
        <v>41054</v>
      </c>
      <c r="D6307" s="4" t="s">
        <v>78</v>
      </c>
      <c r="E6307" s="4">
        <v>35.0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8">C6307+2</f>
        <v>41056</v>
      </c>
    </row>
    <row r="6308" ht="12.75" customHeight="1">
      <c r="A6308" s="4">
        <v>2420.0</v>
      </c>
      <c r="B6308" s="4">
        <v>17543.0</v>
      </c>
      <c r="C6308" s="5">
        <f t="shared" si="2677"/>
        <v>41054</v>
      </c>
      <c r="D6308" s="4" t="s">
        <v>78</v>
      </c>
      <c r="E6308" s="4">
        <v>26.0</v>
      </c>
      <c r="F6308" s="4">
        <v>4300.626</v>
      </c>
      <c r="G6308" s="4">
        <v>0.06</v>
      </c>
      <c r="H6308" s="4" t="s">
        <v>22</v>
      </c>
      <c r="I6308" s="6">
        <v>685.206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8"/>
        <v>41056</v>
      </c>
    </row>
    <row r="6309" ht="12.75" customHeight="1">
      <c r="A6309" s="4">
        <v>2482.0</v>
      </c>
      <c r="B6309" s="4">
        <v>18055.0</v>
      </c>
      <c r="C6309" s="5">
        <f>DATE(2012,12,31)-1061</f>
        <v>40213</v>
      </c>
      <c r="D6309" s="4" t="s">
        <v>78</v>
      </c>
      <c r="E6309" s="4">
        <v>3.0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8"/>
        <v>40215</v>
      </c>
    </row>
    <row r="6310" ht="12.75" customHeight="1">
      <c r="A6310" s="4">
        <v>2840.0</v>
      </c>
      <c r="B6310" s="4">
        <v>20480.0</v>
      </c>
      <c r="C6310" s="5">
        <f t="shared" ref="C6310:C6311" si="2679">DATE(2012,12,31)-1432</f>
        <v>39842</v>
      </c>
      <c r="D6310" s="4" t="s">
        <v>63</v>
      </c>
      <c r="E6310" s="4">
        <v>38.0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19.99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ht="12.75" customHeight="1">
      <c r="A6311" s="4">
        <v>2844.0</v>
      </c>
      <c r="B6311" s="4">
        <v>20484.0</v>
      </c>
      <c r="C6311" s="5">
        <f t="shared" si="2679"/>
        <v>39842</v>
      </c>
      <c r="D6311" s="4" t="s">
        <v>78</v>
      </c>
      <c r="E6311" s="4">
        <v>14.0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</v>
      </c>
      <c r="U6311" s="5">
        <f>C6311+2</f>
        <v>39844</v>
      </c>
    </row>
    <row r="6312" ht="12.75" customHeight="1">
      <c r="A6312" s="4">
        <v>2857.0</v>
      </c>
      <c r="B6312" s="4">
        <v>20579.0</v>
      </c>
      <c r="C6312" s="5">
        <f>DATE(2012,12,31)-91</f>
        <v>41183</v>
      </c>
      <c r="D6312" s="4" t="s">
        <v>63</v>
      </c>
      <c r="E6312" s="4">
        <v>16.0</v>
      </c>
      <c r="F6312" s="4">
        <v>1434.086</v>
      </c>
      <c r="G6312" s="4">
        <v>0.1</v>
      </c>
      <c r="H6312" s="4" t="s">
        <v>22</v>
      </c>
      <c r="I6312" s="6">
        <v>-26.246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0.57</v>
      </c>
      <c r="U6312" s="5">
        <f>C6312+3</f>
        <v>41186</v>
      </c>
    </row>
    <row r="6313" ht="12.75" customHeight="1">
      <c r="A6313" s="4">
        <v>2899.0</v>
      </c>
      <c r="B6313" s="4">
        <v>20933.0</v>
      </c>
      <c r="C6313" s="5">
        <f>DATE(2012,12,31)-127</f>
        <v>41147</v>
      </c>
      <c r="D6313" s="4" t="s">
        <v>30</v>
      </c>
      <c r="E6313" s="4">
        <v>45.0</v>
      </c>
      <c r="F6313" s="4">
        <v>2079.474</v>
      </c>
      <c r="G6313" s="4">
        <v>0.05</v>
      </c>
      <c r="H6313" s="4" t="s">
        <v>22</v>
      </c>
      <c r="I6313" s="6">
        <v>-81.565</v>
      </c>
      <c r="J6313" s="4">
        <v>55.99</v>
      </c>
      <c r="K6313" s="4">
        <v>5.0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ht="12.75" customHeight="1">
      <c r="A6314" s="4">
        <v>2922.0</v>
      </c>
      <c r="B6314" s="4">
        <v>21155.0</v>
      </c>
      <c r="C6314" s="5">
        <f>DATE(2012,12,31)-695</f>
        <v>40579</v>
      </c>
      <c r="D6314" s="4" t="s">
        <v>30</v>
      </c>
      <c r="E6314" s="4">
        <v>4.0</v>
      </c>
      <c r="F6314" s="4">
        <v>81.78</v>
      </c>
      <c r="G6314" s="4">
        <v>0.07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ht="12.75" customHeight="1">
      <c r="A6315" s="4">
        <v>3017.0</v>
      </c>
      <c r="B6315" s="4">
        <v>21703.0</v>
      </c>
      <c r="C6315" s="5">
        <f t="shared" ref="C6315:C6317" si="2680">DATE(2012,12,31)-1400</f>
        <v>39874</v>
      </c>
      <c r="D6315" s="4" t="s">
        <v>45</v>
      </c>
      <c r="E6315" s="4">
        <v>3.0</v>
      </c>
      <c r="F6315" s="4">
        <v>12.01</v>
      </c>
      <c r="G6315" s="4">
        <v>0.0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1">C6315+2</f>
        <v>39876</v>
      </c>
    </row>
    <row r="6316" ht="12.75" customHeight="1">
      <c r="A6316" s="4">
        <v>3018.0</v>
      </c>
      <c r="B6316" s="4">
        <v>21703.0</v>
      </c>
      <c r="C6316" s="5">
        <f t="shared" si="2680"/>
        <v>39874</v>
      </c>
      <c r="D6316" s="4" t="s">
        <v>45</v>
      </c>
      <c r="E6316" s="4">
        <v>20.0</v>
      </c>
      <c r="F6316" s="4">
        <v>1846.76</v>
      </c>
      <c r="G6316" s="4">
        <v>0.03</v>
      </c>
      <c r="H6316" s="4" t="s">
        <v>22</v>
      </c>
      <c r="I6316" s="6">
        <v>3.140000000000043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1"/>
        <v>39876</v>
      </c>
    </row>
    <row r="6317" ht="12.75" customHeight="1">
      <c r="A6317" s="4">
        <v>3019.0</v>
      </c>
      <c r="B6317" s="4">
        <v>21703.0</v>
      </c>
      <c r="C6317" s="5">
        <f t="shared" si="2680"/>
        <v>39874</v>
      </c>
      <c r="D6317" s="4" t="s">
        <v>45</v>
      </c>
      <c r="E6317" s="4">
        <v>15.0</v>
      </c>
      <c r="F6317" s="4">
        <v>2211.734</v>
      </c>
      <c r="G6317" s="4">
        <v>0.02</v>
      </c>
      <c r="H6317" s="4" t="s">
        <v>56</v>
      </c>
      <c r="I6317" s="6">
        <v>80.757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2">C6317+0</f>
        <v>39874</v>
      </c>
    </row>
    <row r="6318" ht="12.75" customHeight="1">
      <c r="A6318" s="4">
        <v>3022.0</v>
      </c>
      <c r="B6318" s="4">
        <v>21731.0</v>
      </c>
      <c r="C6318" s="5">
        <f>DATE(2012,12,31)-401</f>
        <v>40873</v>
      </c>
      <c r="D6318" s="4" t="s">
        <v>21</v>
      </c>
      <c r="E6318" s="4">
        <v>26.0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49.0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2"/>
        <v>40873</v>
      </c>
    </row>
    <row r="6319" ht="12.75" customHeight="1">
      <c r="A6319" s="4">
        <v>3036.0</v>
      </c>
      <c r="B6319" s="4">
        <v>21799.0</v>
      </c>
      <c r="C6319" s="5">
        <f>DATE(2012,12,31)-622</f>
        <v>40652</v>
      </c>
      <c r="D6319" s="4" t="s">
        <v>45</v>
      </c>
      <c r="E6319" s="4">
        <v>42.0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0.58</v>
      </c>
      <c r="U6319" s="5">
        <f t="shared" ref="U6319:U6320" si="2683">C6319+1</f>
        <v>40653</v>
      </c>
    </row>
    <row r="6320" ht="12.75" customHeight="1">
      <c r="A6320" s="4">
        <v>3066.0</v>
      </c>
      <c r="B6320" s="4">
        <v>21985.0</v>
      </c>
      <c r="C6320" s="5">
        <f t="shared" ref="C6320:C6321" si="2684">DATE(2012,12,31)-1223</f>
        <v>40051</v>
      </c>
      <c r="D6320" s="4" t="s">
        <v>78</v>
      </c>
      <c r="E6320" s="4">
        <v>1.0</v>
      </c>
      <c r="F6320" s="4">
        <v>255.83</v>
      </c>
      <c r="G6320" s="4">
        <v>0.07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3"/>
        <v>40052</v>
      </c>
    </row>
    <row r="6321" ht="12.75" customHeight="1">
      <c r="A6321" s="4">
        <v>3067.0</v>
      </c>
      <c r="B6321" s="4">
        <v>21985.0</v>
      </c>
      <c r="C6321" s="5">
        <f t="shared" si="2684"/>
        <v>40051</v>
      </c>
      <c r="D6321" s="4" t="s">
        <v>78</v>
      </c>
      <c r="E6321" s="4">
        <v>45.0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5">C6321+2</f>
        <v>40053</v>
      </c>
    </row>
    <row r="6322" ht="12.75" customHeight="1">
      <c r="A6322" s="4">
        <v>3098.0</v>
      </c>
      <c r="B6322" s="4">
        <v>22210.0</v>
      </c>
      <c r="C6322" s="5">
        <f>DATE(2012,12,31)-469</f>
        <v>40805</v>
      </c>
      <c r="D6322" s="4" t="s">
        <v>78</v>
      </c>
      <c r="E6322" s="4">
        <v>37.0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5"/>
        <v>40807</v>
      </c>
    </row>
    <row r="6323" ht="12.75" customHeight="1">
      <c r="A6323" s="4">
        <v>3153.0</v>
      </c>
      <c r="B6323" s="4">
        <v>22628.0</v>
      </c>
      <c r="C6323" s="5">
        <f>DATE(2012,12,31)-1159</f>
        <v>40115</v>
      </c>
      <c r="D6323" s="4" t="s">
        <v>63</v>
      </c>
      <c r="E6323" s="4">
        <v>30.0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74.35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0.57</v>
      </c>
      <c r="U6323" s="5">
        <f>C6323+3</f>
        <v>40118</v>
      </c>
    </row>
    <row r="6324" ht="12.75" customHeight="1">
      <c r="A6324" s="4">
        <v>3220.0</v>
      </c>
      <c r="B6324" s="4">
        <v>23106.0</v>
      </c>
      <c r="C6324" s="5">
        <f>DATE(2012,12,31)-803</f>
        <v>40471</v>
      </c>
      <c r="D6324" s="4" t="s">
        <v>63</v>
      </c>
      <c r="E6324" s="4">
        <v>35.0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16.06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</v>
      </c>
      <c r="U6324" s="5">
        <f>C6324+2</f>
        <v>40473</v>
      </c>
    </row>
    <row r="6325" ht="12.75" customHeight="1">
      <c r="A6325" s="4">
        <v>3262.0</v>
      </c>
      <c r="B6325" s="4">
        <v>23360.0</v>
      </c>
      <c r="C6325" s="5">
        <f>DATE(2012,12,31)-1330</f>
        <v>39944</v>
      </c>
      <c r="D6325" s="4" t="s">
        <v>21</v>
      </c>
      <c r="E6325" s="4">
        <v>30.0</v>
      </c>
      <c r="F6325" s="4">
        <v>512.97</v>
      </c>
      <c r="G6325" s="4">
        <v>0.01</v>
      </c>
      <c r="H6325" s="4" t="s">
        <v>56</v>
      </c>
      <c r="I6325" s="6">
        <v>261.29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ht="12.75" customHeight="1">
      <c r="A6326" s="4">
        <v>3331.0</v>
      </c>
      <c r="B6326" s="4">
        <v>23809.0</v>
      </c>
      <c r="C6326" s="5">
        <f>DATE(2012,12,31)-210</f>
        <v>41064</v>
      </c>
      <c r="D6326" s="4" t="s">
        <v>45</v>
      </c>
      <c r="E6326" s="4">
        <v>7.0</v>
      </c>
      <c r="F6326" s="4">
        <v>86.61</v>
      </c>
      <c r="G6326" s="4">
        <v>0.1</v>
      </c>
      <c r="H6326" s="4" t="s">
        <v>22</v>
      </c>
      <c r="I6326" s="6">
        <v>15.691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6">C6326+2</f>
        <v>41066</v>
      </c>
    </row>
    <row r="6327" ht="12.75" customHeight="1">
      <c r="A6327" s="4">
        <v>3491.0</v>
      </c>
      <c r="B6327" s="4">
        <v>24870.0</v>
      </c>
      <c r="C6327" s="5">
        <f t="shared" ref="C6327:C6328" si="2687">DATE(2012,12,31)-1347</f>
        <v>39927</v>
      </c>
      <c r="D6327" s="4" t="s">
        <v>21</v>
      </c>
      <c r="E6327" s="4">
        <v>38.0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35.41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6"/>
        <v>39929</v>
      </c>
    </row>
    <row r="6328" ht="12.75" customHeight="1">
      <c r="A6328" s="4">
        <v>3492.0</v>
      </c>
      <c r="B6328" s="4">
        <v>24870.0</v>
      </c>
      <c r="C6328" s="5">
        <f t="shared" si="2687"/>
        <v>39927</v>
      </c>
      <c r="D6328" s="4" t="s">
        <v>21</v>
      </c>
      <c r="E6328" s="4">
        <v>45.0</v>
      </c>
      <c r="F6328" s="4">
        <v>6448.69</v>
      </c>
      <c r="G6328" s="4">
        <v>0.0</v>
      </c>
      <c r="H6328" s="4" t="s">
        <v>22</v>
      </c>
      <c r="I6328" s="6">
        <v>1663.35</v>
      </c>
      <c r="J6328" s="4">
        <v>142.86</v>
      </c>
      <c r="K6328" s="4">
        <v>19.99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</v>
      </c>
      <c r="U6328" s="5">
        <f>C6328+9</f>
        <v>39936</v>
      </c>
    </row>
    <row r="6329" ht="12.75" customHeight="1">
      <c r="A6329" s="4">
        <v>3606.0</v>
      </c>
      <c r="B6329" s="4">
        <v>25793.0</v>
      </c>
      <c r="C6329" s="5">
        <f>DATE(2012,12,31)-268</f>
        <v>41006</v>
      </c>
      <c r="D6329" s="4" t="s">
        <v>21</v>
      </c>
      <c r="E6329" s="4">
        <v>27.0</v>
      </c>
      <c r="F6329" s="4">
        <v>3436.771</v>
      </c>
      <c r="G6329" s="4">
        <v>0.04</v>
      </c>
      <c r="H6329" s="4" t="s">
        <v>22</v>
      </c>
      <c r="I6329" s="6">
        <v>520.002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0.58</v>
      </c>
      <c r="U6329" s="5">
        <f>C6329+2</f>
        <v>41008</v>
      </c>
    </row>
    <row r="6330" ht="12.75" customHeight="1">
      <c r="A6330" s="4">
        <v>3724.0</v>
      </c>
      <c r="B6330" s="4">
        <v>26629.0</v>
      </c>
      <c r="C6330" s="5">
        <f t="shared" ref="C6330:C6331" si="2688">DATE(2012,12,31)-1270</f>
        <v>40004</v>
      </c>
      <c r="D6330" s="4" t="s">
        <v>30</v>
      </c>
      <c r="E6330" s="4">
        <v>38.0</v>
      </c>
      <c r="F6330" s="4">
        <v>21956.03</v>
      </c>
      <c r="G6330" s="4">
        <v>0.1</v>
      </c>
      <c r="H6330" s="4" t="s">
        <v>22</v>
      </c>
      <c r="I6330" s="6">
        <v>5903.086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ht="12.75" customHeight="1">
      <c r="A6331" s="4">
        <v>3725.0</v>
      </c>
      <c r="B6331" s="4">
        <v>26629.0</v>
      </c>
      <c r="C6331" s="5">
        <f t="shared" si="2688"/>
        <v>40004</v>
      </c>
      <c r="D6331" s="4" t="s">
        <v>30</v>
      </c>
      <c r="E6331" s="4">
        <v>32.0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ht="12.75" customHeight="1">
      <c r="A6332" s="4">
        <v>3909.0</v>
      </c>
      <c r="B6332" s="4">
        <v>27875.0</v>
      </c>
      <c r="C6332" s="5">
        <f>DATE(2012,12,31)-1011</f>
        <v>40263</v>
      </c>
      <c r="D6332" s="4" t="s">
        <v>21</v>
      </c>
      <c r="E6332" s="4">
        <v>5.0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49.0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ht="12.75" customHeight="1">
      <c r="A6333" s="4">
        <v>3911.0</v>
      </c>
      <c r="B6333" s="4">
        <v>27879.0</v>
      </c>
      <c r="C6333" s="5">
        <f t="shared" ref="C6333:C6334" si="2689">DATE(2012,12,31)-1039</f>
        <v>40235</v>
      </c>
      <c r="D6333" s="4" t="s">
        <v>63</v>
      </c>
      <c r="E6333" s="4">
        <v>44.0</v>
      </c>
      <c r="F6333" s="4">
        <v>669.01</v>
      </c>
      <c r="G6333" s="4">
        <v>0.08</v>
      </c>
      <c r="H6333" s="4" t="s">
        <v>22</v>
      </c>
      <c r="I6333" s="6">
        <v>299.35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ht="12.75" customHeight="1">
      <c r="A6334" s="4">
        <v>3912.0</v>
      </c>
      <c r="B6334" s="4">
        <v>27879.0</v>
      </c>
      <c r="C6334" s="5">
        <f t="shared" si="2689"/>
        <v>40235</v>
      </c>
      <c r="D6334" s="4" t="s">
        <v>63</v>
      </c>
      <c r="E6334" s="4">
        <v>30.0</v>
      </c>
      <c r="F6334" s="4">
        <v>301.6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</v>
      </c>
      <c r="U6334" s="5">
        <f>C6334+2</f>
        <v>40237</v>
      </c>
    </row>
    <row r="6335" ht="12.75" customHeight="1">
      <c r="A6335" s="4">
        <v>3953.0</v>
      </c>
      <c r="B6335" s="4">
        <v>28198.0</v>
      </c>
      <c r="C6335" s="5">
        <f>DATE(2012,12,31)-327</f>
        <v>40947</v>
      </c>
      <c r="D6335" s="4" t="s">
        <v>63</v>
      </c>
      <c r="E6335" s="4">
        <v>50.0</v>
      </c>
      <c r="F6335" s="4">
        <v>7703.9664999999995</v>
      </c>
      <c r="G6335" s="4">
        <v>0.0</v>
      </c>
      <c r="H6335" s="4" t="s">
        <v>22</v>
      </c>
      <c r="I6335" s="6">
        <v>2446.497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0.57</v>
      </c>
      <c r="U6335" s="5">
        <f t="shared" ref="U6335:U6336" si="2690">C6335+1</f>
        <v>40948</v>
      </c>
    </row>
    <row r="6336" ht="12.75" customHeight="1">
      <c r="A6336" s="4">
        <v>4007.0</v>
      </c>
      <c r="B6336" s="4">
        <v>28583.0</v>
      </c>
      <c r="C6336" s="5">
        <f>DATE(2012,12,31)-1145</f>
        <v>40129</v>
      </c>
      <c r="D6336" s="4" t="s">
        <v>78</v>
      </c>
      <c r="E6336" s="4">
        <v>25.0</v>
      </c>
      <c r="F6336" s="4">
        <v>5811.72</v>
      </c>
      <c r="G6336" s="4">
        <v>0.03</v>
      </c>
      <c r="H6336" s="4" t="s">
        <v>22</v>
      </c>
      <c r="I6336" s="6">
        <v>2431.595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90"/>
        <v>40130</v>
      </c>
    </row>
    <row r="6337" ht="12.75" customHeight="1">
      <c r="A6337" s="4">
        <v>4021.0</v>
      </c>
      <c r="B6337" s="4">
        <v>28738.0</v>
      </c>
      <c r="C6337" s="5">
        <f t="shared" ref="C6337:C6338" si="2691">DATE(2012,12,31)-143</f>
        <v>41131</v>
      </c>
      <c r="D6337" s="4" t="s">
        <v>63</v>
      </c>
      <c r="E6337" s="4">
        <v>2.0</v>
      </c>
      <c r="F6337" s="4">
        <v>23.54</v>
      </c>
      <c r="G6337" s="4">
        <v>0.03</v>
      </c>
      <c r="H6337" s="4" t="s">
        <v>22</v>
      </c>
      <c r="I6337" s="6">
        <v>-14.467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ht="12.75" customHeight="1">
      <c r="A6338" s="4">
        <v>4022.0</v>
      </c>
      <c r="B6338" s="4">
        <v>28738.0</v>
      </c>
      <c r="C6338" s="5">
        <f t="shared" si="2691"/>
        <v>41131</v>
      </c>
      <c r="D6338" s="4" t="s">
        <v>63</v>
      </c>
      <c r="E6338" s="4">
        <v>10.0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19.99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ht="12.75" customHeight="1">
      <c r="A6339" s="4">
        <v>4083.0</v>
      </c>
      <c r="B6339" s="4">
        <v>29120.0</v>
      </c>
      <c r="C6339" s="5">
        <f t="shared" ref="C6339:C6340" si="2692">DATE(2012,12,31)-964</f>
        <v>40310</v>
      </c>
      <c r="D6339" s="4" t="s">
        <v>21</v>
      </c>
      <c r="E6339" s="4">
        <v>43.0</v>
      </c>
      <c r="F6339" s="4">
        <v>1677.27</v>
      </c>
      <c r="G6339" s="4">
        <v>0.08</v>
      </c>
      <c r="H6339" s="4" t="s">
        <v>22</v>
      </c>
      <c r="I6339" s="6">
        <v>528.7935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ht="12.75" customHeight="1">
      <c r="A6340" s="4">
        <v>4084.0</v>
      </c>
      <c r="B6340" s="4">
        <v>29120.0</v>
      </c>
      <c r="C6340" s="5">
        <f t="shared" si="2692"/>
        <v>40310</v>
      </c>
      <c r="D6340" s="4" t="s">
        <v>21</v>
      </c>
      <c r="E6340" s="4">
        <v>21.0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ht="12.75" customHeight="1">
      <c r="A6341" s="4">
        <v>4157.0</v>
      </c>
      <c r="B6341" s="4">
        <v>29504.0</v>
      </c>
      <c r="C6341" s="5">
        <f t="shared" ref="C6341:C6342" si="2693">DATE(2012,12,31)-830</f>
        <v>40444</v>
      </c>
      <c r="D6341" s="4" t="s">
        <v>45</v>
      </c>
      <c r="E6341" s="4">
        <v>20.0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ht="12.75" customHeight="1">
      <c r="A6342" s="4">
        <v>4158.0</v>
      </c>
      <c r="B6342" s="4">
        <v>29504.0</v>
      </c>
      <c r="C6342" s="5">
        <f t="shared" si="2693"/>
        <v>40444</v>
      </c>
      <c r="D6342" s="4" t="s">
        <v>45</v>
      </c>
      <c r="E6342" s="4">
        <v>34.0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4">C6342+0</f>
        <v>40444</v>
      </c>
    </row>
    <row r="6343" ht="12.75" customHeight="1">
      <c r="A6343" s="4">
        <v>4300.0</v>
      </c>
      <c r="B6343" s="4">
        <v>30625.0</v>
      </c>
      <c r="C6343" s="5">
        <f t="shared" ref="C6343:C6344" si="2695">DATE(2012,12,31)-1057</f>
        <v>40217</v>
      </c>
      <c r="D6343" s="4" t="s">
        <v>78</v>
      </c>
      <c r="E6343" s="4">
        <v>37.0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4"/>
        <v>40217</v>
      </c>
    </row>
    <row r="6344" ht="12.75" customHeight="1">
      <c r="A6344" s="4">
        <v>4301.0</v>
      </c>
      <c r="B6344" s="4">
        <v>30625.0</v>
      </c>
      <c r="C6344" s="5">
        <f t="shared" si="2695"/>
        <v>40217</v>
      </c>
      <c r="D6344" s="4" t="s">
        <v>78</v>
      </c>
      <c r="E6344" s="4">
        <v>24.0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10.12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ht="12.75" customHeight="1">
      <c r="A6345" s="4">
        <v>4376.0</v>
      </c>
      <c r="B6345" s="4">
        <v>31174.0</v>
      </c>
      <c r="C6345" s="5">
        <f t="shared" ref="C6345:C6346" si="2696">DATE(2012,12,31)-1376</f>
        <v>39898</v>
      </c>
      <c r="D6345" s="4" t="s">
        <v>45</v>
      </c>
      <c r="E6345" s="4">
        <v>20.0</v>
      </c>
      <c r="F6345" s="4">
        <v>4520.6</v>
      </c>
      <c r="G6345" s="4">
        <v>0.07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ht="12.75" customHeight="1">
      <c r="A6346" s="4">
        <v>4377.0</v>
      </c>
      <c r="B6346" s="4">
        <v>31174.0</v>
      </c>
      <c r="C6346" s="5">
        <f t="shared" si="2696"/>
        <v>39898</v>
      </c>
      <c r="D6346" s="4" t="s">
        <v>45</v>
      </c>
      <c r="E6346" s="4">
        <v>29.0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ht="12.75" customHeight="1">
      <c r="A6347" s="4">
        <v>4397.0</v>
      </c>
      <c r="B6347" s="4">
        <v>31302.0</v>
      </c>
      <c r="C6347" s="5">
        <f>DATE(2012,12,31)-152</f>
        <v>41122</v>
      </c>
      <c r="D6347" s="4" t="s">
        <v>30</v>
      </c>
      <c r="E6347" s="4">
        <v>41.0</v>
      </c>
      <c r="F6347" s="4">
        <v>4648.64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ht="12.75" customHeight="1">
      <c r="A6348" s="4">
        <v>4490.0</v>
      </c>
      <c r="B6348" s="4">
        <v>31973.0</v>
      </c>
      <c r="C6348" s="5">
        <f t="shared" ref="C6348:C6349" si="2697">DATE(2012,12,31)-599</f>
        <v>40675</v>
      </c>
      <c r="D6348" s="4" t="s">
        <v>45</v>
      </c>
      <c r="E6348" s="4">
        <v>15.0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ht="12.75" customHeight="1">
      <c r="A6349" s="4">
        <v>4491.0</v>
      </c>
      <c r="B6349" s="4">
        <v>31973.0</v>
      </c>
      <c r="C6349" s="5">
        <f t="shared" si="2697"/>
        <v>40675</v>
      </c>
      <c r="D6349" s="4" t="s">
        <v>45</v>
      </c>
      <c r="E6349" s="4">
        <v>16.0</v>
      </c>
      <c r="F6349" s="4">
        <v>124.89</v>
      </c>
      <c r="G6349" s="4">
        <v>0.07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ht="12.75" customHeight="1">
      <c r="A6350" s="4">
        <v>4511.0</v>
      </c>
      <c r="B6350" s="4">
        <v>32101.0</v>
      </c>
      <c r="C6350" s="5">
        <f>DATE(2012,12,31)-1101</f>
        <v>40173</v>
      </c>
      <c r="D6350" s="4" t="s">
        <v>21</v>
      </c>
      <c r="E6350" s="4">
        <v>48.0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</v>
      </c>
      <c r="U6350" s="5">
        <f t="shared" ref="U6350:U6351" si="2698">C6350+4</f>
        <v>40177</v>
      </c>
    </row>
    <row r="6351" ht="12.75" customHeight="1">
      <c r="A6351" s="4">
        <v>4625.0</v>
      </c>
      <c r="B6351" s="4">
        <v>32929.0</v>
      </c>
      <c r="C6351" s="5">
        <f t="shared" ref="C6351:C6352" si="2699">DATE(2012,12,31)-609</f>
        <v>40665</v>
      </c>
      <c r="D6351" s="4" t="s">
        <v>21</v>
      </c>
      <c r="E6351" s="4">
        <v>8.0</v>
      </c>
      <c r="F6351" s="4">
        <v>44.56</v>
      </c>
      <c r="G6351" s="4">
        <v>0.05</v>
      </c>
      <c r="H6351" s="4" t="s">
        <v>22</v>
      </c>
      <c r="I6351" s="6">
        <v>4.81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8"/>
        <v>40669</v>
      </c>
    </row>
    <row r="6352" ht="12.75" customHeight="1">
      <c r="A6352" s="4">
        <v>4626.0</v>
      </c>
      <c r="B6352" s="4">
        <v>32929.0</v>
      </c>
      <c r="C6352" s="5">
        <f t="shared" si="2699"/>
        <v>40665</v>
      </c>
      <c r="D6352" s="4" t="s">
        <v>21</v>
      </c>
      <c r="E6352" s="4">
        <v>13.0</v>
      </c>
      <c r="F6352" s="4">
        <v>152.14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4.81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0.58</v>
      </c>
      <c r="U6352" s="5">
        <f>C6352+5</f>
        <v>40670</v>
      </c>
    </row>
    <row r="6353" ht="12.75" customHeight="1">
      <c r="A6353" s="4">
        <v>4690.0</v>
      </c>
      <c r="B6353" s="4">
        <v>33414.0</v>
      </c>
      <c r="C6353" s="5">
        <f>DATE(2012,12,31)-325</f>
        <v>40949</v>
      </c>
      <c r="D6353" s="4" t="s">
        <v>45</v>
      </c>
      <c r="E6353" s="4">
        <v>9.0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0.57</v>
      </c>
      <c r="U6353" s="5">
        <f>C6353+0</f>
        <v>40949</v>
      </c>
    </row>
    <row r="6354" ht="12.75" customHeight="1">
      <c r="A6354" s="4">
        <v>4860.0</v>
      </c>
      <c r="B6354" s="4">
        <v>34596.0</v>
      </c>
      <c r="C6354" s="5">
        <f>DATE(2012,12,31)-488</f>
        <v>40786</v>
      </c>
      <c r="D6354" s="4" t="s">
        <v>78</v>
      </c>
      <c r="E6354" s="4">
        <v>39.0</v>
      </c>
      <c r="F6354" s="4">
        <v>302.09</v>
      </c>
      <c r="G6354" s="4">
        <v>0.05</v>
      </c>
      <c r="H6354" s="4" t="s">
        <v>22</v>
      </c>
      <c r="I6354" s="6">
        <v>-67.09100000000001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ht="12.75" customHeight="1">
      <c r="A6355" s="4">
        <v>4984.0</v>
      </c>
      <c r="B6355" s="4">
        <v>35457.0</v>
      </c>
      <c r="C6355" s="5">
        <f>DATE(2012,12,31)-1120</f>
        <v>40154</v>
      </c>
      <c r="D6355" s="4" t="s">
        <v>21</v>
      </c>
      <c r="E6355" s="4">
        <v>45.0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ht="12.75" customHeight="1">
      <c r="A6356" s="4">
        <v>5046.0</v>
      </c>
      <c r="B6356" s="4">
        <v>35940.0</v>
      </c>
      <c r="C6356" s="5">
        <f>DATE(2012,12,31)-949</f>
        <v>40325</v>
      </c>
      <c r="D6356" s="4" t="s">
        <v>78</v>
      </c>
      <c r="E6356" s="4">
        <v>47.0</v>
      </c>
      <c r="F6356" s="4">
        <v>136.63</v>
      </c>
      <c r="G6356" s="4">
        <v>0.03</v>
      </c>
      <c r="H6356" s="4" t="s">
        <v>22</v>
      </c>
      <c r="I6356" s="6">
        <v>-162.61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ht="12.75" customHeight="1">
      <c r="A6357" s="4">
        <v>5115.0</v>
      </c>
      <c r="B6357" s="4">
        <v>36449.0</v>
      </c>
      <c r="C6357" s="5">
        <f t="shared" ref="C6357:C6358" si="2700">DATE(2012,12,31)-848</f>
        <v>40426</v>
      </c>
      <c r="D6357" s="4" t="s">
        <v>45</v>
      </c>
      <c r="E6357" s="4">
        <v>43.0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20.24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ht="12.75" customHeight="1">
      <c r="A6358" s="4">
        <v>5116.0</v>
      </c>
      <c r="B6358" s="4">
        <v>36449.0</v>
      </c>
      <c r="C6358" s="5">
        <f t="shared" si="2700"/>
        <v>40426</v>
      </c>
      <c r="D6358" s="4" t="s">
        <v>45</v>
      </c>
      <c r="E6358" s="4">
        <v>27.0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ht="12.75" customHeight="1">
      <c r="A6359" s="4">
        <v>5242.0</v>
      </c>
      <c r="B6359" s="4">
        <v>37313.0</v>
      </c>
      <c r="C6359" s="5">
        <f t="shared" ref="C6359:C6360" si="2701">DATE(2012,12,31)-182</f>
        <v>41092</v>
      </c>
      <c r="D6359" s="4" t="s">
        <v>45</v>
      </c>
      <c r="E6359" s="4">
        <v>44.0</v>
      </c>
      <c r="F6359" s="4">
        <v>3304.38</v>
      </c>
      <c r="G6359" s="4">
        <v>0.0</v>
      </c>
      <c r="H6359" s="4" t="s">
        <v>22</v>
      </c>
      <c r="I6359" s="6">
        <v>-634.49</v>
      </c>
      <c r="J6359" s="4">
        <v>70.71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ht="12.75" customHeight="1">
      <c r="A6360" s="4">
        <v>5243.0</v>
      </c>
      <c r="B6360" s="4">
        <v>37313.0</v>
      </c>
      <c r="C6360" s="5">
        <f t="shared" si="2701"/>
        <v>41092</v>
      </c>
      <c r="D6360" s="4" t="s">
        <v>45</v>
      </c>
      <c r="E6360" s="4">
        <v>17.0</v>
      </c>
      <c r="F6360" s="4">
        <v>908.412</v>
      </c>
      <c r="G6360" s="4">
        <v>0.07</v>
      </c>
      <c r="H6360" s="4" t="s">
        <v>56</v>
      </c>
      <c r="I6360" s="6">
        <v>-71.192</v>
      </c>
      <c r="J6360" s="4">
        <v>65.99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0.58</v>
      </c>
      <c r="U6360" s="5">
        <f>C6360+2</f>
        <v>41094</v>
      </c>
    </row>
    <row r="6361" ht="12.75" customHeight="1">
      <c r="A6361" s="4">
        <v>5249.0</v>
      </c>
      <c r="B6361" s="4">
        <v>37348.0</v>
      </c>
      <c r="C6361" s="5">
        <f>DATE(2012,12,31)-1297</f>
        <v>39977</v>
      </c>
      <c r="D6361" s="4" t="s">
        <v>30</v>
      </c>
      <c r="E6361" s="4">
        <v>33.0</v>
      </c>
      <c r="F6361" s="4">
        <v>551.67</v>
      </c>
      <c r="G6361" s="4">
        <v>0.08</v>
      </c>
      <c r="H6361" s="4" t="s">
        <v>22</v>
      </c>
      <c r="I6361" s="6">
        <v>25.44</v>
      </c>
      <c r="J6361" s="4">
        <v>17.15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0.58</v>
      </c>
      <c r="U6361" s="5">
        <f>C6361+3</f>
        <v>39980</v>
      </c>
    </row>
    <row r="6362" ht="12.75" customHeight="1">
      <c r="A6362" s="4">
        <v>5271.0</v>
      </c>
      <c r="B6362" s="4">
        <v>37510.0</v>
      </c>
      <c r="C6362" s="5">
        <f>DATE(2012,12,31)-1394</f>
        <v>39880</v>
      </c>
      <c r="D6362" s="4" t="s">
        <v>78</v>
      </c>
      <c r="E6362" s="4">
        <v>15.0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</v>
      </c>
      <c r="K6362" s="4">
        <v>19.99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ht="12.75" customHeight="1">
      <c r="A6363" s="4">
        <v>5304.0</v>
      </c>
      <c r="B6363" s="4">
        <v>37762.0</v>
      </c>
      <c r="C6363" s="5">
        <f>DATE(2012,12,31)-208</f>
        <v>41066</v>
      </c>
      <c r="D6363" s="4" t="s">
        <v>63</v>
      </c>
      <c r="E6363" s="4">
        <v>20.0</v>
      </c>
      <c r="F6363" s="4">
        <v>135.02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ht="12.75" customHeight="1">
      <c r="A6364" s="4">
        <v>5439.0</v>
      </c>
      <c r="B6364" s="4">
        <v>38628.0</v>
      </c>
      <c r="C6364" s="5">
        <f>DATE(2012,12,31)-429</f>
        <v>40845</v>
      </c>
      <c r="D6364" s="4" t="s">
        <v>21</v>
      </c>
      <c r="E6364" s="4">
        <v>23.0</v>
      </c>
      <c r="F6364" s="4">
        <v>667.9979999999999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ht="12.75" customHeight="1">
      <c r="A6365" s="4">
        <v>5465.0</v>
      </c>
      <c r="B6365" s="4">
        <v>38848.0</v>
      </c>
      <c r="C6365" s="5">
        <f>DATE(2012,12,31)-15</f>
        <v>41259</v>
      </c>
      <c r="D6365" s="4" t="s">
        <v>30</v>
      </c>
      <c r="E6365" s="4">
        <v>6.0</v>
      </c>
      <c r="F6365" s="4">
        <v>259.52</v>
      </c>
      <c r="G6365" s="4">
        <v>0.06</v>
      </c>
      <c r="H6365" s="4" t="s">
        <v>22</v>
      </c>
      <c r="I6365" s="6">
        <v>45.203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2">C6365+1</f>
        <v>41260</v>
      </c>
    </row>
    <row r="6366" ht="12.75" customHeight="1">
      <c r="A6366" s="4">
        <v>5490.0</v>
      </c>
      <c r="B6366" s="4">
        <v>38950.0</v>
      </c>
      <c r="C6366" s="5">
        <f t="shared" ref="C6366:C6368" si="2703">DATE(2012,12,31)-548</f>
        <v>40726</v>
      </c>
      <c r="D6366" s="4" t="s">
        <v>45</v>
      </c>
      <c r="E6366" s="4">
        <v>24.0</v>
      </c>
      <c r="F6366" s="4">
        <v>109.23</v>
      </c>
      <c r="G6366" s="4">
        <v>0.02</v>
      </c>
      <c r="H6366" s="4" t="s">
        <v>22</v>
      </c>
      <c r="I6366" s="6">
        <v>-100.579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2"/>
        <v>40727</v>
      </c>
    </row>
    <row r="6367" ht="12.75" customHeight="1">
      <c r="A6367" s="4">
        <v>5491.0</v>
      </c>
      <c r="B6367" s="4">
        <v>38950.0</v>
      </c>
      <c r="C6367" s="5">
        <f t="shared" si="2703"/>
        <v>40726</v>
      </c>
      <c r="D6367" s="4" t="s">
        <v>45</v>
      </c>
      <c r="E6367" s="4">
        <v>39.0</v>
      </c>
      <c r="F6367" s="4">
        <v>74.0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2"/>
        <v>40727</v>
      </c>
    </row>
    <row r="6368" ht="12.75" customHeight="1">
      <c r="A6368" s="4">
        <v>5492.0</v>
      </c>
      <c r="B6368" s="4">
        <v>38950.0</v>
      </c>
      <c r="C6368" s="5">
        <f t="shared" si="2703"/>
        <v>40726</v>
      </c>
      <c r="D6368" s="4" t="s">
        <v>45</v>
      </c>
      <c r="E6368" s="4">
        <v>30.0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</v>
      </c>
      <c r="U6368" s="5">
        <f>C6368+3</f>
        <v>40729</v>
      </c>
    </row>
    <row r="6369" ht="12.75" customHeight="1">
      <c r="A6369" s="4">
        <v>5578.0</v>
      </c>
      <c r="B6369" s="4">
        <v>39521.0</v>
      </c>
      <c r="C6369" s="5">
        <f>DATE(2012,12,31)-1240</f>
        <v>40034</v>
      </c>
      <c r="D6369" s="4" t="s">
        <v>21</v>
      </c>
      <c r="E6369" s="4">
        <v>28.0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ht="12.75" customHeight="1">
      <c r="A6370" s="4">
        <v>5698.0</v>
      </c>
      <c r="B6370" s="4">
        <v>40289.0</v>
      </c>
      <c r="C6370" s="5">
        <f t="shared" ref="C6370:C6371" si="2704">DATE(2012,12,31)-35</f>
        <v>41239</v>
      </c>
      <c r="D6370" s="4" t="s">
        <v>45</v>
      </c>
      <c r="E6370" s="4">
        <v>26.0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5">C6370+1</f>
        <v>41240</v>
      </c>
    </row>
    <row r="6371" ht="12.75" customHeight="1">
      <c r="A6371" s="4">
        <v>5699.0</v>
      </c>
      <c r="B6371" s="4">
        <v>40289.0</v>
      </c>
      <c r="C6371" s="5">
        <f t="shared" si="2704"/>
        <v>41239</v>
      </c>
      <c r="D6371" s="4" t="s">
        <v>45</v>
      </c>
      <c r="E6371" s="4">
        <v>4.0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5"/>
        <v>41240</v>
      </c>
    </row>
    <row r="6372" ht="12.75" customHeight="1">
      <c r="A6372" s="4">
        <v>5739.0</v>
      </c>
      <c r="B6372" s="4">
        <v>40775.0</v>
      </c>
      <c r="C6372" s="5">
        <f>DATE(2012,12,31)-775</f>
        <v>40499</v>
      </c>
      <c r="D6372" s="4" t="s">
        <v>21</v>
      </c>
      <c r="E6372" s="4">
        <v>23.0</v>
      </c>
      <c r="F6372" s="4">
        <v>279.63</v>
      </c>
      <c r="G6372" s="4">
        <v>0.07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ht="12.75" customHeight="1">
      <c r="A6373" s="4">
        <v>5794.0</v>
      </c>
      <c r="B6373" s="4">
        <v>41094.0</v>
      </c>
      <c r="C6373" s="5">
        <f t="shared" ref="C6373:C6374" si="2706">DATE(2012,12,31)-1455</f>
        <v>39819</v>
      </c>
      <c r="D6373" s="4" t="s">
        <v>21</v>
      </c>
      <c r="E6373" s="4">
        <v>46.0</v>
      </c>
      <c r="F6373" s="4">
        <v>298.97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ht="12.75" customHeight="1">
      <c r="A6374" s="4">
        <v>5795.0</v>
      </c>
      <c r="B6374" s="4">
        <v>41094.0</v>
      </c>
      <c r="C6374" s="5">
        <f t="shared" si="2706"/>
        <v>39819</v>
      </c>
      <c r="D6374" s="4" t="s">
        <v>21</v>
      </c>
      <c r="E6374" s="4">
        <v>6.0</v>
      </c>
      <c r="F6374" s="4">
        <v>159.05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35.0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ht="12.75" customHeight="1">
      <c r="A6375" s="4">
        <v>5808.0</v>
      </c>
      <c r="B6375" s="4">
        <v>41186.0</v>
      </c>
      <c r="C6375" s="5">
        <f>DATE(2012,12,31)-770</f>
        <v>40504</v>
      </c>
      <c r="D6375" s="4" t="s">
        <v>30</v>
      </c>
      <c r="E6375" s="4">
        <v>13.0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9.78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ht="12.75" customHeight="1">
      <c r="A6376" s="4">
        <v>5830.0</v>
      </c>
      <c r="B6376" s="4">
        <v>41351.0</v>
      </c>
      <c r="C6376" s="5">
        <f>DATE(2012,12,31)-830</f>
        <v>40444</v>
      </c>
      <c r="D6376" s="4" t="s">
        <v>45</v>
      </c>
      <c r="E6376" s="4">
        <v>48.0</v>
      </c>
      <c r="F6376" s="4">
        <v>8273.2795</v>
      </c>
      <c r="G6376" s="4">
        <v>0.08</v>
      </c>
      <c r="H6376" s="4" t="s">
        <v>22</v>
      </c>
      <c r="I6376" s="6">
        <v>2461.311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</v>
      </c>
      <c r="U6376" s="5">
        <f t="shared" ref="U6376:U6377" si="2707">C6376+1</f>
        <v>40445</v>
      </c>
    </row>
    <row r="6377" ht="12.75" customHeight="1">
      <c r="A6377" s="4">
        <v>5861.0</v>
      </c>
      <c r="B6377" s="4">
        <v>41605.0</v>
      </c>
      <c r="C6377" s="5">
        <f>DATE(2012,12,31)-737</f>
        <v>40537</v>
      </c>
      <c r="D6377" s="4" t="s">
        <v>63</v>
      </c>
      <c r="E6377" s="4">
        <v>4.0</v>
      </c>
      <c r="F6377" s="4">
        <v>114.57</v>
      </c>
      <c r="G6377" s="4">
        <v>0.02</v>
      </c>
      <c r="H6377" s="4" t="s">
        <v>22</v>
      </c>
      <c r="I6377" s="6">
        <v>-29.9805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7"/>
        <v>40538</v>
      </c>
    </row>
    <row r="6378" ht="12.75" customHeight="1">
      <c r="A6378" s="4">
        <v>5875.0</v>
      </c>
      <c r="B6378" s="4">
        <v>41667.0</v>
      </c>
      <c r="C6378" s="5">
        <f>DATE(2012,12,31)-194</f>
        <v>41080</v>
      </c>
      <c r="D6378" s="4" t="s">
        <v>30</v>
      </c>
      <c r="E6378" s="4">
        <v>18.0</v>
      </c>
      <c r="F6378" s="4">
        <v>1062.2195</v>
      </c>
      <c r="G6378" s="4">
        <v>0.03</v>
      </c>
      <c r="H6378" s="4" t="s">
        <v>22</v>
      </c>
      <c r="I6378" s="6">
        <v>132.372</v>
      </c>
      <c r="J6378" s="4">
        <v>65.99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0.57</v>
      </c>
      <c r="U6378" s="5">
        <f>C6378+3</f>
        <v>41083</v>
      </c>
    </row>
    <row r="6379" ht="12.75" customHeight="1">
      <c r="A6379" s="4">
        <v>6068.0</v>
      </c>
      <c r="B6379" s="4">
        <v>42982.0</v>
      </c>
      <c r="C6379" s="5">
        <f>DATE(2012,12,31)-157</f>
        <v>41117</v>
      </c>
      <c r="D6379" s="4" t="s">
        <v>21</v>
      </c>
      <c r="E6379" s="4">
        <v>12.0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ht="12.75" customHeight="1">
      <c r="A6380" s="4">
        <v>6172.0</v>
      </c>
      <c r="B6380" s="4">
        <v>43745.0</v>
      </c>
      <c r="C6380" s="5">
        <f t="shared" ref="C6380:C6381" si="2708">DATE(2012,12,31)-791</f>
        <v>40483</v>
      </c>
      <c r="D6380" s="4" t="s">
        <v>21</v>
      </c>
      <c r="E6380" s="4">
        <v>5.0</v>
      </c>
      <c r="F6380" s="4">
        <v>128.59</v>
      </c>
      <c r="G6380" s="4">
        <v>0.07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ht="12.75" customHeight="1">
      <c r="A6381" s="4">
        <v>6173.0</v>
      </c>
      <c r="B6381" s="4">
        <v>43745.0</v>
      </c>
      <c r="C6381" s="5">
        <f t="shared" si="2708"/>
        <v>40483</v>
      </c>
      <c r="D6381" s="4" t="s">
        <v>21</v>
      </c>
      <c r="E6381" s="4">
        <v>1.0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ht="12.75" customHeight="1">
      <c r="A6382" s="4">
        <v>6234.0</v>
      </c>
      <c r="B6382" s="4">
        <v>44167.0</v>
      </c>
      <c r="C6382" s="5">
        <f>DATE(2012,12,31)-336</f>
        <v>40938</v>
      </c>
      <c r="D6382" s="4" t="s">
        <v>78</v>
      </c>
      <c r="E6382" s="4">
        <v>23.0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</v>
      </c>
      <c r="K6382" s="4">
        <v>19.99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</v>
      </c>
      <c r="U6382" s="5">
        <f>C6382+1</f>
        <v>40939</v>
      </c>
    </row>
    <row r="6383" ht="12.75" customHeight="1">
      <c r="A6383" s="4">
        <v>6349.0</v>
      </c>
      <c r="B6383" s="4">
        <v>44997.0</v>
      </c>
      <c r="C6383" s="5">
        <f>DATE(2012,12,31)-460</f>
        <v>40814</v>
      </c>
      <c r="D6383" s="4" t="s">
        <v>21</v>
      </c>
      <c r="E6383" s="4">
        <v>46.0</v>
      </c>
      <c r="F6383" s="4">
        <v>88.1</v>
      </c>
      <c r="G6383" s="4">
        <v>0.03</v>
      </c>
      <c r="H6383" s="4" t="s">
        <v>22</v>
      </c>
      <c r="I6383" s="6">
        <v>-161.61</v>
      </c>
      <c r="J6383" s="4">
        <v>1.76</v>
      </c>
      <c r="K6383" s="4">
        <v>4.86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ht="12.75" customHeight="1">
      <c r="A6384" s="4">
        <v>6392.0</v>
      </c>
      <c r="B6384" s="4">
        <v>45408.0</v>
      </c>
      <c r="C6384" s="5">
        <f>DATE(2012,12,31)-736</f>
        <v>40538</v>
      </c>
      <c r="D6384" s="4" t="s">
        <v>21</v>
      </c>
      <c r="E6384" s="4">
        <v>25.0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ht="12.75" customHeight="1">
      <c r="A6385" s="4">
        <v>6449.0</v>
      </c>
      <c r="B6385" s="4">
        <v>45924.0</v>
      </c>
      <c r="C6385" s="5">
        <f>DATE(2012,12,31)-741</f>
        <v>40533</v>
      </c>
      <c r="D6385" s="4" t="s">
        <v>21</v>
      </c>
      <c r="E6385" s="4">
        <v>1.0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ht="12.75" customHeight="1">
      <c r="A6386" s="4">
        <v>6548.0</v>
      </c>
      <c r="B6386" s="4">
        <v>46565.0</v>
      </c>
      <c r="C6386" s="5">
        <f t="shared" ref="C6386:C6388" si="2709">DATE(2012,12,31)-558</f>
        <v>40716</v>
      </c>
      <c r="D6386" s="4" t="s">
        <v>45</v>
      </c>
      <c r="E6386" s="4">
        <v>16.0</v>
      </c>
      <c r="F6386" s="4">
        <v>4691.27</v>
      </c>
      <c r="G6386" s="4">
        <v>0.05</v>
      </c>
      <c r="H6386" s="4" t="s">
        <v>56</v>
      </c>
      <c r="I6386" s="6">
        <v>1196.72</v>
      </c>
      <c r="J6386" s="4">
        <v>300.65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ht="12.75" customHeight="1">
      <c r="A6387" s="4">
        <v>6549.0</v>
      </c>
      <c r="B6387" s="4">
        <v>46565.0</v>
      </c>
      <c r="C6387" s="5">
        <f t="shared" si="2709"/>
        <v>40716</v>
      </c>
      <c r="D6387" s="4" t="s">
        <v>45</v>
      </c>
      <c r="E6387" s="4">
        <v>50.0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ht="12.75" customHeight="1">
      <c r="A6388" s="4">
        <v>6550.0</v>
      </c>
      <c r="B6388" s="4">
        <v>46565.0</v>
      </c>
      <c r="C6388" s="5">
        <f t="shared" si="2709"/>
        <v>40716</v>
      </c>
      <c r="D6388" s="4" t="s">
        <v>45</v>
      </c>
      <c r="E6388" s="4">
        <v>8.0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</v>
      </c>
      <c r="K6388" s="4">
        <v>35.0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10">C6388+2</f>
        <v>40718</v>
      </c>
    </row>
    <row r="6389" ht="12.75" customHeight="1">
      <c r="A6389" s="4">
        <v>6593.0</v>
      </c>
      <c r="B6389" s="4">
        <v>46916.0</v>
      </c>
      <c r="C6389" s="5">
        <f t="shared" ref="C6389:C6390" si="2711">DATE(2012,12,31)-455</f>
        <v>40819</v>
      </c>
      <c r="D6389" s="4" t="s">
        <v>30</v>
      </c>
      <c r="E6389" s="4">
        <v>40.0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10"/>
        <v>40821</v>
      </c>
    </row>
    <row r="6390" ht="12.75" customHeight="1">
      <c r="A6390" s="4">
        <v>6594.0</v>
      </c>
      <c r="B6390" s="4">
        <v>46916.0</v>
      </c>
      <c r="C6390" s="5">
        <f t="shared" si="2711"/>
        <v>40819</v>
      </c>
      <c r="D6390" s="4" t="s">
        <v>30</v>
      </c>
      <c r="E6390" s="4">
        <v>40.0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19.99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</v>
      </c>
      <c r="U6390" s="5">
        <f t="shared" si="2710"/>
        <v>40821</v>
      </c>
    </row>
    <row r="6391" ht="12.75" customHeight="1">
      <c r="A6391" s="4">
        <v>6634.0</v>
      </c>
      <c r="B6391" s="4">
        <v>47173.0</v>
      </c>
      <c r="C6391" s="5">
        <f>DATE(2012,12,31)-1217</f>
        <v>40057</v>
      </c>
      <c r="D6391" s="4" t="s">
        <v>45</v>
      </c>
      <c r="E6391" s="4">
        <v>41.0</v>
      </c>
      <c r="F6391" s="4">
        <v>277.0745</v>
      </c>
      <c r="G6391" s="4">
        <v>0.03</v>
      </c>
      <c r="H6391" s="4" t="s">
        <v>22</v>
      </c>
      <c r="I6391" s="6">
        <v>-128.436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10"/>
        <v>40059</v>
      </c>
    </row>
    <row r="6392" ht="12.75" customHeight="1">
      <c r="A6392" s="4">
        <v>6649.0</v>
      </c>
      <c r="B6392" s="4">
        <v>47271.0</v>
      </c>
      <c r="C6392" s="5">
        <f>DATE(2012,12,31)-522</f>
        <v>40752</v>
      </c>
      <c r="D6392" s="4" t="s">
        <v>63</v>
      </c>
      <c r="E6392" s="4">
        <v>44.0</v>
      </c>
      <c r="F6392" s="4">
        <v>221.42</v>
      </c>
      <c r="G6392" s="4">
        <v>0.03</v>
      </c>
      <c r="H6392" s="4" t="s">
        <v>22</v>
      </c>
      <c r="I6392" s="6">
        <v>-142.02</v>
      </c>
      <c r="J6392" s="4">
        <v>4.98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ht="12.75" customHeight="1">
      <c r="A6393" s="4">
        <v>6712.0</v>
      </c>
      <c r="B6393" s="4">
        <v>47815.0</v>
      </c>
      <c r="C6393" s="5">
        <f>DATE(2012,12,31)-1</f>
        <v>41273</v>
      </c>
      <c r="D6393" s="4" t="s">
        <v>45</v>
      </c>
      <c r="E6393" s="4">
        <v>45.0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2">C6393+0</f>
        <v>41273</v>
      </c>
    </row>
    <row r="6394" ht="12.75" customHeight="1">
      <c r="A6394" s="4">
        <v>6727.0</v>
      </c>
      <c r="B6394" s="4">
        <v>47909.0</v>
      </c>
      <c r="C6394" s="5">
        <f t="shared" ref="C6394:C6396" si="2713">DATE(2012,12,31)-1028</f>
        <v>40246</v>
      </c>
      <c r="D6394" s="4" t="s">
        <v>63</v>
      </c>
      <c r="E6394" s="4">
        <v>38.0</v>
      </c>
      <c r="F6394" s="4">
        <v>185.19</v>
      </c>
      <c r="G6394" s="4">
        <v>0.07</v>
      </c>
      <c r="H6394" s="4" t="s">
        <v>22</v>
      </c>
      <c r="I6394" s="6">
        <v>-175.62</v>
      </c>
      <c r="J6394" s="4">
        <v>4.98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2"/>
        <v>40246</v>
      </c>
    </row>
    <row r="6395" ht="12.75" customHeight="1">
      <c r="A6395" s="4">
        <v>6728.0</v>
      </c>
      <c r="B6395" s="4">
        <v>47909.0</v>
      </c>
      <c r="C6395" s="5">
        <f t="shared" si="2713"/>
        <v>40246</v>
      </c>
      <c r="D6395" s="4" t="s">
        <v>63</v>
      </c>
      <c r="E6395" s="4">
        <v>22.0</v>
      </c>
      <c r="F6395" s="4">
        <v>220.26</v>
      </c>
      <c r="G6395" s="4">
        <v>0.07</v>
      </c>
      <c r="H6395" s="4" t="s">
        <v>22</v>
      </c>
      <c r="I6395" s="6">
        <v>-35.95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ht="12.75" customHeight="1">
      <c r="A6396" s="4">
        <v>6729.0</v>
      </c>
      <c r="B6396" s="4">
        <v>47909.0</v>
      </c>
      <c r="C6396" s="5">
        <f t="shared" si="2713"/>
        <v>40246</v>
      </c>
      <c r="D6396" s="4" t="s">
        <v>63</v>
      </c>
      <c r="E6396" s="4">
        <v>48.0</v>
      </c>
      <c r="F6396" s="4">
        <v>843.03</v>
      </c>
      <c r="G6396" s="4">
        <v>0.08</v>
      </c>
      <c r="H6396" s="4" t="s">
        <v>22</v>
      </c>
      <c r="I6396" s="6">
        <v>419.895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ht="12.75" customHeight="1">
      <c r="A6397" s="4">
        <v>6823.0</v>
      </c>
      <c r="B6397" s="4">
        <v>48609.0</v>
      </c>
      <c r="C6397" s="5">
        <f t="shared" ref="C6397:C6398" si="2714">DATE(2012,12,31)-1041</f>
        <v>40233</v>
      </c>
      <c r="D6397" s="4" t="s">
        <v>30</v>
      </c>
      <c r="E6397" s="4">
        <v>26.0</v>
      </c>
      <c r="F6397" s="4">
        <v>176.34</v>
      </c>
      <c r="G6397" s="4">
        <v>0.0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5">C6397+1</f>
        <v>40234</v>
      </c>
    </row>
    <row r="6398" ht="12.75" customHeight="1">
      <c r="A6398" s="4">
        <v>6824.0</v>
      </c>
      <c r="B6398" s="4">
        <v>48609.0</v>
      </c>
      <c r="C6398" s="5">
        <f t="shared" si="2714"/>
        <v>40233</v>
      </c>
      <c r="D6398" s="4" t="s">
        <v>30</v>
      </c>
      <c r="E6398" s="4">
        <v>5.0</v>
      </c>
      <c r="F6398" s="4">
        <v>186.5</v>
      </c>
      <c r="G6398" s="4">
        <v>0.04</v>
      </c>
      <c r="H6398" s="4" t="s">
        <v>56</v>
      </c>
      <c r="I6398" s="6">
        <v>4.160000000000011</v>
      </c>
      <c r="J6398" s="4">
        <v>37.44</v>
      </c>
      <c r="K6398" s="4">
        <v>4.27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5"/>
        <v>40234</v>
      </c>
    </row>
    <row r="6399" ht="12.75" customHeight="1">
      <c r="A6399" s="4">
        <v>6833.0</v>
      </c>
      <c r="B6399" s="4">
        <v>48643.0</v>
      </c>
      <c r="C6399" s="5">
        <f t="shared" ref="C6399:C6401" si="2716">DATE(2012,12,31)-74</f>
        <v>41200</v>
      </c>
      <c r="D6399" s="4" t="s">
        <v>63</v>
      </c>
      <c r="E6399" s="4">
        <v>14.0</v>
      </c>
      <c r="F6399" s="4">
        <v>9171.71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7">C6399+2</f>
        <v>41202</v>
      </c>
    </row>
    <row r="6400" ht="12.75" customHeight="1">
      <c r="A6400" s="4">
        <v>6834.0</v>
      </c>
      <c r="B6400" s="4">
        <v>48643.0</v>
      </c>
      <c r="C6400" s="5">
        <f t="shared" si="2716"/>
        <v>41200</v>
      </c>
      <c r="D6400" s="4" t="s">
        <v>63</v>
      </c>
      <c r="E6400" s="4">
        <v>6.0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7"/>
        <v>41202</v>
      </c>
    </row>
    <row r="6401" ht="12.75" customHeight="1">
      <c r="A6401" s="4">
        <v>6835.0</v>
      </c>
      <c r="B6401" s="4">
        <v>48643.0</v>
      </c>
      <c r="C6401" s="5">
        <f t="shared" si="2716"/>
        <v>41200</v>
      </c>
      <c r="D6401" s="4" t="s">
        <v>63</v>
      </c>
      <c r="E6401" s="4">
        <v>50.0</v>
      </c>
      <c r="F6401" s="4">
        <v>2896.3579999999997</v>
      </c>
      <c r="G6401" s="4">
        <v>0.0</v>
      </c>
      <c r="H6401" s="4" t="s">
        <v>22</v>
      </c>
      <c r="I6401" s="6">
        <v>583.4970000000001</v>
      </c>
      <c r="J6401" s="4">
        <v>65.99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7"/>
        <v>41202</v>
      </c>
    </row>
    <row r="6402" ht="12.75" customHeight="1">
      <c r="A6402" s="4">
        <v>6923.0</v>
      </c>
      <c r="B6402" s="4">
        <v>49380.0</v>
      </c>
      <c r="C6402" s="5">
        <f>DATE(2012,12,31)-241</f>
        <v>41033</v>
      </c>
      <c r="D6402" s="4" t="s">
        <v>63</v>
      </c>
      <c r="E6402" s="4">
        <v>11.0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7"/>
        <v>41035</v>
      </c>
    </row>
    <row r="6403" ht="12.75" customHeight="1">
      <c r="A6403" s="4">
        <v>6946.0</v>
      </c>
      <c r="B6403" s="4">
        <v>49607.0</v>
      </c>
      <c r="C6403" s="5">
        <f>DATE(2012,12,31)-1337</f>
        <v>39937</v>
      </c>
      <c r="D6403" s="4" t="s">
        <v>63</v>
      </c>
      <c r="E6403" s="4">
        <v>6.0</v>
      </c>
      <c r="F6403" s="4">
        <v>1056.6435</v>
      </c>
      <c r="G6403" s="4">
        <v>0.06</v>
      </c>
      <c r="H6403" s="4" t="s">
        <v>22</v>
      </c>
      <c r="I6403" s="6">
        <v>-586.201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</v>
      </c>
      <c r="U6403" s="5">
        <f>C6403+1</f>
        <v>39938</v>
      </c>
    </row>
    <row r="6404" ht="12.75" customHeight="1">
      <c r="A6404" s="4">
        <v>6977.0</v>
      </c>
      <c r="B6404" s="4">
        <v>49862.0</v>
      </c>
      <c r="C6404" s="5">
        <f>DATE(2012,12,31)-110</f>
        <v>41164</v>
      </c>
      <c r="D6404" s="4" t="s">
        <v>45</v>
      </c>
      <c r="E6404" s="4">
        <v>24.0</v>
      </c>
      <c r="F6404" s="4">
        <v>75.73</v>
      </c>
      <c r="G6404" s="4">
        <v>0.07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8">C6404+2</f>
        <v>41166</v>
      </c>
    </row>
    <row r="6405" ht="12.75" customHeight="1">
      <c r="A6405" s="4">
        <v>7033.0</v>
      </c>
      <c r="B6405" s="4">
        <v>50209.0</v>
      </c>
      <c r="C6405" s="5">
        <f t="shared" ref="C6405:C6406" si="2719">DATE(2012,12,31)-843</f>
        <v>40431</v>
      </c>
      <c r="D6405" s="4" t="s">
        <v>30</v>
      </c>
      <c r="E6405" s="4">
        <v>34.0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8"/>
        <v>40433</v>
      </c>
    </row>
    <row r="6406" ht="12.75" customHeight="1">
      <c r="A6406" s="4">
        <v>7034.0</v>
      </c>
      <c r="B6406" s="4">
        <v>50209.0</v>
      </c>
      <c r="C6406" s="5">
        <f t="shared" si="2719"/>
        <v>40431</v>
      </c>
      <c r="D6406" s="4" t="s">
        <v>30</v>
      </c>
      <c r="E6406" s="4">
        <v>2.0</v>
      </c>
      <c r="F6406" s="4">
        <v>53.3</v>
      </c>
      <c r="G6406" s="4">
        <v>0.0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ht="12.75" customHeight="1">
      <c r="A6407" s="4">
        <v>7066.0</v>
      </c>
      <c r="B6407" s="4">
        <v>50432.0</v>
      </c>
      <c r="C6407" s="5">
        <f t="shared" ref="C6407:C6408" si="2720">DATE(2012,12,31)-1303</f>
        <v>39971</v>
      </c>
      <c r="D6407" s="4" t="s">
        <v>21</v>
      </c>
      <c r="E6407" s="4">
        <v>7.0</v>
      </c>
      <c r="F6407" s="4">
        <v>2161.36</v>
      </c>
      <c r="G6407" s="4">
        <v>0.02</v>
      </c>
      <c r="H6407" s="4" t="s">
        <v>31</v>
      </c>
      <c r="I6407" s="6">
        <v>-92.37000000000006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ht="12.75" customHeight="1">
      <c r="A6408" s="4">
        <v>7067.0</v>
      </c>
      <c r="B6408" s="4">
        <v>50432.0</v>
      </c>
      <c r="C6408" s="5">
        <f t="shared" si="2720"/>
        <v>39971</v>
      </c>
      <c r="D6408" s="4" t="s">
        <v>21</v>
      </c>
      <c r="E6408" s="4">
        <v>45.0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ht="12.75" customHeight="1">
      <c r="A6409" s="4">
        <v>7076.0</v>
      </c>
      <c r="B6409" s="4">
        <v>50500.0</v>
      </c>
      <c r="C6409" s="5">
        <f t="shared" ref="C6409:C6410" si="2721">DATE(2012,12,31)-482</f>
        <v>40792</v>
      </c>
      <c r="D6409" s="4" t="s">
        <v>21</v>
      </c>
      <c r="E6409" s="4">
        <v>11.0</v>
      </c>
      <c r="F6409" s="4">
        <v>64.86</v>
      </c>
      <c r="G6409" s="4">
        <v>0.0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ht="12.75" customHeight="1">
      <c r="A6410" s="4">
        <v>7077.0</v>
      </c>
      <c r="B6410" s="4">
        <v>50500.0</v>
      </c>
      <c r="C6410" s="5">
        <f t="shared" si="2721"/>
        <v>40792</v>
      </c>
      <c r="D6410" s="4" t="s">
        <v>21</v>
      </c>
      <c r="E6410" s="4">
        <v>45.0</v>
      </c>
      <c r="F6410" s="4">
        <v>109.39</v>
      </c>
      <c r="G6410" s="4">
        <v>0.07</v>
      </c>
      <c r="H6410" s="4" t="s">
        <v>56</v>
      </c>
      <c r="I6410" s="6">
        <v>16.31</v>
      </c>
      <c r="J6410" s="4">
        <v>2.47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ht="12.75" customHeight="1">
      <c r="A6411" s="4">
        <v>7093.0</v>
      </c>
      <c r="B6411" s="4">
        <v>50626.0</v>
      </c>
      <c r="C6411" s="5">
        <f t="shared" ref="C6411:C6412" si="2722">DATE(2012,12,31)-1168</f>
        <v>40106</v>
      </c>
      <c r="D6411" s="4" t="s">
        <v>63</v>
      </c>
      <c r="E6411" s="4">
        <v>18.0</v>
      </c>
      <c r="F6411" s="4">
        <v>3267.41</v>
      </c>
      <c r="G6411" s="4">
        <v>0.0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ht="12.75" customHeight="1">
      <c r="A6412" s="4">
        <v>7094.0</v>
      </c>
      <c r="B6412" s="4">
        <v>50626.0</v>
      </c>
      <c r="C6412" s="5">
        <f t="shared" si="2722"/>
        <v>40106</v>
      </c>
      <c r="D6412" s="4" t="s">
        <v>63</v>
      </c>
      <c r="E6412" s="4">
        <v>42.0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ht="12.75" customHeight="1">
      <c r="A6413" s="4">
        <v>7099.0</v>
      </c>
      <c r="B6413" s="4">
        <v>50657.0</v>
      </c>
      <c r="C6413" s="5">
        <f t="shared" ref="C6413:C6415" si="2723">DATE(2012,12,31)-379</f>
        <v>40895</v>
      </c>
      <c r="D6413" s="4" t="s">
        <v>30</v>
      </c>
      <c r="E6413" s="4">
        <v>40.0</v>
      </c>
      <c r="F6413" s="4">
        <v>315.45</v>
      </c>
      <c r="G6413" s="4">
        <v>0.01</v>
      </c>
      <c r="H6413" s="4" t="s">
        <v>22</v>
      </c>
      <c r="I6413" s="6">
        <v>-305.877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ht="12.75" customHeight="1">
      <c r="A6414" s="4">
        <v>7100.0</v>
      </c>
      <c r="B6414" s="4">
        <v>50657.0</v>
      </c>
      <c r="C6414" s="5">
        <f t="shared" si="2723"/>
        <v>40895</v>
      </c>
      <c r="D6414" s="4" t="s">
        <v>30</v>
      </c>
      <c r="E6414" s="4">
        <v>16.0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4">C6414+2</f>
        <v>40897</v>
      </c>
    </row>
    <row r="6415" ht="12.75" customHeight="1">
      <c r="A6415" s="4">
        <v>7101.0</v>
      </c>
      <c r="B6415" s="4">
        <v>50657.0</v>
      </c>
      <c r="C6415" s="5">
        <f t="shared" si="2723"/>
        <v>40895</v>
      </c>
      <c r="D6415" s="4" t="s">
        <v>30</v>
      </c>
      <c r="E6415" s="4">
        <v>49.0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150.98</v>
      </c>
      <c r="K6415" s="4">
        <v>16.01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4"/>
        <v>40897</v>
      </c>
    </row>
    <row r="6416" ht="12.75" customHeight="1">
      <c r="A6416" s="4">
        <v>7108.0</v>
      </c>
      <c r="B6416" s="4">
        <v>50725.0</v>
      </c>
      <c r="C6416" s="5">
        <f>DATE(2012,12,31)-769</f>
        <v>40505</v>
      </c>
      <c r="D6416" s="4" t="s">
        <v>63</v>
      </c>
      <c r="E6416" s="4">
        <v>19.0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</v>
      </c>
      <c r="U6416" s="5">
        <f t="shared" si="2724"/>
        <v>40507</v>
      </c>
    </row>
    <row r="6417" ht="12.75" customHeight="1">
      <c r="A6417" s="4">
        <v>7170.0</v>
      </c>
      <c r="B6417" s="4">
        <v>51175.0</v>
      </c>
      <c r="C6417" s="5">
        <f t="shared" ref="C6417:C6418" si="2725">DATE(2012,12,31)-139</f>
        <v>41135</v>
      </c>
      <c r="D6417" s="4" t="s">
        <v>30</v>
      </c>
      <c r="E6417" s="4">
        <v>28.0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</v>
      </c>
      <c r="U6417" s="5">
        <f>C6417+0</f>
        <v>41135</v>
      </c>
    </row>
    <row r="6418" ht="12.75" customHeight="1">
      <c r="A6418" s="4">
        <v>7171.0</v>
      </c>
      <c r="B6418" s="4">
        <v>51175.0</v>
      </c>
      <c r="C6418" s="5">
        <f t="shared" si="2725"/>
        <v>41135</v>
      </c>
      <c r="D6418" s="4" t="s">
        <v>30</v>
      </c>
      <c r="E6418" s="4">
        <v>3.0</v>
      </c>
      <c r="F6418" s="4">
        <v>2136.93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ht="12.75" customHeight="1">
      <c r="A6419" s="4">
        <v>7174.0</v>
      </c>
      <c r="B6419" s="4">
        <v>51202.0</v>
      </c>
      <c r="C6419" s="5">
        <f t="shared" ref="C6419:C6420" si="2726">DATE(2012,12,31)-262</f>
        <v>41012</v>
      </c>
      <c r="D6419" s="4" t="s">
        <v>30</v>
      </c>
      <c r="E6419" s="4">
        <v>4.0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ht="12.75" customHeight="1">
      <c r="A6420" s="4">
        <v>7175.0</v>
      </c>
      <c r="B6420" s="4">
        <v>51202.0</v>
      </c>
      <c r="C6420" s="5">
        <f t="shared" si="2726"/>
        <v>41012</v>
      </c>
      <c r="D6420" s="4" t="s">
        <v>30</v>
      </c>
      <c r="E6420" s="4">
        <v>34.0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7">C6420+1</f>
        <v>41013</v>
      </c>
    </row>
    <row r="6421" ht="12.75" customHeight="1">
      <c r="A6421" s="4">
        <v>7213.0</v>
      </c>
      <c r="B6421" s="4">
        <v>51488.0</v>
      </c>
      <c r="C6421" s="5">
        <f>DATE(2012,12,31)-974</f>
        <v>40300</v>
      </c>
      <c r="D6421" s="4" t="s">
        <v>30</v>
      </c>
      <c r="E6421" s="4">
        <v>31.0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0.58</v>
      </c>
      <c r="U6421" s="5">
        <f t="shared" si="2727"/>
        <v>40301</v>
      </c>
    </row>
    <row r="6422" ht="12.75" customHeight="1">
      <c r="A6422" s="4">
        <v>7271.0</v>
      </c>
      <c r="B6422" s="4">
        <v>51873.0</v>
      </c>
      <c r="C6422" s="5">
        <f>DATE(2012,12,31)-1335</f>
        <v>39939</v>
      </c>
      <c r="D6422" s="4" t="s">
        <v>30</v>
      </c>
      <c r="E6422" s="4">
        <v>29.0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ht="12.75" customHeight="1">
      <c r="A6423" s="4">
        <v>7397.0</v>
      </c>
      <c r="B6423" s="4">
        <v>52711.0</v>
      </c>
      <c r="C6423" s="5">
        <f t="shared" ref="C6423:C6424" si="2728">DATE(2012,12,31)-465</f>
        <v>40809</v>
      </c>
      <c r="D6423" s="4" t="s">
        <v>45</v>
      </c>
      <c r="E6423" s="4">
        <v>7.0</v>
      </c>
      <c r="F6423" s="4">
        <v>220.79</v>
      </c>
      <c r="G6423" s="4">
        <v>0.0</v>
      </c>
      <c r="H6423" s="4" t="s">
        <v>22</v>
      </c>
      <c r="I6423" s="6">
        <v>-91.51</v>
      </c>
      <c r="J6423" s="4">
        <v>30.97</v>
      </c>
      <c r="K6423" s="4">
        <v>4.0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9">C6423+2</f>
        <v>40811</v>
      </c>
    </row>
    <row r="6424" ht="12.75" customHeight="1">
      <c r="A6424" s="4">
        <v>7398.0</v>
      </c>
      <c r="B6424" s="4">
        <v>52711.0</v>
      </c>
      <c r="C6424" s="5">
        <f t="shared" si="2728"/>
        <v>40809</v>
      </c>
      <c r="D6424" s="4" t="s">
        <v>45</v>
      </c>
      <c r="E6424" s="4">
        <v>41.0</v>
      </c>
      <c r="F6424" s="4">
        <v>755.19</v>
      </c>
      <c r="G6424" s="4">
        <v>0.0</v>
      </c>
      <c r="H6424" s="4" t="s">
        <v>22</v>
      </c>
      <c r="I6424" s="6">
        <v>81.44</v>
      </c>
      <c r="J6424" s="4">
        <v>17.67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9"/>
        <v>40811</v>
      </c>
    </row>
    <row r="6425" ht="12.75" customHeight="1">
      <c r="A6425" s="4">
        <v>7460.0</v>
      </c>
      <c r="B6425" s="4">
        <v>53222.0</v>
      </c>
      <c r="C6425" s="5">
        <f>DATE(2012,12,31)-1169</f>
        <v>40105</v>
      </c>
      <c r="D6425" s="4" t="s">
        <v>21</v>
      </c>
      <c r="E6425" s="4">
        <v>2.0</v>
      </c>
      <c r="F6425" s="4">
        <v>21.71</v>
      </c>
      <c r="G6425" s="4">
        <v>0.07</v>
      </c>
      <c r="H6425" s="4" t="s">
        <v>22</v>
      </c>
      <c r="I6425" s="6">
        <v>-15.13</v>
      </c>
      <c r="J6425" s="4">
        <v>6.48</v>
      </c>
      <c r="K6425" s="4">
        <v>9.54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ht="12.75" customHeight="1">
      <c r="A6426" s="4">
        <v>7568.0</v>
      </c>
      <c r="B6426" s="4">
        <v>54146.0</v>
      </c>
      <c r="C6426" s="5">
        <f>DATE(2012,12,31)-805</f>
        <v>40469</v>
      </c>
      <c r="D6426" s="4" t="s">
        <v>21</v>
      </c>
      <c r="E6426" s="4">
        <v>3.0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</v>
      </c>
      <c r="U6426" s="5">
        <f>C6426+5</f>
        <v>40474</v>
      </c>
    </row>
    <row r="6427" ht="12.75" customHeight="1">
      <c r="A6427" s="4">
        <v>7646.0</v>
      </c>
      <c r="B6427" s="4">
        <v>54791.0</v>
      </c>
      <c r="C6427" s="5">
        <f t="shared" ref="C6427:C6428" si="2730">DATE(2012,12,31)-11</f>
        <v>41263</v>
      </c>
      <c r="D6427" s="4" t="s">
        <v>30</v>
      </c>
      <c r="E6427" s="4">
        <v>27.0</v>
      </c>
      <c r="F6427" s="4">
        <v>1087.58</v>
      </c>
      <c r="G6427" s="4">
        <v>0.01</v>
      </c>
      <c r="H6427" s="4" t="s">
        <v>22</v>
      </c>
      <c r="I6427" s="6">
        <v>514.45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ht="12.75" customHeight="1">
      <c r="A6428" s="4">
        <v>7647.0</v>
      </c>
      <c r="B6428" s="4">
        <v>54791.0</v>
      </c>
      <c r="C6428" s="5">
        <f t="shared" si="2730"/>
        <v>41263</v>
      </c>
      <c r="D6428" s="4" t="s">
        <v>30</v>
      </c>
      <c r="E6428" s="4">
        <v>42.0</v>
      </c>
      <c r="F6428" s="4">
        <v>4273.35</v>
      </c>
      <c r="G6428" s="4">
        <v>0.07</v>
      </c>
      <c r="H6428" s="4" t="s">
        <v>22</v>
      </c>
      <c r="I6428" s="6">
        <v>-892.03</v>
      </c>
      <c r="J6428" s="4">
        <v>101.41</v>
      </c>
      <c r="K6428" s="4">
        <v>35.0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1">C6428+2</f>
        <v>41265</v>
      </c>
    </row>
    <row r="6429" ht="12.75" customHeight="1">
      <c r="A6429" s="4">
        <v>7723.0</v>
      </c>
      <c r="B6429" s="4">
        <v>55335.0</v>
      </c>
      <c r="C6429" s="5">
        <f>DATE(2012,12,31)-107</f>
        <v>41167</v>
      </c>
      <c r="D6429" s="4" t="s">
        <v>45</v>
      </c>
      <c r="E6429" s="4">
        <v>30.0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1"/>
        <v>41169</v>
      </c>
    </row>
    <row r="6430" ht="12.75" customHeight="1">
      <c r="A6430" s="4">
        <v>7759.0</v>
      </c>
      <c r="B6430" s="4">
        <v>55525.0</v>
      </c>
      <c r="C6430" s="5">
        <f>DATE(2012,12,31)-1333</f>
        <v>39941</v>
      </c>
      <c r="D6430" s="4" t="s">
        <v>21</v>
      </c>
      <c r="E6430" s="4">
        <v>1.0</v>
      </c>
      <c r="F6430" s="4">
        <v>291.4</v>
      </c>
      <c r="G6430" s="4">
        <v>0.06</v>
      </c>
      <c r="H6430" s="4" t="s">
        <v>22</v>
      </c>
      <c r="I6430" s="6">
        <v>-763.16</v>
      </c>
      <c r="J6430" s="4">
        <v>300.97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ht="12.75" customHeight="1">
      <c r="A6431" s="4">
        <v>7790.0</v>
      </c>
      <c r="B6431" s="4">
        <v>55746.0</v>
      </c>
      <c r="C6431" s="5">
        <f>DATE(2012,12,31)-1280</f>
        <v>39994</v>
      </c>
      <c r="D6431" s="4" t="s">
        <v>45</v>
      </c>
      <c r="E6431" s="4">
        <v>29.0</v>
      </c>
      <c r="F6431" s="4">
        <v>324.75</v>
      </c>
      <c r="G6431" s="4">
        <v>0.07</v>
      </c>
      <c r="H6431" s="4" t="s">
        <v>22</v>
      </c>
      <c r="I6431" s="6">
        <v>-36.87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2">C6431+2</f>
        <v>39996</v>
      </c>
    </row>
    <row r="6432" ht="12.75" customHeight="1">
      <c r="A6432" s="4">
        <v>7967.0</v>
      </c>
      <c r="B6432" s="4">
        <v>56960.0</v>
      </c>
      <c r="C6432" s="5">
        <f>DATE(2012,12,31)-1243</f>
        <v>40031</v>
      </c>
      <c r="D6432" s="4" t="s">
        <v>30</v>
      </c>
      <c r="E6432" s="4">
        <v>48.0</v>
      </c>
      <c r="F6432" s="4">
        <v>2784.8295</v>
      </c>
      <c r="G6432" s="4">
        <v>0.01</v>
      </c>
      <c r="H6432" s="4" t="s">
        <v>56</v>
      </c>
      <c r="I6432" s="6">
        <v>788.292</v>
      </c>
      <c r="J6432" s="4">
        <v>65.99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2"/>
        <v>40033</v>
      </c>
    </row>
    <row r="6433" ht="12.75" customHeight="1">
      <c r="A6433" s="4">
        <v>7977.0</v>
      </c>
      <c r="B6433" s="4">
        <v>57059.0</v>
      </c>
      <c r="C6433" s="5">
        <f t="shared" ref="C6433:C6434" si="2733">DATE(2012,12,31)-579</f>
        <v>40695</v>
      </c>
      <c r="D6433" s="4" t="s">
        <v>63</v>
      </c>
      <c r="E6433" s="4">
        <v>50.0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2"/>
        <v>40697</v>
      </c>
    </row>
    <row r="6434" ht="12.75" customHeight="1">
      <c r="A6434" s="4">
        <v>7978.0</v>
      </c>
      <c r="B6434" s="4">
        <v>57059.0</v>
      </c>
      <c r="C6434" s="5">
        <f t="shared" si="2733"/>
        <v>40695</v>
      </c>
      <c r="D6434" s="4" t="s">
        <v>63</v>
      </c>
      <c r="E6434" s="4">
        <v>25.0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2"/>
        <v>40697</v>
      </c>
    </row>
    <row r="6435" ht="12.75" customHeight="1">
      <c r="A6435" s="4">
        <v>8067.0</v>
      </c>
      <c r="B6435" s="4">
        <v>57568.0</v>
      </c>
      <c r="C6435" s="5">
        <f>DATE(2012,12,31)-928</f>
        <v>40346</v>
      </c>
      <c r="D6435" s="4" t="s">
        <v>45</v>
      </c>
      <c r="E6435" s="4">
        <v>38.0</v>
      </c>
      <c r="F6435" s="4">
        <v>592.54</v>
      </c>
      <c r="G6435" s="4">
        <v>0.07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2"/>
        <v>40348</v>
      </c>
    </row>
    <row r="6436" ht="12.75" customHeight="1">
      <c r="A6436" s="4">
        <v>8100.0</v>
      </c>
      <c r="B6436" s="4">
        <v>57798.0</v>
      </c>
      <c r="C6436" s="5">
        <f>DATE(2012,12,31)-107</f>
        <v>41167</v>
      </c>
      <c r="D6436" s="4" t="s">
        <v>30</v>
      </c>
      <c r="E6436" s="4">
        <v>20.0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140.98</v>
      </c>
      <c r="K6436" s="4">
        <v>36.09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ht="12.75" customHeight="1">
      <c r="A6437" s="4">
        <v>8147.0</v>
      </c>
      <c r="B6437" s="4">
        <v>58273.0</v>
      </c>
      <c r="C6437" s="5">
        <f>DATE(2012,12,31)-925</f>
        <v>40349</v>
      </c>
      <c r="D6437" s="4" t="s">
        <v>30</v>
      </c>
      <c r="E6437" s="4">
        <v>31.0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ht="12.75" customHeight="1">
      <c r="A6438" s="4">
        <v>8210.0</v>
      </c>
      <c r="B6438" s="4">
        <v>58693.0</v>
      </c>
      <c r="C6438" s="5">
        <f>DATE(2012,12,31)-1167</f>
        <v>40107</v>
      </c>
      <c r="D6438" s="4" t="s">
        <v>21</v>
      </c>
      <c r="E6438" s="4">
        <v>50.0</v>
      </c>
      <c r="F6438" s="4">
        <v>876.64</v>
      </c>
      <c r="G6438" s="4">
        <v>0.0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ht="12.75" customHeight="1">
      <c r="A6439" s="4">
        <v>8228.0</v>
      </c>
      <c r="B6439" s="4">
        <v>58818.0</v>
      </c>
      <c r="C6439" s="5">
        <f t="shared" ref="C6439:C6440" si="2734">DATE(2012,12,31)-1356</f>
        <v>39918</v>
      </c>
      <c r="D6439" s="4" t="s">
        <v>78</v>
      </c>
      <c r="E6439" s="4">
        <v>41.0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ht="12.75" customHeight="1">
      <c r="A6440" s="4">
        <v>8229.0</v>
      </c>
      <c r="B6440" s="4">
        <v>58818.0</v>
      </c>
      <c r="C6440" s="5">
        <f t="shared" si="2734"/>
        <v>39918</v>
      </c>
      <c r="D6440" s="4" t="s">
        <v>78</v>
      </c>
      <c r="E6440" s="4">
        <v>20.0</v>
      </c>
      <c r="F6440" s="4">
        <v>4353.02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ht="12.75" customHeight="1">
      <c r="A6441" s="4">
        <v>8277.0</v>
      </c>
      <c r="B6441" s="4">
        <v>59171.0</v>
      </c>
      <c r="C6441" s="5">
        <f>DATE(2012,12,31)-476</f>
        <v>40798</v>
      </c>
      <c r="D6441" s="4" t="s">
        <v>63</v>
      </c>
      <c r="E6441" s="4">
        <v>39.0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</v>
      </c>
      <c r="U6441" s="5">
        <f t="shared" ref="U6441:U6442" si="2735">C6441+1</f>
        <v>40799</v>
      </c>
    </row>
    <row r="6442" ht="12.75" customHeight="1">
      <c r="A6442" s="4">
        <v>8301.0</v>
      </c>
      <c r="B6442" s="4">
        <v>59271.0</v>
      </c>
      <c r="C6442" s="5">
        <f t="shared" ref="C6442:C6443" si="2736">DATE(2012,12,31)-616</f>
        <v>40658</v>
      </c>
      <c r="D6442" s="4" t="s">
        <v>45</v>
      </c>
      <c r="E6442" s="4">
        <v>40.0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5"/>
        <v>40659</v>
      </c>
    </row>
    <row r="6443" ht="12.75" customHeight="1">
      <c r="A6443" s="4">
        <v>8302.0</v>
      </c>
      <c r="B6443" s="4">
        <v>59271.0</v>
      </c>
      <c r="C6443" s="5">
        <f t="shared" si="2736"/>
        <v>40658</v>
      </c>
      <c r="D6443" s="4" t="s">
        <v>45</v>
      </c>
      <c r="E6443" s="4">
        <v>23.0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ht="12.75" customHeight="1">
      <c r="A6444" s="4">
        <v>8347.0</v>
      </c>
      <c r="B6444" s="4">
        <v>59680.0</v>
      </c>
      <c r="C6444" s="5">
        <f>DATE(2012,12,31)-196</f>
        <v>41078</v>
      </c>
      <c r="D6444" s="4" t="s">
        <v>78</v>
      </c>
      <c r="E6444" s="4">
        <v>15.0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7">C6444+1</f>
        <v>41079</v>
      </c>
    </row>
    <row r="6445" ht="12.75" customHeight="1">
      <c r="A6445" s="4">
        <v>17.0</v>
      </c>
      <c r="B6445" s="4">
        <v>97.0</v>
      </c>
      <c r="C6445" s="5">
        <f>DATE(2012,12,31)-1068</f>
        <v>40206</v>
      </c>
      <c r="D6445" s="4" t="s">
        <v>63</v>
      </c>
      <c r="E6445" s="4">
        <v>26.0</v>
      </c>
      <c r="F6445" s="4">
        <v>75.57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7"/>
        <v>40207</v>
      </c>
    </row>
    <row r="6446" ht="12.75" customHeight="1">
      <c r="A6446" s="4">
        <v>54.0</v>
      </c>
      <c r="B6446" s="4">
        <v>323.0</v>
      </c>
      <c r="C6446" s="5">
        <f t="shared" ref="C6446:C6447" si="2738">DATE(2012,12,31)-1377</f>
        <v>39897</v>
      </c>
      <c r="D6446" s="4" t="s">
        <v>78</v>
      </c>
      <c r="E6446" s="4">
        <v>20.0</v>
      </c>
      <c r="F6446" s="4">
        <v>108.09</v>
      </c>
      <c r="G6446" s="4">
        <v>0.07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9">C6446+2</f>
        <v>39899</v>
      </c>
    </row>
    <row r="6447" ht="12.75" customHeight="1">
      <c r="A6447" s="4">
        <v>55.0</v>
      </c>
      <c r="B6447" s="4">
        <v>323.0</v>
      </c>
      <c r="C6447" s="5">
        <f t="shared" si="2738"/>
        <v>39897</v>
      </c>
      <c r="D6447" s="4" t="s">
        <v>78</v>
      </c>
      <c r="E6447" s="4">
        <v>2.0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9"/>
        <v>39899</v>
      </c>
    </row>
    <row r="6448" ht="12.75" customHeight="1">
      <c r="A6448" s="4">
        <v>173.0</v>
      </c>
      <c r="B6448" s="4">
        <v>1095.0</v>
      </c>
      <c r="C6448" s="5">
        <f>DATE(2012,12,31)-498</f>
        <v>40776</v>
      </c>
      <c r="D6448" s="4" t="s">
        <v>63</v>
      </c>
      <c r="E6448" s="4">
        <v>28.0</v>
      </c>
      <c r="F6448" s="4">
        <v>142.18</v>
      </c>
      <c r="G6448" s="4">
        <v>0.07</v>
      </c>
      <c r="H6448" s="4" t="s">
        <v>22</v>
      </c>
      <c r="I6448" s="6">
        <v>-50.14</v>
      </c>
      <c r="J6448" s="4">
        <v>4.98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9"/>
        <v>40778</v>
      </c>
    </row>
    <row r="6449" ht="12.75" customHeight="1">
      <c r="A6449" s="4">
        <v>367.0</v>
      </c>
      <c r="B6449" s="4">
        <v>2562.0</v>
      </c>
      <c r="C6449" s="5">
        <f t="shared" ref="C6449:C6451" si="2740">DATE(2012,12,31)-153</f>
        <v>41121</v>
      </c>
      <c r="D6449" s="4" t="s">
        <v>78</v>
      </c>
      <c r="E6449" s="4">
        <v>28.0</v>
      </c>
      <c r="F6449" s="4">
        <v>64.82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</v>
      </c>
      <c r="U6449" s="5">
        <f>C6449+3</f>
        <v>41124</v>
      </c>
    </row>
    <row r="6450" ht="12.75" customHeight="1">
      <c r="A6450" s="4">
        <v>368.0</v>
      </c>
      <c r="B6450" s="4">
        <v>2562.0</v>
      </c>
      <c r="C6450" s="5">
        <f t="shared" si="2740"/>
        <v>41121</v>
      </c>
      <c r="D6450" s="4" t="s">
        <v>78</v>
      </c>
      <c r="E6450" s="4">
        <v>6.0</v>
      </c>
      <c r="F6450" s="4">
        <v>77.6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ht="12.75" customHeight="1">
      <c r="A6451" s="4">
        <v>369.0</v>
      </c>
      <c r="B6451" s="4">
        <v>2562.0</v>
      </c>
      <c r="C6451" s="5">
        <f t="shared" si="2740"/>
        <v>41121</v>
      </c>
      <c r="D6451" s="4" t="s">
        <v>78</v>
      </c>
      <c r="E6451" s="4">
        <v>17.0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1">C6451+1</f>
        <v>41122</v>
      </c>
    </row>
    <row r="6452" ht="12.75" customHeight="1">
      <c r="A6452" s="4">
        <v>600.0</v>
      </c>
      <c r="B6452" s="4">
        <v>4099.0</v>
      </c>
      <c r="C6452" s="5">
        <f t="shared" ref="C6452:C6455" si="2742">DATE(2012,12,31)-133</f>
        <v>41141</v>
      </c>
      <c r="D6452" s="4" t="s">
        <v>78</v>
      </c>
      <c r="E6452" s="4">
        <v>42.0</v>
      </c>
      <c r="F6452" s="4">
        <v>1691.51</v>
      </c>
      <c r="G6452" s="4">
        <v>0.08</v>
      </c>
      <c r="H6452" s="4" t="s">
        <v>22</v>
      </c>
      <c r="I6452" s="6">
        <v>285.16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1"/>
        <v>41142</v>
      </c>
    </row>
    <row r="6453" ht="12.75" customHeight="1">
      <c r="A6453" s="4">
        <v>601.0</v>
      </c>
      <c r="B6453" s="4">
        <v>4099.0</v>
      </c>
      <c r="C6453" s="5">
        <f t="shared" si="2742"/>
        <v>41141</v>
      </c>
      <c r="D6453" s="4" t="s">
        <v>78</v>
      </c>
      <c r="E6453" s="4">
        <v>12.0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9.78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ht="12.75" customHeight="1">
      <c r="A6454" s="4">
        <v>602.0</v>
      </c>
      <c r="B6454" s="4">
        <v>4099.0</v>
      </c>
      <c r="C6454" s="5">
        <f t="shared" si="2742"/>
        <v>41141</v>
      </c>
      <c r="D6454" s="4" t="s">
        <v>78</v>
      </c>
      <c r="E6454" s="4">
        <v>4.0</v>
      </c>
      <c r="F6454" s="4">
        <v>47.86</v>
      </c>
      <c r="G6454" s="4">
        <v>0.0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ht="12.75" customHeight="1">
      <c r="A6455" s="4">
        <v>603.0</v>
      </c>
      <c r="B6455" s="4">
        <v>4099.0</v>
      </c>
      <c r="C6455" s="5">
        <f t="shared" si="2742"/>
        <v>41141</v>
      </c>
      <c r="D6455" s="4" t="s">
        <v>78</v>
      </c>
      <c r="E6455" s="4">
        <v>39.0</v>
      </c>
      <c r="F6455" s="4">
        <v>3607.8504999999996</v>
      </c>
      <c r="G6455" s="4">
        <v>0.05</v>
      </c>
      <c r="H6455" s="4" t="s">
        <v>22</v>
      </c>
      <c r="I6455" s="6">
        <v>784.4939999999999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0.57</v>
      </c>
      <c r="U6455" s="5">
        <f>C6455+2</f>
        <v>41143</v>
      </c>
    </row>
    <row r="6456" ht="12.75" customHeight="1">
      <c r="A6456" s="4">
        <v>770.0</v>
      </c>
      <c r="B6456" s="4">
        <v>5509.0</v>
      </c>
      <c r="C6456" s="5">
        <f t="shared" ref="C6456:C6457" si="2743">DATE(2012,12,31)-1364</f>
        <v>39910</v>
      </c>
      <c r="D6456" s="4" t="s">
        <v>21</v>
      </c>
      <c r="E6456" s="4">
        <v>11.0</v>
      </c>
      <c r="F6456" s="4">
        <v>68.46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ht="12.75" customHeight="1">
      <c r="A6457" s="4">
        <v>771.0</v>
      </c>
      <c r="B6457" s="4">
        <v>5509.0</v>
      </c>
      <c r="C6457" s="5">
        <f t="shared" si="2743"/>
        <v>39910</v>
      </c>
      <c r="D6457" s="4" t="s">
        <v>21</v>
      </c>
      <c r="E6457" s="4">
        <v>21.0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0.57</v>
      </c>
      <c r="U6457" s="5">
        <f>C6457+7</f>
        <v>39917</v>
      </c>
    </row>
    <row r="6458" ht="12.75" customHeight="1">
      <c r="A6458" s="4">
        <v>1107.0</v>
      </c>
      <c r="B6458" s="4">
        <v>8132.0</v>
      </c>
      <c r="C6458" s="5">
        <f t="shared" ref="C6458:C6459" si="2744">DATE(2012,12,31)-1327</f>
        <v>39947</v>
      </c>
      <c r="D6458" s="4" t="s">
        <v>21</v>
      </c>
      <c r="E6458" s="4">
        <v>46.0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4.89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ht="12.75" customHeight="1">
      <c r="A6459" s="4">
        <v>1108.0</v>
      </c>
      <c r="B6459" s="4">
        <v>8132.0</v>
      </c>
      <c r="C6459" s="5">
        <f t="shared" si="2744"/>
        <v>39947</v>
      </c>
      <c r="D6459" s="4" t="s">
        <v>21</v>
      </c>
      <c r="E6459" s="4">
        <v>45.0</v>
      </c>
      <c r="F6459" s="4">
        <v>294.86</v>
      </c>
      <c r="G6459" s="4">
        <v>0.07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ht="12.75" customHeight="1">
      <c r="A6460" s="4">
        <v>1209.0</v>
      </c>
      <c r="B6460" s="4">
        <v>8868.0</v>
      </c>
      <c r="C6460" s="5">
        <f t="shared" ref="C6460:C6461" si="2745">DATE(2012,12,31)-1433</f>
        <v>39841</v>
      </c>
      <c r="D6460" s="4" t="s">
        <v>21</v>
      </c>
      <c r="E6460" s="4">
        <v>3.0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0.57</v>
      </c>
      <c r="U6460" s="5">
        <f>C6460+9</f>
        <v>39850</v>
      </c>
    </row>
    <row r="6461" ht="12.75" customHeight="1">
      <c r="A6461" s="4">
        <v>1210.0</v>
      </c>
      <c r="B6461" s="4">
        <v>8868.0</v>
      </c>
      <c r="C6461" s="5">
        <f t="shared" si="2745"/>
        <v>39841</v>
      </c>
      <c r="D6461" s="4" t="s">
        <v>21</v>
      </c>
      <c r="E6461" s="4">
        <v>34.0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ht="12.75" customHeight="1">
      <c r="A6462" s="4">
        <v>1351.0</v>
      </c>
      <c r="B6462" s="4">
        <v>9857.0</v>
      </c>
      <c r="C6462" s="5">
        <f>DATE(2012,12,31)-965</f>
        <v>40309</v>
      </c>
      <c r="D6462" s="4" t="s">
        <v>30</v>
      </c>
      <c r="E6462" s="4">
        <v>50.0</v>
      </c>
      <c r="F6462" s="4">
        <v>3615.8405000000002</v>
      </c>
      <c r="G6462" s="4">
        <v>0.03</v>
      </c>
      <c r="H6462" s="4" t="s">
        <v>22</v>
      </c>
      <c r="I6462" s="6">
        <v>1861.353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6">C6462+2</f>
        <v>40311</v>
      </c>
    </row>
    <row r="6463" ht="12.75" customHeight="1">
      <c r="A6463" s="4">
        <v>1407.0</v>
      </c>
      <c r="B6463" s="4">
        <v>10213.0</v>
      </c>
      <c r="C6463" s="5">
        <f>DATE(2012,12,31)-683</f>
        <v>40591</v>
      </c>
      <c r="D6463" s="4" t="s">
        <v>30</v>
      </c>
      <c r="E6463" s="4">
        <v>12.0</v>
      </c>
      <c r="F6463" s="4">
        <v>464.57</v>
      </c>
      <c r="G6463" s="4">
        <v>0.04</v>
      </c>
      <c r="H6463" s="4" t="s">
        <v>22</v>
      </c>
      <c r="I6463" s="6">
        <v>-79.18</v>
      </c>
      <c r="J6463" s="4">
        <v>39.98</v>
      </c>
      <c r="K6463" s="4">
        <v>4.0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6"/>
        <v>40593</v>
      </c>
    </row>
    <row r="6464" ht="12.75" customHeight="1">
      <c r="A6464" s="4">
        <v>1505.0</v>
      </c>
      <c r="B6464" s="4">
        <v>10884.0</v>
      </c>
      <c r="C6464" s="5">
        <f>DATE(2012,12,31)-1132</f>
        <v>40142</v>
      </c>
      <c r="D6464" s="4" t="s">
        <v>21</v>
      </c>
      <c r="E6464" s="4">
        <v>24.0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</v>
      </c>
      <c r="U6464" s="5">
        <f>C6464+7</f>
        <v>40149</v>
      </c>
    </row>
    <row r="6465" ht="12.75" customHeight="1">
      <c r="A6465" s="4">
        <v>1638.0</v>
      </c>
      <c r="B6465" s="4">
        <v>11843.0</v>
      </c>
      <c r="C6465" s="5">
        <f t="shared" ref="C6465:C6466" si="2747">DATE(2012,12,31)-1263</f>
        <v>40011</v>
      </c>
      <c r="D6465" s="4" t="s">
        <v>63</v>
      </c>
      <c r="E6465" s="4">
        <v>42.0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8">C6465+2</f>
        <v>40013</v>
      </c>
    </row>
    <row r="6466" ht="12.75" customHeight="1">
      <c r="A6466" s="4">
        <v>1639.0</v>
      </c>
      <c r="B6466" s="4">
        <v>11843.0</v>
      </c>
      <c r="C6466" s="5">
        <f t="shared" si="2747"/>
        <v>40011</v>
      </c>
      <c r="D6466" s="4" t="s">
        <v>63</v>
      </c>
      <c r="E6466" s="4">
        <v>9.0</v>
      </c>
      <c r="F6466" s="4">
        <v>1059.3</v>
      </c>
      <c r="G6466" s="4">
        <v>0.05</v>
      </c>
      <c r="H6466" s="4" t="s">
        <v>22</v>
      </c>
      <c r="I6466" s="6">
        <v>67.59999999999992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8"/>
        <v>40013</v>
      </c>
    </row>
    <row r="6467" ht="12.75" customHeight="1">
      <c r="A6467" s="4">
        <v>1679.0</v>
      </c>
      <c r="B6467" s="4">
        <v>12099.0</v>
      </c>
      <c r="C6467" s="5">
        <f t="shared" ref="C6467:C6468" si="2749">DATE(2012,12,31)-1207</f>
        <v>40067</v>
      </c>
      <c r="D6467" s="4" t="s">
        <v>78</v>
      </c>
      <c r="E6467" s="4">
        <v>1.0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ht="12.75" customHeight="1">
      <c r="A6468" s="4">
        <v>1680.0</v>
      </c>
      <c r="B6468" s="4">
        <v>12099.0</v>
      </c>
      <c r="C6468" s="5">
        <f t="shared" si="2749"/>
        <v>40067</v>
      </c>
      <c r="D6468" s="4" t="s">
        <v>78</v>
      </c>
      <c r="E6468" s="4">
        <v>48.0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50">C6468+2</f>
        <v>40069</v>
      </c>
    </row>
    <row r="6469" ht="12.75" customHeight="1">
      <c r="A6469" s="4">
        <v>1726.0</v>
      </c>
      <c r="B6469" s="4">
        <v>12418.0</v>
      </c>
      <c r="C6469" s="5">
        <f>DATE(2012,12,31)-317</f>
        <v>40957</v>
      </c>
      <c r="D6469" s="4" t="s">
        <v>45</v>
      </c>
      <c r="E6469" s="4">
        <v>38.0</v>
      </c>
      <c r="F6469" s="4">
        <v>299.01</v>
      </c>
      <c r="G6469" s="4">
        <v>0.09</v>
      </c>
      <c r="H6469" s="4" t="s">
        <v>22</v>
      </c>
      <c r="I6469" s="6">
        <v>-142.86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50"/>
        <v>40959</v>
      </c>
    </row>
    <row r="6470" ht="12.75" customHeight="1">
      <c r="A6470" s="4">
        <v>1944.0</v>
      </c>
      <c r="B6470" s="4">
        <v>13923.0</v>
      </c>
      <c r="C6470" s="5">
        <f t="shared" ref="C6470:C6472" si="2751">DATE(2012,12,31)-176</f>
        <v>41098</v>
      </c>
      <c r="D6470" s="4" t="s">
        <v>30</v>
      </c>
      <c r="E6470" s="4">
        <v>39.0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</v>
      </c>
      <c r="K6470" s="4">
        <v>49.0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50"/>
        <v>41100</v>
      </c>
    </row>
    <row r="6471" ht="12.75" customHeight="1">
      <c r="A6471" s="4">
        <v>1945.0</v>
      </c>
      <c r="B6471" s="4">
        <v>13923.0</v>
      </c>
      <c r="C6471" s="5">
        <f t="shared" si="2751"/>
        <v>41098</v>
      </c>
      <c r="D6471" s="4" t="s">
        <v>30</v>
      </c>
      <c r="E6471" s="4">
        <v>49.0</v>
      </c>
      <c r="F6471" s="4">
        <v>1220.23</v>
      </c>
      <c r="G6471" s="4">
        <v>0.0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ht="12.75" customHeight="1">
      <c r="A6472" s="4">
        <v>1946.0</v>
      </c>
      <c r="B6472" s="4">
        <v>13923.0</v>
      </c>
      <c r="C6472" s="5">
        <f t="shared" si="2751"/>
        <v>41098</v>
      </c>
      <c r="D6472" s="4" t="s">
        <v>30</v>
      </c>
      <c r="E6472" s="4">
        <v>27.0</v>
      </c>
      <c r="F6472" s="4">
        <v>6152.8</v>
      </c>
      <c r="G6472" s="4">
        <v>0.04</v>
      </c>
      <c r="H6472" s="4" t="s">
        <v>31</v>
      </c>
      <c r="I6472" s="6">
        <v>554.55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ht="12.75" customHeight="1">
      <c r="A6473" s="4">
        <v>2028.0</v>
      </c>
      <c r="B6473" s="4">
        <v>14439.0</v>
      </c>
      <c r="C6473" s="5">
        <f>DATE(2012,12,31)-123</f>
        <v>41151</v>
      </c>
      <c r="D6473" s="4" t="s">
        <v>30</v>
      </c>
      <c r="E6473" s="4">
        <v>27.0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ht="12.75" customHeight="1">
      <c r="A6474" s="4">
        <v>2310.0</v>
      </c>
      <c r="B6474" s="4">
        <v>16643.0</v>
      </c>
      <c r="C6474" s="5">
        <f t="shared" ref="C6474:C6475" si="2752">DATE(2012,12,31)-995</f>
        <v>40279</v>
      </c>
      <c r="D6474" s="4" t="s">
        <v>21</v>
      </c>
      <c r="E6474" s="4">
        <v>40.0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3">C6474+4</f>
        <v>40283</v>
      </c>
    </row>
    <row r="6475" ht="12.75" customHeight="1">
      <c r="A6475" s="4">
        <v>2311.0</v>
      </c>
      <c r="B6475" s="4">
        <v>16643.0</v>
      </c>
      <c r="C6475" s="5">
        <f t="shared" si="2752"/>
        <v>40279</v>
      </c>
      <c r="D6475" s="4" t="s">
        <v>21</v>
      </c>
      <c r="E6475" s="4">
        <v>46.0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3"/>
        <v>40283</v>
      </c>
    </row>
    <row r="6476" ht="12.75" customHeight="1">
      <c r="A6476" s="4">
        <v>2337.0</v>
      </c>
      <c r="B6476" s="4">
        <v>16807.0</v>
      </c>
      <c r="C6476" s="5">
        <f t="shared" ref="C6476:C6477" si="2754">DATE(2012,12,31)-351</f>
        <v>40923</v>
      </c>
      <c r="D6476" s="4" t="s">
        <v>63</v>
      </c>
      <c r="E6476" s="4">
        <v>48.0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ht="12.75" customHeight="1">
      <c r="A6477" s="4">
        <v>2338.0</v>
      </c>
      <c r="B6477" s="4">
        <v>16807.0</v>
      </c>
      <c r="C6477" s="5">
        <f t="shared" si="2754"/>
        <v>40923</v>
      </c>
      <c r="D6477" s="4" t="s">
        <v>63</v>
      </c>
      <c r="E6477" s="4">
        <v>30.0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ht="12.75" customHeight="1">
      <c r="A6478" s="4">
        <v>2342.0</v>
      </c>
      <c r="B6478" s="4">
        <v>16864.0</v>
      </c>
      <c r="C6478" s="5">
        <f>DATE(2012,12,31)-63</f>
        <v>41211</v>
      </c>
      <c r="D6478" s="4" t="s">
        <v>45</v>
      </c>
      <c r="E6478" s="4">
        <v>42.0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ht="12.75" customHeight="1">
      <c r="A6479" s="4">
        <v>2494.0</v>
      </c>
      <c r="B6479" s="4">
        <v>18147.0</v>
      </c>
      <c r="C6479" s="5">
        <f t="shared" ref="C6479:C6480" si="2755">DATE(2012,12,31)-1263</f>
        <v>40011</v>
      </c>
      <c r="D6479" s="4" t="s">
        <v>45</v>
      </c>
      <c r="E6479" s="4">
        <v>42.0</v>
      </c>
      <c r="F6479" s="4">
        <v>82.03</v>
      </c>
      <c r="G6479" s="4">
        <v>0.0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6">C6479+1</f>
        <v>40012</v>
      </c>
    </row>
    <row r="6480" ht="12.75" customHeight="1">
      <c r="A6480" s="4">
        <v>2495.0</v>
      </c>
      <c r="B6480" s="4">
        <v>18147.0</v>
      </c>
      <c r="C6480" s="5">
        <f t="shared" si="2755"/>
        <v>40011</v>
      </c>
      <c r="D6480" s="4" t="s">
        <v>45</v>
      </c>
      <c r="E6480" s="4">
        <v>50.0</v>
      </c>
      <c r="F6480" s="4">
        <v>290.91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6"/>
        <v>40012</v>
      </c>
    </row>
    <row r="6481" ht="12.75" customHeight="1">
      <c r="A6481" s="4">
        <v>2617.0</v>
      </c>
      <c r="B6481" s="4">
        <v>18918.0</v>
      </c>
      <c r="C6481" s="5">
        <f>DATE(2012,12,31)-65</f>
        <v>41209</v>
      </c>
      <c r="D6481" s="4" t="s">
        <v>45</v>
      </c>
      <c r="E6481" s="4">
        <v>7.0</v>
      </c>
      <c r="F6481" s="4">
        <v>6362.94</v>
      </c>
      <c r="G6481" s="4">
        <v>0.1</v>
      </c>
      <c r="H6481" s="4" t="s">
        <v>22</v>
      </c>
      <c r="I6481" s="6">
        <v>-221.7804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6"/>
        <v>41210</v>
      </c>
    </row>
    <row r="6482" ht="12.75" customHeight="1">
      <c r="A6482" s="4">
        <v>2618.0</v>
      </c>
      <c r="B6482" s="4">
        <v>18919.0</v>
      </c>
      <c r="C6482" s="5">
        <f>DATE(2012,12,31)-1282</f>
        <v>39992</v>
      </c>
      <c r="D6482" s="4" t="s">
        <v>21</v>
      </c>
      <c r="E6482" s="4">
        <v>39.0</v>
      </c>
      <c r="F6482" s="4">
        <v>739.28</v>
      </c>
      <c r="G6482" s="4">
        <v>0.0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ht="12.75" customHeight="1">
      <c r="A6483" s="4">
        <v>2638.0</v>
      </c>
      <c r="B6483" s="4">
        <v>19104.0</v>
      </c>
      <c r="C6483" s="5">
        <f>DATE(2012,12,31)-874</f>
        <v>40400</v>
      </c>
      <c r="D6483" s="4" t="s">
        <v>30</v>
      </c>
      <c r="E6483" s="4">
        <v>48.0</v>
      </c>
      <c r="F6483" s="4">
        <v>5085.907</v>
      </c>
      <c r="G6483" s="4">
        <v>0.03</v>
      </c>
      <c r="H6483" s="4" t="s">
        <v>22</v>
      </c>
      <c r="I6483" s="6">
        <v>1366.686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0.57</v>
      </c>
      <c r="U6483" s="5">
        <f t="shared" ref="U6483:U6484" si="2757">C6483+2</f>
        <v>40402</v>
      </c>
    </row>
    <row r="6484" ht="12.75" customHeight="1">
      <c r="A6484" s="4">
        <v>2659.0</v>
      </c>
      <c r="B6484" s="4">
        <v>19207.0</v>
      </c>
      <c r="C6484" s="5">
        <f t="shared" ref="C6484:C6485" si="2758">DATE(2012,12,31)-291</f>
        <v>40983</v>
      </c>
      <c r="D6484" s="4" t="s">
        <v>45</v>
      </c>
      <c r="E6484" s="4">
        <v>23.0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7"/>
        <v>40985</v>
      </c>
    </row>
    <row r="6485" ht="12.75" customHeight="1">
      <c r="A6485" s="4">
        <v>2660.0</v>
      </c>
      <c r="B6485" s="4">
        <v>19207.0</v>
      </c>
      <c r="C6485" s="5">
        <f t="shared" si="2758"/>
        <v>40983</v>
      </c>
      <c r="D6485" s="4" t="s">
        <v>45</v>
      </c>
      <c r="E6485" s="4">
        <v>11.0</v>
      </c>
      <c r="F6485" s="4">
        <v>15.53</v>
      </c>
      <c r="G6485" s="4">
        <v>0.0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ht="12.75" customHeight="1">
      <c r="A6486" s="4">
        <v>2747.0</v>
      </c>
      <c r="B6486" s="4">
        <v>19840.0</v>
      </c>
      <c r="C6486" s="5">
        <f>DATE(2012,12,31)-952</f>
        <v>40322</v>
      </c>
      <c r="D6486" s="4" t="s">
        <v>78</v>
      </c>
      <c r="E6486" s="4">
        <v>25.0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ht="12.75" customHeight="1">
      <c r="A6487" s="4">
        <v>2760.0</v>
      </c>
      <c r="B6487" s="4">
        <v>19943.0</v>
      </c>
      <c r="C6487" s="5">
        <f>DATE(2012,12,31)-1133</f>
        <v>40141</v>
      </c>
      <c r="D6487" s="4" t="s">
        <v>78</v>
      </c>
      <c r="E6487" s="4">
        <v>16.0</v>
      </c>
      <c r="F6487" s="4">
        <v>1959.92</v>
      </c>
      <c r="G6487" s="4">
        <v>0.07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9">C6487+1</f>
        <v>40142</v>
      </c>
    </row>
    <row r="6488" ht="12.75" customHeight="1">
      <c r="A6488" s="4">
        <v>2765.0</v>
      </c>
      <c r="B6488" s="4">
        <v>20002.0</v>
      </c>
      <c r="C6488" s="5">
        <f>DATE(2012,12,31)-141</f>
        <v>41133</v>
      </c>
      <c r="D6488" s="4" t="s">
        <v>63</v>
      </c>
      <c r="E6488" s="4">
        <v>9.0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4.77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9"/>
        <v>41134</v>
      </c>
    </row>
    <row r="6489" ht="12.75" customHeight="1">
      <c r="A6489" s="4">
        <v>2778.0</v>
      </c>
      <c r="B6489" s="4">
        <v>20066.0</v>
      </c>
      <c r="C6489" s="5">
        <f t="shared" ref="C6489:C6490" si="2760">DATE(2012,12,31)-120</f>
        <v>41154</v>
      </c>
      <c r="D6489" s="4" t="s">
        <v>78</v>
      </c>
      <c r="E6489" s="4">
        <v>3.0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9"/>
        <v>41155</v>
      </c>
    </row>
    <row r="6490" ht="12.75" customHeight="1">
      <c r="A6490" s="4">
        <v>2779.0</v>
      </c>
      <c r="B6490" s="4">
        <v>20066.0</v>
      </c>
      <c r="C6490" s="5">
        <f t="shared" si="2760"/>
        <v>41154</v>
      </c>
      <c r="D6490" s="4" t="s">
        <v>78</v>
      </c>
      <c r="E6490" s="4">
        <v>16.0</v>
      </c>
      <c r="F6490" s="4">
        <v>524.25</v>
      </c>
      <c r="G6490" s="4">
        <v>0.0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ht="12.75" customHeight="1">
      <c r="A6491" s="4">
        <v>2859.0</v>
      </c>
      <c r="B6491" s="4">
        <v>20615.0</v>
      </c>
      <c r="C6491" s="5">
        <f>DATE(2012,12,31)-260</f>
        <v>41014</v>
      </c>
      <c r="D6491" s="4" t="s">
        <v>63</v>
      </c>
      <c r="E6491" s="4">
        <v>29.0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ht="12.75" customHeight="1">
      <c r="A6492" s="4">
        <v>2892.0</v>
      </c>
      <c r="B6492" s="4">
        <v>20864.0</v>
      </c>
      <c r="C6492" s="5">
        <f>DATE(2012,12,31)-391</f>
        <v>40883</v>
      </c>
      <c r="D6492" s="4" t="s">
        <v>30</v>
      </c>
      <c r="E6492" s="4">
        <v>19.0</v>
      </c>
      <c r="F6492" s="4">
        <v>251.45</v>
      </c>
      <c r="G6492" s="4">
        <v>0.06</v>
      </c>
      <c r="H6492" s="4" t="s">
        <v>22</v>
      </c>
      <c r="I6492" s="6">
        <v>90.0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ht="12.75" customHeight="1">
      <c r="A6493" s="4">
        <v>2893.0</v>
      </c>
      <c r="B6493" s="4">
        <v>20868.0</v>
      </c>
      <c r="C6493" s="5">
        <f>DATE(2012,12,31)-814</f>
        <v>40460</v>
      </c>
      <c r="D6493" s="4" t="s">
        <v>21</v>
      </c>
      <c r="E6493" s="4">
        <v>9.0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19.99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</v>
      </c>
      <c r="U6493" s="5">
        <f>C6493+7</f>
        <v>40467</v>
      </c>
    </row>
    <row r="6494" ht="12.75" customHeight="1">
      <c r="A6494" s="4">
        <v>2983.0</v>
      </c>
      <c r="B6494" s="4">
        <v>21541.0</v>
      </c>
      <c r="C6494" s="5">
        <f>DATE(2012,12,31)-1180</f>
        <v>40094</v>
      </c>
      <c r="D6494" s="4" t="s">
        <v>45</v>
      </c>
      <c r="E6494" s="4">
        <v>43.0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ht="12.75" customHeight="1">
      <c r="A6495" s="4">
        <v>3158.0</v>
      </c>
      <c r="B6495" s="4">
        <v>22661.0</v>
      </c>
      <c r="C6495" s="5">
        <f>DATE(2012,12,31)-827</f>
        <v>40447</v>
      </c>
      <c r="D6495" s="4" t="s">
        <v>45</v>
      </c>
      <c r="E6495" s="4">
        <v>11.0</v>
      </c>
      <c r="F6495" s="4">
        <v>18.26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ht="12.75" customHeight="1">
      <c r="A6496" s="4">
        <v>3162.0</v>
      </c>
      <c r="B6496" s="4">
        <v>22689.0</v>
      </c>
      <c r="C6496" s="5">
        <f>DATE(2012,12,31)-449</f>
        <v>40825</v>
      </c>
      <c r="D6496" s="4" t="s">
        <v>21</v>
      </c>
      <c r="E6496" s="4">
        <v>39.0</v>
      </c>
      <c r="F6496" s="4">
        <v>2405.0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0.58</v>
      </c>
      <c r="U6496" s="5">
        <f>C6496+2</f>
        <v>40827</v>
      </c>
    </row>
    <row r="6497" ht="12.75" customHeight="1">
      <c r="A6497" s="4">
        <v>3263.0</v>
      </c>
      <c r="B6497" s="4">
        <v>23361.0</v>
      </c>
      <c r="C6497" s="5">
        <f t="shared" ref="C6497:C6499" si="2761">DATE(2012,12,31)-912</f>
        <v>40362</v>
      </c>
      <c r="D6497" s="4" t="s">
        <v>78</v>
      </c>
      <c r="E6497" s="4">
        <v>2.0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2">C6497+1</f>
        <v>40363</v>
      </c>
    </row>
    <row r="6498" ht="12.75" customHeight="1">
      <c r="A6498" s="4">
        <v>3264.0</v>
      </c>
      <c r="B6498" s="4">
        <v>23361.0</v>
      </c>
      <c r="C6498" s="5">
        <f t="shared" si="2761"/>
        <v>40362</v>
      </c>
      <c r="D6498" s="4" t="s">
        <v>78</v>
      </c>
      <c r="E6498" s="4">
        <v>36.0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35.0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2"/>
        <v>40363</v>
      </c>
    </row>
    <row r="6499" ht="12.75" customHeight="1">
      <c r="A6499" s="4">
        <v>3265.0</v>
      </c>
      <c r="B6499" s="4">
        <v>23361.0</v>
      </c>
      <c r="C6499" s="5">
        <f t="shared" si="2761"/>
        <v>40362</v>
      </c>
      <c r="D6499" s="4" t="s">
        <v>78</v>
      </c>
      <c r="E6499" s="4">
        <v>7.0</v>
      </c>
      <c r="F6499" s="4">
        <v>373.2775</v>
      </c>
      <c r="G6499" s="4">
        <v>0.07</v>
      </c>
      <c r="H6499" s="4" t="s">
        <v>22</v>
      </c>
      <c r="I6499" s="6">
        <v>-204.93</v>
      </c>
      <c r="J6499" s="4">
        <v>65.99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</v>
      </c>
      <c r="U6499" s="5">
        <f>C6499+0</f>
        <v>40362</v>
      </c>
    </row>
    <row r="6500" ht="12.75" customHeight="1">
      <c r="A6500" s="4">
        <v>3273.0</v>
      </c>
      <c r="B6500" s="4">
        <v>23396.0</v>
      </c>
      <c r="C6500" s="5">
        <f>DATE(2012,12,31)-927</f>
        <v>40347</v>
      </c>
      <c r="D6500" s="4" t="s">
        <v>21</v>
      </c>
      <c r="E6500" s="4">
        <v>30.0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</v>
      </c>
      <c r="U6500" s="5">
        <f>C6500+2</f>
        <v>40349</v>
      </c>
    </row>
    <row r="6501" ht="12.75" customHeight="1">
      <c r="A6501" s="4">
        <v>3278.0</v>
      </c>
      <c r="B6501" s="4">
        <v>23427.0</v>
      </c>
      <c r="C6501" s="5">
        <f t="shared" ref="C6501:C6502" si="2763">DATE(2012,12,31)-511</f>
        <v>40763</v>
      </c>
      <c r="D6501" s="4" t="s">
        <v>21</v>
      </c>
      <c r="E6501" s="4">
        <v>30.0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ht="12.75" customHeight="1">
      <c r="A6502" s="4">
        <v>3279.0</v>
      </c>
      <c r="B6502" s="4">
        <v>23427.0</v>
      </c>
      <c r="C6502" s="5">
        <f t="shared" si="2763"/>
        <v>40763</v>
      </c>
      <c r="D6502" s="4" t="s">
        <v>21</v>
      </c>
      <c r="E6502" s="4">
        <v>22.0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ht="12.75" customHeight="1">
      <c r="A6503" s="4">
        <v>3323.0</v>
      </c>
      <c r="B6503" s="4">
        <v>23751.0</v>
      </c>
      <c r="C6503" s="5">
        <f>DATE(2012,12,31)-1384</f>
        <v>39890</v>
      </c>
      <c r="D6503" s="4" t="s">
        <v>63</v>
      </c>
      <c r="E6503" s="4">
        <v>44.0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ht="12.75" customHeight="1">
      <c r="A6504" s="4">
        <v>3348.0</v>
      </c>
      <c r="B6504" s="4">
        <v>23943.0</v>
      </c>
      <c r="C6504" s="5">
        <f>DATE(2012,12,31)-557</f>
        <v>40717</v>
      </c>
      <c r="D6504" s="4" t="s">
        <v>78</v>
      </c>
      <c r="E6504" s="4">
        <v>24.0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</v>
      </c>
      <c r="U6504" s="5">
        <f>C6504+2</f>
        <v>40719</v>
      </c>
    </row>
    <row r="6505" ht="12.75" customHeight="1">
      <c r="A6505" s="4">
        <v>3450.0</v>
      </c>
      <c r="B6505" s="4">
        <v>24608.0</v>
      </c>
      <c r="C6505" s="5">
        <f>DATE(2012,12,31)-139</f>
        <v>41135</v>
      </c>
      <c r="D6505" s="4" t="s">
        <v>63</v>
      </c>
      <c r="E6505" s="4">
        <v>50.0</v>
      </c>
      <c r="F6505" s="4">
        <v>197.36</v>
      </c>
      <c r="G6505" s="4">
        <v>0.07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4">C6505+1</f>
        <v>41136</v>
      </c>
    </row>
    <row r="6506" ht="12.75" customHeight="1">
      <c r="A6506" s="4">
        <v>3579.0</v>
      </c>
      <c r="B6506" s="4">
        <v>25507.0</v>
      </c>
      <c r="C6506" s="5">
        <f>DATE(2012,12,31)-1244</f>
        <v>40030</v>
      </c>
      <c r="D6506" s="4" t="s">
        <v>45</v>
      </c>
      <c r="E6506" s="4">
        <v>8.0</v>
      </c>
      <c r="F6506" s="4">
        <v>555.2</v>
      </c>
      <c r="G6506" s="4">
        <v>0.06</v>
      </c>
      <c r="H6506" s="4" t="s">
        <v>22</v>
      </c>
      <c r="I6506" s="6">
        <v>-267.86</v>
      </c>
      <c r="J6506" s="4">
        <v>64.65</v>
      </c>
      <c r="K6506" s="4">
        <v>35.0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4"/>
        <v>40031</v>
      </c>
    </row>
    <row r="6507" ht="12.75" customHeight="1">
      <c r="A6507" s="4">
        <v>3580.0</v>
      </c>
      <c r="B6507" s="4">
        <v>25509.0</v>
      </c>
      <c r="C6507" s="5">
        <f>DATE(2012,12,31)-1319</f>
        <v>39955</v>
      </c>
      <c r="D6507" s="4" t="s">
        <v>78</v>
      </c>
      <c r="E6507" s="4">
        <v>43.0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ht="12.75" customHeight="1">
      <c r="A6508" s="4">
        <v>3631.0</v>
      </c>
      <c r="B6508" s="4">
        <v>25952.0</v>
      </c>
      <c r="C6508" s="5">
        <f>DATE(2012,12,31)-849</f>
        <v>40425</v>
      </c>
      <c r="D6508" s="4" t="s">
        <v>30</v>
      </c>
      <c r="E6508" s="4">
        <v>50.0</v>
      </c>
      <c r="F6508" s="4">
        <v>2864.1005</v>
      </c>
      <c r="G6508" s="4">
        <v>0.03</v>
      </c>
      <c r="H6508" s="4" t="s">
        <v>22</v>
      </c>
      <c r="I6508" s="6">
        <v>697.8240000000001</v>
      </c>
      <c r="J6508" s="4">
        <v>65.99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</v>
      </c>
      <c r="U6508" s="5">
        <f>C6508+1</f>
        <v>40426</v>
      </c>
    </row>
    <row r="6509" ht="12.75" customHeight="1">
      <c r="A6509" s="4">
        <v>3680.0</v>
      </c>
      <c r="B6509" s="4">
        <v>26336.0</v>
      </c>
      <c r="C6509" s="5">
        <f t="shared" ref="C6509:C6510" si="2765">DATE(2012,12,31)-219</f>
        <v>41055</v>
      </c>
      <c r="D6509" s="4" t="s">
        <v>30</v>
      </c>
      <c r="E6509" s="4">
        <v>39.0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ht="12.75" customHeight="1">
      <c r="A6510" s="4">
        <v>3681.0</v>
      </c>
      <c r="B6510" s="4">
        <v>26336.0</v>
      </c>
      <c r="C6510" s="5">
        <f t="shared" si="2765"/>
        <v>41055</v>
      </c>
      <c r="D6510" s="4" t="s">
        <v>30</v>
      </c>
      <c r="E6510" s="4">
        <v>45.0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0.58</v>
      </c>
      <c r="U6510" s="5">
        <f t="shared" ref="U6510:U6511" si="2766">C6510+1</f>
        <v>41056</v>
      </c>
    </row>
    <row r="6511" ht="12.75" customHeight="1">
      <c r="A6511" s="4">
        <v>3865.0</v>
      </c>
      <c r="B6511" s="4">
        <v>27558.0</v>
      </c>
      <c r="C6511" s="5">
        <f>DATE(2012,12,31)-543</f>
        <v>40731</v>
      </c>
      <c r="D6511" s="4" t="s">
        <v>45</v>
      </c>
      <c r="E6511" s="4">
        <v>21.0</v>
      </c>
      <c r="F6511" s="4">
        <v>423.24</v>
      </c>
      <c r="G6511" s="4">
        <v>0.1</v>
      </c>
      <c r="H6511" s="4" t="s">
        <v>22</v>
      </c>
      <c r="I6511" s="6">
        <v>128.8345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6"/>
        <v>40732</v>
      </c>
    </row>
    <row r="6512" ht="12.75" customHeight="1">
      <c r="A6512" s="4">
        <v>3920.0</v>
      </c>
      <c r="B6512" s="4">
        <v>27969.0</v>
      </c>
      <c r="C6512" s="5">
        <f t="shared" ref="C6512:C6514" si="2767">DATE(2012,12,31)-937</f>
        <v>40337</v>
      </c>
      <c r="D6512" s="4" t="s">
        <v>21</v>
      </c>
      <c r="E6512" s="4">
        <v>43.0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130.98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ht="12.75" customHeight="1">
      <c r="A6513" s="4">
        <v>3921.0</v>
      </c>
      <c r="B6513" s="4">
        <v>27969.0</v>
      </c>
      <c r="C6513" s="5">
        <f t="shared" si="2767"/>
        <v>40337</v>
      </c>
      <c r="D6513" s="4" t="s">
        <v>21</v>
      </c>
      <c r="E6513" s="4">
        <v>9.0</v>
      </c>
      <c r="F6513" s="4">
        <v>732.72</v>
      </c>
      <c r="G6513" s="4">
        <v>0.03</v>
      </c>
      <c r="H6513" s="4" t="s">
        <v>22</v>
      </c>
      <c r="I6513" s="6">
        <v>8.599999999999994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ht="12.75" customHeight="1">
      <c r="A6514" s="4">
        <v>3922.0</v>
      </c>
      <c r="B6514" s="4">
        <v>27969.0</v>
      </c>
      <c r="C6514" s="5">
        <f t="shared" si="2767"/>
        <v>40337</v>
      </c>
      <c r="D6514" s="4" t="s">
        <v>21</v>
      </c>
      <c r="E6514" s="4">
        <v>32.0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ht="12.75" customHeight="1">
      <c r="A6515" s="4">
        <v>4176.0</v>
      </c>
      <c r="B6515" s="4">
        <v>29637.0</v>
      </c>
      <c r="C6515" s="5">
        <f>DATE(2012,12,31)-1316</f>
        <v>39958</v>
      </c>
      <c r="D6515" s="4" t="s">
        <v>30</v>
      </c>
      <c r="E6515" s="4">
        <v>34.0</v>
      </c>
      <c r="F6515" s="4">
        <v>598.19</v>
      </c>
      <c r="G6515" s="4">
        <v>0.09</v>
      </c>
      <c r="H6515" s="4" t="s">
        <v>22</v>
      </c>
      <c r="I6515" s="6">
        <v>-6.612000000000011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8">C6515+2</f>
        <v>39960</v>
      </c>
    </row>
    <row r="6516" ht="12.75" customHeight="1">
      <c r="A6516" s="4">
        <v>4279.0</v>
      </c>
      <c r="B6516" s="4">
        <v>30469.0</v>
      </c>
      <c r="C6516" s="5">
        <f>DATE(2012,12,31)-6</f>
        <v>41268</v>
      </c>
      <c r="D6516" s="4" t="s">
        <v>45</v>
      </c>
      <c r="E6516" s="4">
        <v>46.0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8"/>
        <v>41270</v>
      </c>
    </row>
    <row r="6517" ht="12.75" customHeight="1">
      <c r="A6517" s="4">
        <v>4409.0</v>
      </c>
      <c r="B6517" s="4">
        <v>31460.0</v>
      </c>
      <c r="C6517" s="5">
        <f>DATE(2012,12,31)-127</f>
        <v>41147</v>
      </c>
      <c r="D6517" s="4" t="s">
        <v>30</v>
      </c>
      <c r="E6517" s="4">
        <v>9.0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35.0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8"/>
        <v>41149</v>
      </c>
    </row>
    <row r="6518" ht="12.75" customHeight="1">
      <c r="A6518" s="4">
        <v>4487.0</v>
      </c>
      <c r="B6518" s="4">
        <v>31939.0</v>
      </c>
      <c r="C6518" s="5">
        <f>DATE(2012,12,31)-555</f>
        <v>40719</v>
      </c>
      <c r="D6518" s="4" t="s">
        <v>30</v>
      </c>
      <c r="E6518" s="4">
        <v>13.0</v>
      </c>
      <c r="F6518" s="4">
        <v>1506.8374999999999</v>
      </c>
      <c r="G6518" s="4">
        <v>0.07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8"/>
        <v>40721</v>
      </c>
    </row>
    <row r="6519" ht="12.75" customHeight="1">
      <c r="A6519" s="4">
        <v>4760.0</v>
      </c>
      <c r="B6519" s="4">
        <v>33826.0</v>
      </c>
      <c r="C6519" s="5">
        <f>DATE(2012,12,31)-743</f>
        <v>40531</v>
      </c>
      <c r="D6519" s="4" t="s">
        <v>21</v>
      </c>
      <c r="E6519" s="4">
        <v>13.0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5.0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ht="12.75" customHeight="1">
      <c r="A6520" s="4">
        <v>4802.0</v>
      </c>
      <c r="B6520" s="4">
        <v>34151.0</v>
      </c>
      <c r="C6520" s="5">
        <f>DATE(2012,12,31)-479</f>
        <v>40795</v>
      </c>
      <c r="D6520" s="4" t="s">
        <v>45</v>
      </c>
      <c r="E6520" s="4">
        <v>26.0</v>
      </c>
      <c r="F6520" s="4">
        <v>4097.1445</v>
      </c>
      <c r="G6520" s="4">
        <v>0.1</v>
      </c>
      <c r="H6520" s="4" t="s">
        <v>22</v>
      </c>
      <c r="I6520" s="6">
        <v>501.543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</v>
      </c>
      <c r="U6520" s="5">
        <f>C6520+1</f>
        <v>40796</v>
      </c>
    </row>
    <row r="6521" ht="12.75" customHeight="1">
      <c r="A6521" s="4">
        <v>4868.0</v>
      </c>
      <c r="B6521" s="4">
        <v>34659.0</v>
      </c>
      <c r="C6521" s="5">
        <f>DATE(2012,12,31)-42</f>
        <v>41232</v>
      </c>
      <c r="D6521" s="4" t="s">
        <v>30</v>
      </c>
      <c r="E6521" s="4">
        <v>42.0</v>
      </c>
      <c r="F6521" s="4">
        <v>259.43</v>
      </c>
      <c r="G6521" s="4">
        <v>0.0</v>
      </c>
      <c r="H6521" s="4" t="s">
        <v>22</v>
      </c>
      <c r="I6521" s="6">
        <v>-52.5205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9">C6521+2</f>
        <v>41234</v>
      </c>
    </row>
    <row r="6522" ht="12.75" customHeight="1">
      <c r="A6522" s="4">
        <v>4949.0</v>
      </c>
      <c r="B6522" s="4">
        <v>35200.0</v>
      </c>
      <c r="C6522" s="5">
        <f>DATE(2012,12,31)-1425</f>
        <v>39849</v>
      </c>
      <c r="D6522" s="4" t="s">
        <v>63</v>
      </c>
      <c r="E6522" s="4">
        <v>15.0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0.57</v>
      </c>
      <c r="U6522" s="5">
        <f t="shared" si="2769"/>
        <v>39851</v>
      </c>
    </row>
    <row r="6523" ht="12.75" customHeight="1">
      <c r="A6523" s="4">
        <v>4983.0</v>
      </c>
      <c r="B6523" s="4">
        <v>35456.0</v>
      </c>
      <c r="C6523" s="5">
        <f>DATE(2012,12,31)-60</f>
        <v>41214</v>
      </c>
      <c r="D6523" s="4" t="s">
        <v>78</v>
      </c>
      <c r="E6523" s="4">
        <v>37.0</v>
      </c>
      <c r="F6523" s="4">
        <v>46.37</v>
      </c>
      <c r="G6523" s="4">
        <v>0.03</v>
      </c>
      <c r="H6523" s="4" t="s">
        <v>22</v>
      </c>
      <c r="I6523" s="6">
        <v>-19.81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9"/>
        <v>41216</v>
      </c>
    </row>
    <row r="6524" ht="12.75" customHeight="1">
      <c r="A6524" s="4">
        <v>5025.0</v>
      </c>
      <c r="B6524" s="4">
        <v>35840.0</v>
      </c>
      <c r="C6524" s="5">
        <f t="shared" ref="C6524:C6525" si="2770">DATE(2012,12,31)-947</f>
        <v>40327</v>
      </c>
      <c r="D6524" s="4" t="s">
        <v>30</v>
      </c>
      <c r="E6524" s="4">
        <v>36.0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ht="12.75" customHeight="1">
      <c r="A6525" s="4">
        <v>5026.0</v>
      </c>
      <c r="B6525" s="4">
        <v>35840.0</v>
      </c>
      <c r="C6525" s="5">
        <f t="shared" si="2770"/>
        <v>40327</v>
      </c>
      <c r="D6525" s="4" t="s">
        <v>30</v>
      </c>
      <c r="E6525" s="4">
        <v>49.0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</v>
      </c>
      <c r="U6525" s="5">
        <f>C6525+2</f>
        <v>40329</v>
      </c>
    </row>
    <row r="6526" ht="12.75" customHeight="1">
      <c r="A6526" s="4">
        <v>5059.0</v>
      </c>
      <c r="B6526" s="4">
        <v>36069.0</v>
      </c>
      <c r="C6526" s="5">
        <f t="shared" ref="C6526:C6528" si="2771">DATE(2012,12,31)-1122</f>
        <v>40152</v>
      </c>
      <c r="D6526" s="4" t="s">
        <v>21</v>
      </c>
      <c r="E6526" s="4">
        <v>13.0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ht="12.75" customHeight="1">
      <c r="A6527" s="4">
        <v>5060.0</v>
      </c>
      <c r="B6527" s="4">
        <v>36069.0</v>
      </c>
      <c r="C6527" s="5">
        <f t="shared" si="2771"/>
        <v>40152</v>
      </c>
      <c r="D6527" s="4" t="s">
        <v>21</v>
      </c>
      <c r="E6527" s="4">
        <v>15.0</v>
      </c>
      <c r="F6527" s="4">
        <v>2758.22</v>
      </c>
      <c r="G6527" s="4">
        <v>0.0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ht="12.75" customHeight="1">
      <c r="A6528" s="4">
        <v>5061.0</v>
      </c>
      <c r="B6528" s="4">
        <v>36069.0</v>
      </c>
      <c r="C6528" s="5">
        <f t="shared" si="2771"/>
        <v>40152</v>
      </c>
      <c r="D6528" s="4" t="s">
        <v>21</v>
      </c>
      <c r="E6528" s="4">
        <v>20.0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2">C6528+2</f>
        <v>40154</v>
      </c>
    </row>
    <row r="6529" ht="12.75" customHeight="1">
      <c r="A6529" s="4">
        <v>5135.0</v>
      </c>
      <c r="B6529" s="4">
        <v>36640.0</v>
      </c>
      <c r="C6529" s="5">
        <f>DATE(2012,12,31)-409</f>
        <v>40865</v>
      </c>
      <c r="D6529" s="4" t="s">
        <v>45</v>
      </c>
      <c r="E6529" s="4">
        <v>18.0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2"/>
        <v>40867</v>
      </c>
    </row>
    <row r="6530" ht="12.75" customHeight="1">
      <c r="A6530" s="4">
        <v>5197.0</v>
      </c>
      <c r="B6530" s="4">
        <v>36931.0</v>
      </c>
      <c r="C6530" s="5">
        <f>DATE(2012,12,31)-712</f>
        <v>40562</v>
      </c>
      <c r="D6530" s="4" t="s">
        <v>45</v>
      </c>
      <c r="E6530" s="4">
        <v>46.0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0.58</v>
      </c>
      <c r="U6530" s="5">
        <f>C6530+0</f>
        <v>40562</v>
      </c>
    </row>
    <row r="6531" ht="12.75" customHeight="1">
      <c r="A6531" s="4">
        <v>5279.0</v>
      </c>
      <c r="B6531" s="4">
        <v>37543.0</v>
      </c>
      <c r="C6531" s="5">
        <f>DATE(2012,12,31)-366</f>
        <v>40908</v>
      </c>
      <c r="D6531" s="4" t="s">
        <v>63</v>
      </c>
      <c r="E6531" s="4">
        <v>6.0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36.55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ht="12.75" customHeight="1">
      <c r="A6532" s="4">
        <v>5517.0</v>
      </c>
      <c r="B6532" s="4">
        <v>39111.0</v>
      </c>
      <c r="C6532" s="5">
        <f t="shared" ref="C6532:C6533" si="2773">DATE(2012,12,31)-525</f>
        <v>40749</v>
      </c>
      <c r="D6532" s="4" t="s">
        <v>63</v>
      </c>
      <c r="E6532" s="4">
        <v>1.0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19.99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</v>
      </c>
      <c r="U6532" s="5">
        <f>C6532+3</f>
        <v>40752</v>
      </c>
    </row>
    <row r="6533" ht="12.75" customHeight="1">
      <c r="A6533" s="4">
        <v>5518.0</v>
      </c>
      <c r="B6533" s="4">
        <v>39111.0</v>
      </c>
      <c r="C6533" s="5">
        <f t="shared" si="2773"/>
        <v>40749</v>
      </c>
      <c r="D6533" s="4" t="s">
        <v>63</v>
      </c>
      <c r="E6533" s="4">
        <v>20.0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ht="12.75" customHeight="1">
      <c r="A6534" s="4">
        <v>5520.0</v>
      </c>
      <c r="B6534" s="4">
        <v>39139.0</v>
      </c>
      <c r="C6534" s="5">
        <f t="shared" ref="C6534:C6536" si="2774">DATE(2012,12,31)-779</f>
        <v>40495</v>
      </c>
      <c r="D6534" s="4" t="s">
        <v>45</v>
      </c>
      <c r="E6534" s="4">
        <v>6.0</v>
      </c>
      <c r="F6534" s="4">
        <v>627.453</v>
      </c>
      <c r="G6534" s="4">
        <v>0.07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0.57</v>
      </c>
      <c r="U6534" s="5">
        <f>C6534+0</f>
        <v>40495</v>
      </c>
    </row>
    <row r="6535" ht="12.75" customHeight="1">
      <c r="A6535" s="4">
        <v>5521.0</v>
      </c>
      <c r="B6535" s="4">
        <v>39139.0</v>
      </c>
      <c r="C6535" s="5">
        <f t="shared" si="2774"/>
        <v>40495</v>
      </c>
      <c r="D6535" s="4" t="s">
        <v>45</v>
      </c>
      <c r="E6535" s="4">
        <v>50.0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5">C6535+2</f>
        <v>40497</v>
      </c>
    </row>
    <row r="6536" ht="12.75" customHeight="1">
      <c r="A6536" s="4">
        <v>5522.0</v>
      </c>
      <c r="B6536" s="4">
        <v>39139.0</v>
      </c>
      <c r="C6536" s="5">
        <f t="shared" si="2774"/>
        <v>40495</v>
      </c>
      <c r="D6536" s="4" t="s">
        <v>45</v>
      </c>
      <c r="E6536" s="4">
        <v>31.0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5"/>
        <v>40497</v>
      </c>
    </row>
    <row r="6537" ht="12.75" customHeight="1">
      <c r="A6537" s="4">
        <v>5573.0</v>
      </c>
      <c r="B6537" s="4">
        <v>39490.0</v>
      </c>
      <c r="C6537" s="5">
        <f t="shared" ref="C6537:C6538" si="2776">DATE(2012,12,31)-141</f>
        <v>41133</v>
      </c>
      <c r="D6537" s="4" t="s">
        <v>21</v>
      </c>
      <c r="E6537" s="4">
        <v>38.0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ht="12.75" customHeight="1">
      <c r="A6538" s="4">
        <v>5574.0</v>
      </c>
      <c r="B6538" s="4">
        <v>39490.0</v>
      </c>
      <c r="C6538" s="5">
        <f t="shared" si="2776"/>
        <v>41133</v>
      </c>
      <c r="D6538" s="4" t="s">
        <v>21</v>
      </c>
      <c r="E6538" s="4">
        <v>17.0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60.0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</v>
      </c>
      <c r="U6538" s="5">
        <f>C6538+4</f>
        <v>41137</v>
      </c>
    </row>
    <row r="6539" ht="12.75" customHeight="1">
      <c r="A6539" s="4">
        <v>5645.0</v>
      </c>
      <c r="B6539" s="4">
        <v>39938.0</v>
      </c>
      <c r="C6539" s="5">
        <f>DATE(2012,12,31)-204</f>
        <v>41070</v>
      </c>
      <c r="D6539" s="4" t="s">
        <v>30</v>
      </c>
      <c r="E6539" s="4">
        <v>5.0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</v>
      </c>
      <c r="U6539" s="5">
        <f>C6539+1</f>
        <v>41071</v>
      </c>
    </row>
    <row r="6540" ht="12.75" customHeight="1">
      <c r="A6540" s="4">
        <v>5667.0</v>
      </c>
      <c r="B6540" s="4">
        <v>40098.0</v>
      </c>
      <c r="C6540" s="5">
        <f t="shared" ref="C6540:C6541" si="2777">DATE(2012,12,31)-330</f>
        <v>40944</v>
      </c>
      <c r="D6540" s="4" t="s">
        <v>21</v>
      </c>
      <c r="E6540" s="4">
        <v>46.0</v>
      </c>
      <c r="F6540" s="4">
        <v>557.35</v>
      </c>
      <c r="G6540" s="4">
        <v>0.0</v>
      </c>
      <c r="H6540" s="4" t="s">
        <v>22</v>
      </c>
      <c r="I6540" s="6">
        <v>-9.1885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ht="12.75" customHeight="1">
      <c r="A6541" s="4">
        <v>5668.0</v>
      </c>
      <c r="B6541" s="4">
        <v>40098.0</v>
      </c>
      <c r="C6541" s="5">
        <f t="shared" si="2777"/>
        <v>40944</v>
      </c>
      <c r="D6541" s="4" t="s">
        <v>21</v>
      </c>
      <c r="E6541" s="4">
        <v>50.0</v>
      </c>
      <c r="F6541" s="4">
        <v>490.87</v>
      </c>
      <c r="G6541" s="4">
        <v>0.0</v>
      </c>
      <c r="H6541" s="4" t="s">
        <v>22</v>
      </c>
      <c r="I6541" s="6">
        <v>190.93</v>
      </c>
      <c r="J6541" s="4">
        <v>9.68</v>
      </c>
      <c r="K6541" s="4">
        <v>2.03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ht="12.75" customHeight="1">
      <c r="A6542" s="4">
        <v>5785.0</v>
      </c>
      <c r="B6542" s="4">
        <v>41056.0</v>
      </c>
      <c r="C6542" s="5">
        <f>DATE(2012,12,31)-280</f>
        <v>40994</v>
      </c>
      <c r="D6542" s="4" t="s">
        <v>78</v>
      </c>
      <c r="E6542" s="4">
        <v>4.0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34.98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ht="12.75" customHeight="1">
      <c r="A6543" s="4">
        <v>5937.0</v>
      </c>
      <c r="B6543" s="4">
        <v>42115.0</v>
      </c>
      <c r="C6543" s="5">
        <f t="shared" ref="C6543:C6544" si="2778">DATE(2012,12,31)-317</f>
        <v>40957</v>
      </c>
      <c r="D6543" s="4" t="s">
        <v>78</v>
      </c>
      <c r="E6543" s="4">
        <v>21.0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ht="12.75" customHeight="1">
      <c r="A6544" s="4">
        <v>5938.0</v>
      </c>
      <c r="B6544" s="4">
        <v>42115.0</v>
      </c>
      <c r="C6544" s="5">
        <f t="shared" si="2778"/>
        <v>40957</v>
      </c>
      <c r="D6544" s="4" t="s">
        <v>78</v>
      </c>
      <c r="E6544" s="4">
        <v>19.0</v>
      </c>
      <c r="F6544" s="4">
        <v>540.56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0.58</v>
      </c>
      <c r="U6544" s="5">
        <f t="shared" ref="U6544:U6545" si="2779">C6544+1</f>
        <v>40958</v>
      </c>
    </row>
    <row r="6545" ht="12.75" customHeight="1">
      <c r="A6545" s="4">
        <v>6136.0</v>
      </c>
      <c r="B6545" s="4">
        <v>43459.0</v>
      </c>
      <c r="C6545" s="5">
        <f>DATE(2012,12,31)-420</f>
        <v>40854</v>
      </c>
      <c r="D6545" s="4" t="s">
        <v>78</v>
      </c>
      <c r="E6545" s="4">
        <v>26.0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9"/>
        <v>40855</v>
      </c>
    </row>
    <row r="6546" ht="12.75" customHeight="1">
      <c r="A6546" s="4">
        <v>6403.0</v>
      </c>
      <c r="B6546" s="4">
        <v>45476.0</v>
      </c>
      <c r="C6546" s="5">
        <f>DATE(2012,12,31)-257</f>
        <v>41017</v>
      </c>
      <c r="D6546" s="4" t="s">
        <v>78</v>
      </c>
      <c r="E6546" s="4">
        <v>48.0</v>
      </c>
      <c r="F6546" s="4">
        <v>1055.98</v>
      </c>
      <c r="G6546" s="4">
        <v>0.07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ht="12.75" customHeight="1">
      <c r="A6547" s="4">
        <v>6452.0</v>
      </c>
      <c r="B6547" s="4">
        <v>45958.0</v>
      </c>
      <c r="C6547" s="5">
        <f t="shared" ref="C6547:C6548" si="2780">DATE(2012,12,31)-586</f>
        <v>40688</v>
      </c>
      <c r="D6547" s="4" t="s">
        <v>63</v>
      </c>
      <c r="E6547" s="4">
        <v>28.0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ht="12.75" customHeight="1">
      <c r="A6548" s="4">
        <v>6453.0</v>
      </c>
      <c r="B6548" s="4">
        <v>45958.0</v>
      </c>
      <c r="C6548" s="5">
        <f t="shared" si="2780"/>
        <v>40688</v>
      </c>
      <c r="D6548" s="4" t="s">
        <v>63</v>
      </c>
      <c r="E6548" s="4">
        <v>16.0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ht="12.75" customHeight="1">
      <c r="A6549" s="4">
        <v>6690.0</v>
      </c>
      <c r="B6549" s="4">
        <v>47591.0</v>
      </c>
      <c r="C6549" s="5">
        <f>DATE(2012,12,31)-364</f>
        <v>40910</v>
      </c>
      <c r="D6549" s="4" t="s">
        <v>78</v>
      </c>
      <c r="E6549" s="4">
        <v>27.0</v>
      </c>
      <c r="F6549" s="4">
        <v>279.4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0.58</v>
      </c>
      <c r="U6549" s="5">
        <f>C6549+1</f>
        <v>40911</v>
      </c>
    </row>
    <row r="6550" ht="12.75" customHeight="1">
      <c r="A6550" s="4">
        <v>6962.0</v>
      </c>
      <c r="B6550" s="4">
        <v>49764.0</v>
      </c>
      <c r="C6550" s="5">
        <f>DATE(2012,12,31)-820</f>
        <v>40454</v>
      </c>
      <c r="D6550" s="4" t="s">
        <v>21</v>
      </c>
      <c r="E6550" s="4">
        <v>37.0</v>
      </c>
      <c r="F6550" s="4">
        <v>395.37</v>
      </c>
      <c r="G6550" s="4">
        <v>0.07</v>
      </c>
      <c r="H6550" s="4" t="s">
        <v>56</v>
      </c>
      <c r="I6550" s="6">
        <v>17.15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0.57</v>
      </c>
      <c r="U6550" s="5">
        <f>C6550+4</f>
        <v>40458</v>
      </c>
    </row>
    <row r="6551" ht="12.75" customHeight="1">
      <c r="A6551" s="4">
        <v>7022.0</v>
      </c>
      <c r="B6551" s="4">
        <v>50118.0</v>
      </c>
      <c r="C6551" s="5">
        <f>DATE(2012,12,31)-1019</f>
        <v>40255</v>
      </c>
      <c r="D6551" s="4" t="s">
        <v>45</v>
      </c>
      <c r="E6551" s="4">
        <v>19.0</v>
      </c>
      <c r="F6551" s="4">
        <v>337.38</v>
      </c>
      <c r="G6551" s="4">
        <v>0.0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1">C6551+1</f>
        <v>40256</v>
      </c>
    </row>
    <row r="6552" ht="12.75" customHeight="1">
      <c r="A6552" s="4">
        <v>7031.0</v>
      </c>
      <c r="B6552" s="4">
        <v>50183.0</v>
      </c>
      <c r="C6552" s="5">
        <f>DATE(2012,12,31)-952</f>
        <v>40322</v>
      </c>
      <c r="D6552" s="4" t="s">
        <v>30</v>
      </c>
      <c r="E6552" s="4">
        <v>20.0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1"/>
        <v>40323</v>
      </c>
    </row>
    <row r="6553" ht="12.75" customHeight="1">
      <c r="A6553" s="4">
        <v>7117.0</v>
      </c>
      <c r="B6553" s="4">
        <v>50786.0</v>
      </c>
      <c r="C6553" s="5">
        <f>DATE(2012,12,31)-1176</f>
        <v>40098</v>
      </c>
      <c r="D6553" s="4" t="s">
        <v>21</v>
      </c>
      <c r="E6553" s="4">
        <v>4.0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14.0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ht="12.75" customHeight="1">
      <c r="A6554" s="4">
        <v>7144.0</v>
      </c>
      <c r="B6554" s="4">
        <v>50978.0</v>
      </c>
      <c r="C6554" s="5">
        <f>DATE(2012,12,31)-275</f>
        <v>40999</v>
      </c>
      <c r="D6554" s="4" t="s">
        <v>30</v>
      </c>
      <c r="E6554" s="4">
        <v>4.0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ht="12.75" customHeight="1">
      <c r="A6555" s="4">
        <v>7147.0</v>
      </c>
      <c r="B6555" s="4">
        <v>50983.0</v>
      </c>
      <c r="C6555" s="5">
        <f t="shared" ref="C6555:C6556" si="2782">DATE(2012,12,31)-552</f>
        <v>40722</v>
      </c>
      <c r="D6555" s="4" t="s">
        <v>78</v>
      </c>
      <c r="E6555" s="4">
        <v>39.0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35.0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ht="12.75" customHeight="1">
      <c r="A6556" s="4">
        <v>7148.0</v>
      </c>
      <c r="B6556" s="4">
        <v>50983.0</v>
      </c>
      <c r="C6556" s="5">
        <f t="shared" si="2782"/>
        <v>40722</v>
      </c>
      <c r="D6556" s="4" t="s">
        <v>78</v>
      </c>
      <c r="E6556" s="4">
        <v>15.0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ht="12.75" customHeight="1">
      <c r="A6557" s="4">
        <v>7291.0</v>
      </c>
      <c r="B6557" s="4">
        <v>52002.0</v>
      </c>
      <c r="C6557" s="5">
        <f>DATE(2012,12,31)-1306</f>
        <v>39968</v>
      </c>
      <c r="D6557" s="4" t="s">
        <v>30</v>
      </c>
      <c r="E6557" s="4">
        <v>11.0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ht="12.75" customHeight="1">
      <c r="A6558" s="4">
        <v>7330.0</v>
      </c>
      <c r="B6558" s="4">
        <v>52227.0</v>
      </c>
      <c r="C6558" s="5">
        <f>DATE(2012,12,31)-1418</f>
        <v>39856</v>
      </c>
      <c r="D6558" s="4" t="s">
        <v>63</v>
      </c>
      <c r="E6558" s="4">
        <v>37.0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ht="12.75" customHeight="1">
      <c r="A6559" s="4">
        <v>7334.0</v>
      </c>
      <c r="B6559" s="4">
        <v>52261.0</v>
      </c>
      <c r="C6559" s="5">
        <f>DATE(2012,12,31)-620</f>
        <v>40654</v>
      </c>
      <c r="D6559" s="4" t="s">
        <v>45</v>
      </c>
      <c r="E6559" s="4">
        <v>49.0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ht="12.75" customHeight="1">
      <c r="A6560" s="4">
        <v>7401.0</v>
      </c>
      <c r="B6560" s="4">
        <v>52743.0</v>
      </c>
      <c r="C6560" s="5">
        <f>DATE(2012,12,31)-911</f>
        <v>40363</v>
      </c>
      <c r="D6560" s="4" t="s">
        <v>30</v>
      </c>
      <c r="E6560" s="4">
        <v>46.0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150.98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ht="12.75" customHeight="1">
      <c r="A6561" s="4">
        <v>7444.0</v>
      </c>
      <c r="B6561" s="4">
        <v>53120.0</v>
      </c>
      <c r="C6561" s="5">
        <f>DATE(2012,12,31)-228</f>
        <v>41046</v>
      </c>
      <c r="D6561" s="4" t="s">
        <v>45</v>
      </c>
      <c r="E6561" s="4">
        <v>5.0</v>
      </c>
      <c r="F6561" s="4">
        <v>22.75</v>
      </c>
      <c r="G6561" s="4">
        <v>0.09</v>
      </c>
      <c r="H6561" s="4" t="s">
        <v>22</v>
      </c>
      <c r="I6561" s="6">
        <v>-0.4499999999999993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3">C6561+2</f>
        <v>41048</v>
      </c>
    </row>
    <row r="6562" ht="12.75" customHeight="1">
      <c r="A6562" s="4">
        <v>7543.0</v>
      </c>
      <c r="B6562" s="4">
        <v>53920.0</v>
      </c>
      <c r="C6562" s="5">
        <f>DATE(2012,12,31)-1384</f>
        <v>39890</v>
      </c>
      <c r="D6562" s="4" t="s">
        <v>78</v>
      </c>
      <c r="E6562" s="4">
        <v>18.0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3"/>
        <v>39892</v>
      </c>
    </row>
    <row r="6563" ht="12.75" customHeight="1">
      <c r="A6563" s="4">
        <v>7634.0</v>
      </c>
      <c r="B6563" s="4">
        <v>54630.0</v>
      </c>
      <c r="C6563" s="5">
        <f>DATE(2012,12,31)-143</f>
        <v>41131</v>
      </c>
      <c r="D6563" s="4" t="s">
        <v>21</v>
      </c>
      <c r="E6563" s="4">
        <v>11.0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ht="12.75" customHeight="1">
      <c r="A6564" s="4">
        <v>7717.0</v>
      </c>
      <c r="B6564" s="4">
        <v>55299.0</v>
      </c>
      <c r="C6564" s="5">
        <f>DATE(2012,12,31)-276</f>
        <v>40998</v>
      </c>
      <c r="D6564" s="4" t="s">
        <v>21</v>
      </c>
      <c r="E6564" s="4">
        <v>20.0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1.14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ht="12.75" customHeight="1">
      <c r="A6565" s="4">
        <v>7758.0</v>
      </c>
      <c r="B6565" s="4">
        <v>55520.0</v>
      </c>
      <c r="C6565" s="5">
        <f>DATE(2012,12,31)-604</f>
        <v>40670</v>
      </c>
      <c r="D6565" s="4" t="s">
        <v>78</v>
      </c>
      <c r="E6565" s="4">
        <v>43.0</v>
      </c>
      <c r="F6565" s="4">
        <v>525.77</v>
      </c>
      <c r="G6565" s="4">
        <v>0.08</v>
      </c>
      <c r="H6565" s="4" t="s">
        <v>56</v>
      </c>
      <c r="I6565" s="6">
        <v>34.63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4">C6565+1</f>
        <v>40671</v>
      </c>
    </row>
    <row r="6566" ht="12.75" customHeight="1">
      <c r="A6566" s="4">
        <v>7778.0</v>
      </c>
      <c r="B6566" s="4">
        <v>55653.0</v>
      </c>
      <c r="C6566" s="5">
        <f>DATE(2012,12,31)-766</f>
        <v>40508</v>
      </c>
      <c r="D6566" s="4" t="s">
        <v>63</v>
      </c>
      <c r="E6566" s="4">
        <v>34.0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4"/>
        <v>40509</v>
      </c>
    </row>
    <row r="6567" ht="12.75" customHeight="1">
      <c r="A6567" s="4">
        <v>7909.0</v>
      </c>
      <c r="B6567" s="4">
        <v>56577.0</v>
      </c>
      <c r="C6567" s="5">
        <f>DATE(2012,12,31)-425</f>
        <v>40849</v>
      </c>
      <c r="D6567" s="4" t="s">
        <v>78</v>
      </c>
      <c r="E6567" s="4">
        <v>30.0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4"/>
        <v>40850</v>
      </c>
    </row>
    <row r="6568" ht="12.75" customHeight="1">
      <c r="A6568" s="4">
        <v>7940.0</v>
      </c>
      <c r="B6568" s="4">
        <v>56711.0</v>
      </c>
      <c r="C6568" s="5">
        <f>DATE(2012,12,31)-694</f>
        <v>40580</v>
      </c>
      <c r="D6568" s="4" t="s">
        <v>21</v>
      </c>
      <c r="E6568" s="4">
        <v>25.0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ht="12.75" customHeight="1">
      <c r="A6569" s="4">
        <v>7947.0</v>
      </c>
      <c r="B6569" s="4">
        <v>56769.0</v>
      </c>
      <c r="C6569" s="5">
        <f>DATE(2012,12,31)-763</f>
        <v>40511</v>
      </c>
      <c r="D6569" s="4" t="s">
        <v>63</v>
      </c>
      <c r="E6569" s="4">
        <v>11.0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ht="12.75" customHeight="1">
      <c r="A6570" s="4">
        <v>8040.0</v>
      </c>
      <c r="B6570" s="4">
        <v>57440.0</v>
      </c>
      <c r="C6570" s="5">
        <f>DATE(2012,12,31)-892</f>
        <v>40382</v>
      </c>
      <c r="D6570" s="4" t="s">
        <v>21</v>
      </c>
      <c r="E6570" s="4">
        <v>12.0</v>
      </c>
      <c r="F6570" s="4">
        <v>1171.232</v>
      </c>
      <c r="G6570" s="4">
        <v>0.04</v>
      </c>
      <c r="H6570" s="4" t="s">
        <v>56</v>
      </c>
      <c r="I6570" s="6">
        <v>-43.252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0.58</v>
      </c>
      <c r="U6570" s="5">
        <f>C6570+7</f>
        <v>40389</v>
      </c>
    </row>
    <row r="6571" ht="12.75" customHeight="1">
      <c r="A6571" s="4">
        <v>8108.0</v>
      </c>
      <c r="B6571" s="4">
        <v>57889.0</v>
      </c>
      <c r="C6571" s="5">
        <f>DATE(2012,12,31)-999</f>
        <v>40275</v>
      </c>
      <c r="D6571" s="4" t="s">
        <v>21</v>
      </c>
      <c r="E6571" s="4">
        <v>39.0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0.57</v>
      </c>
      <c r="U6571" s="5">
        <f>C6571+4</f>
        <v>40279</v>
      </c>
    </row>
    <row r="6572" ht="12.75" customHeight="1">
      <c r="A6572" s="4">
        <v>8188.0</v>
      </c>
      <c r="B6572" s="4">
        <v>58564.0</v>
      </c>
      <c r="C6572" s="5">
        <f>DATE(2012,12,31)-49</f>
        <v>41225</v>
      </c>
      <c r="D6572" s="4" t="s">
        <v>78</v>
      </c>
      <c r="E6572" s="4">
        <v>49.0</v>
      </c>
      <c r="F6572" s="4">
        <v>103.03</v>
      </c>
      <c r="G6572" s="4">
        <v>0.07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</v>
      </c>
      <c r="U6572" s="5">
        <f>C6572+1</f>
        <v>41226</v>
      </c>
    </row>
    <row r="6573" ht="12.75" customHeight="1">
      <c r="A6573" s="4">
        <v>8259.0</v>
      </c>
      <c r="B6573" s="4">
        <v>59072.0</v>
      </c>
      <c r="C6573" s="5">
        <f t="shared" ref="C6573:C6576" si="2785">DATE(2012,12,31)-1316</f>
        <v>39958</v>
      </c>
      <c r="D6573" s="4" t="s">
        <v>45</v>
      </c>
      <c r="E6573" s="4">
        <v>12.0</v>
      </c>
      <c r="F6573" s="4">
        <v>78.94</v>
      </c>
      <c r="G6573" s="4">
        <v>0.03</v>
      </c>
      <c r="H6573" s="4" t="s">
        <v>56</v>
      </c>
      <c r="I6573" s="6">
        <v>-51.704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ht="12.75" customHeight="1">
      <c r="A6574" s="4">
        <v>8260.0</v>
      </c>
      <c r="B6574" s="4">
        <v>59072.0</v>
      </c>
      <c r="C6574" s="5">
        <f t="shared" si="2785"/>
        <v>39958</v>
      </c>
      <c r="D6574" s="4" t="s">
        <v>45</v>
      </c>
      <c r="E6574" s="4">
        <v>22.0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ht="12.75" customHeight="1">
      <c r="A6575" s="4">
        <v>8261.0</v>
      </c>
      <c r="B6575" s="4">
        <v>59072.0</v>
      </c>
      <c r="C6575" s="5">
        <f t="shared" si="2785"/>
        <v>39958</v>
      </c>
      <c r="D6575" s="4" t="s">
        <v>45</v>
      </c>
      <c r="E6575" s="4">
        <v>2.0</v>
      </c>
      <c r="F6575" s="4">
        <v>35.666</v>
      </c>
      <c r="G6575" s="4">
        <v>0.06</v>
      </c>
      <c r="H6575" s="4" t="s">
        <v>22</v>
      </c>
      <c r="I6575" s="6">
        <v>-112.189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6">C6575+2</f>
        <v>39960</v>
      </c>
    </row>
    <row r="6576" ht="12.75" customHeight="1">
      <c r="A6576" s="4">
        <v>8262.0</v>
      </c>
      <c r="B6576" s="4">
        <v>59072.0</v>
      </c>
      <c r="C6576" s="5">
        <f t="shared" si="2785"/>
        <v>39958</v>
      </c>
      <c r="D6576" s="4" t="s">
        <v>45</v>
      </c>
      <c r="E6576" s="4">
        <v>38.0</v>
      </c>
      <c r="F6576" s="4">
        <v>4191.5625</v>
      </c>
      <c r="G6576" s="4">
        <v>0.0</v>
      </c>
      <c r="H6576" s="4" t="s">
        <v>22</v>
      </c>
      <c r="I6576" s="6">
        <v>1286.532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0.58</v>
      </c>
      <c r="U6576" s="5">
        <f t="shared" si="2786"/>
        <v>39960</v>
      </c>
    </row>
    <row r="6577" ht="12.75" customHeight="1">
      <c r="A6577" s="4">
        <v>8346.0</v>
      </c>
      <c r="B6577" s="4">
        <v>59652.0</v>
      </c>
      <c r="C6577" s="5">
        <f>DATE(2012,12,31)-704</f>
        <v>40570</v>
      </c>
      <c r="D6577" s="4" t="s">
        <v>63</v>
      </c>
      <c r="E6577" s="4">
        <v>17.0</v>
      </c>
      <c r="F6577" s="4">
        <v>312.035</v>
      </c>
      <c r="G6577" s="4">
        <v>0.05</v>
      </c>
      <c r="H6577" s="4" t="s">
        <v>22</v>
      </c>
      <c r="I6577" s="6">
        <v>-55.935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6"/>
        <v>40572</v>
      </c>
    </row>
    <row r="6578" ht="12.75" customHeight="1">
      <c r="A6578" s="4">
        <v>8371.0</v>
      </c>
      <c r="B6578" s="4">
        <v>59783.0</v>
      </c>
      <c r="C6578" s="5">
        <f>DATE(2012,12,31)-865</f>
        <v>40409</v>
      </c>
      <c r="D6578" s="4" t="s">
        <v>21</v>
      </c>
      <c r="E6578" s="4">
        <v>36.0</v>
      </c>
      <c r="F6578" s="4">
        <v>77.43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</v>
      </c>
      <c r="U6578" s="5">
        <f>C6578+5</f>
        <v>40414</v>
      </c>
    </row>
    <row r="6579" ht="12.75" customHeight="1">
      <c r="A6579" s="4">
        <v>30.0</v>
      </c>
      <c r="B6579" s="4">
        <v>195.0</v>
      </c>
      <c r="C6579" s="5">
        <f>DATE(2012,12,31)-735</f>
        <v>40539</v>
      </c>
      <c r="D6579" s="4" t="s">
        <v>63</v>
      </c>
      <c r="E6579" s="4">
        <v>34.0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36.55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ht="12.75" customHeight="1">
      <c r="A6580" s="4">
        <v>32.0</v>
      </c>
      <c r="B6580" s="4">
        <v>224.0</v>
      </c>
      <c r="C6580" s="5">
        <f t="shared" ref="C6580:C6582" si="2787">DATE(2012,12,31)-1293</f>
        <v>39981</v>
      </c>
      <c r="D6580" s="4" t="s">
        <v>45</v>
      </c>
      <c r="E6580" s="4">
        <v>25.0</v>
      </c>
      <c r="F6580" s="4">
        <v>184.86</v>
      </c>
      <c r="G6580" s="4">
        <v>0.09</v>
      </c>
      <c r="H6580" s="4" t="s">
        <v>22</v>
      </c>
      <c r="I6580" s="6">
        <v>-33.95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</v>
      </c>
      <c r="U6580" s="5">
        <f t="shared" ref="U6580:U6583" si="2788">C6580+1</f>
        <v>39982</v>
      </c>
    </row>
    <row r="6581" ht="12.75" customHeight="1">
      <c r="A6581" s="4">
        <v>33.0</v>
      </c>
      <c r="B6581" s="4">
        <v>224.0</v>
      </c>
      <c r="C6581" s="5">
        <f t="shared" si="2787"/>
        <v>39981</v>
      </c>
      <c r="D6581" s="4" t="s">
        <v>45</v>
      </c>
      <c r="E6581" s="4">
        <v>44.0</v>
      </c>
      <c r="F6581" s="4">
        <v>267.85</v>
      </c>
      <c r="G6581" s="4">
        <v>0.04</v>
      </c>
      <c r="H6581" s="4" t="s">
        <v>22</v>
      </c>
      <c r="I6581" s="6">
        <v>-65.43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8"/>
        <v>39982</v>
      </c>
    </row>
    <row r="6582" ht="12.75" customHeight="1">
      <c r="A6582" s="4">
        <v>34.0</v>
      </c>
      <c r="B6582" s="4">
        <v>224.0</v>
      </c>
      <c r="C6582" s="5">
        <f t="shared" si="2787"/>
        <v>39981</v>
      </c>
      <c r="D6582" s="4" t="s">
        <v>45</v>
      </c>
      <c r="E6582" s="4">
        <v>33.0</v>
      </c>
      <c r="F6582" s="4">
        <v>528.5</v>
      </c>
      <c r="G6582" s="4">
        <v>0.04</v>
      </c>
      <c r="H6582" s="4" t="s">
        <v>22</v>
      </c>
      <c r="I6582" s="6">
        <v>-149.92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0.58</v>
      </c>
      <c r="U6582" s="5">
        <f t="shared" si="2788"/>
        <v>39982</v>
      </c>
    </row>
    <row r="6583" ht="12.75" customHeight="1">
      <c r="A6583" s="4">
        <v>46.0</v>
      </c>
      <c r="B6583" s="4">
        <v>263.0</v>
      </c>
      <c r="C6583" s="5">
        <f>DATE(2012,12,31)-1325</f>
        <v>39949</v>
      </c>
      <c r="D6583" s="4" t="s">
        <v>30</v>
      </c>
      <c r="E6583" s="4">
        <v>25.0</v>
      </c>
      <c r="F6583" s="4">
        <v>136.77</v>
      </c>
      <c r="G6583" s="4">
        <v>0.09</v>
      </c>
      <c r="H6583" s="4" t="s">
        <v>22</v>
      </c>
      <c r="I6583" s="6">
        <v>-136.252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8"/>
        <v>39950</v>
      </c>
    </row>
    <row r="6584" ht="12.75" customHeight="1">
      <c r="A6584" s="4">
        <v>60.0</v>
      </c>
      <c r="B6584" s="4">
        <v>353.0</v>
      </c>
      <c r="C6584" s="5">
        <f>DATE(2012,12,31)-732</f>
        <v>40542</v>
      </c>
      <c r="D6584" s="4" t="s">
        <v>21</v>
      </c>
      <c r="E6584" s="4">
        <v>21.0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1.0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ht="12.75" customHeight="1">
      <c r="A6585" s="4">
        <v>70.0</v>
      </c>
      <c r="B6585" s="4">
        <v>417.0</v>
      </c>
      <c r="C6585" s="5">
        <f t="shared" ref="C6585:C6586" si="2789">DATE(2012,12,31)-1425</f>
        <v>39849</v>
      </c>
      <c r="D6585" s="4" t="s">
        <v>63</v>
      </c>
      <c r="E6585" s="4">
        <v>39.0</v>
      </c>
      <c r="F6585" s="4">
        <v>15260.78</v>
      </c>
      <c r="G6585" s="4">
        <v>0.07</v>
      </c>
      <c r="H6585" s="4" t="s">
        <v>31</v>
      </c>
      <c r="I6585" s="6">
        <v>8734.88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ht="12.75" customHeight="1">
      <c r="A6586" s="4">
        <v>71.0</v>
      </c>
      <c r="B6586" s="4">
        <v>417.0</v>
      </c>
      <c r="C6586" s="5">
        <f t="shared" si="2789"/>
        <v>39849</v>
      </c>
      <c r="D6586" s="4" t="s">
        <v>63</v>
      </c>
      <c r="E6586" s="4">
        <v>3.0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19.99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</v>
      </c>
      <c r="U6586" s="5">
        <f t="shared" ref="U6586:U6587" si="2790">C6586+2</f>
        <v>39851</v>
      </c>
    </row>
    <row r="6587" ht="12.75" customHeight="1">
      <c r="A6587" s="4">
        <v>74.0</v>
      </c>
      <c r="B6587" s="4">
        <v>448.0</v>
      </c>
      <c r="C6587" s="5">
        <f>DATE(2012,12,31)-499</f>
        <v>40775</v>
      </c>
      <c r="D6587" s="4" t="s">
        <v>63</v>
      </c>
      <c r="E6587" s="4">
        <v>22.0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65.99</v>
      </c>
      <c r="K6587" s="4">
        <v>19.99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90"/>
        <v>40777</v>
      </c>
    </row>
    <row r="6588" ht="12.75" customHeight="1">
      <c r="A6588" s="4">
        <v>137.0</v>
      </c>
      <c r="B6588" s="4">
        <v>871.0</v>
      </c>
      <c r="C6588" s="5">
        <f>DATE(2012,12,31)-413</f>
        <v>40861</v>
      </c>
      <c r="D6588" s="4" t="s">
        <v>21</v>
      </c>
      <c r="E6588" s="4">
        <v>17.0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ht="12.75" customHeight="1">
      <c r="A6589" s="4">
        <v>145.0</v>
      </c>
      <c r="B6589" s="4">
        <v>929.0</v>
      </c>
      <c r="C6589" s="5">
        <f t="shared" ref="C6589:C6590" si="2791">DATE(2012,12,31)-91</f>
        <v>41183</v>
      </c>
      <c r="D6589" s="4" t="s">
        <v>30</v>
      </c>
      <c r="E6589" s="4">
        <v>21.0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ht="12.75" customHeight="1">
      <c r="A6590" s="4">
        <v>146.0</v>
      </c>
      <c r="B6590" s="4">
        <v>929.0</v>
      </c>
      <c r="C6590" s="5">
        <f t="shared" si="2791"/>
        <v>41183</v>
      </c>
      <c r="D6590" s="4" t="s">
        <v>30</v>
      </c>
      <c r="E6590" s="4">
        <v>39.0</v>
      </c>
      <c r="F6590" s="4">
        <v>84.33</v>
      </c>
      <c r="G6590" s="4">
        <v>0.04</v>
      </c>
      <c r="H6590" s="4" t="s">
        <v>22</v>
      </c>
      <c r="I6590" s="6">
        <v>-64.29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</v>
      </c>
      <c r="U6590" s="5">
        <f t="shared" ref="U6590:U6591" si="2792">C6590+2</f>
        <v>41185</v>
      </c>
    </row>
    <row r="6591" ht="12.75" customHeight="1">
      <c r="A6591" s="4">
        <v>156.0</v>
      </c>
      <c r="B6591" s="4">
        <v>967.0</v>
      </c>
      <c r="C6591" s="5">
        <f t="shared" ref="C6591:C6593" si="2793">DATE(2012,12,31)-194</f>
        <v>41080</v>
      </c>
      <c r="D6591" s="4" t="s">
        <v>63</v>
      </c>
      <c r="E6591" s="4">
        <v>6.0</v>
      </c>
      <c r="F6591" s="4">
        <v>90.56</v>
      </c>
      <c r="G6591" s="4">
        <v>0.03</v>
      </c>
      <c r="H6591" s="4" t="s">
        <v>22</v>
      </c>
      <c r="I6591" s="6">
        <v>-37.584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2"/>
        <v>41082</v>
      </c>
    </row>
    <row r="6592" ht="12.75" customHeight="1">
      <c r="A6592" s="4">
        <v>157.0</v>
      </c>
      <c r="B6592" s="4">
        <v>967.0</v>
      </c>
      <c r="C6592" s="5">
        <f t="shared" si="2793"/>
        <v>41080</v>
      </c>
      <c r="D6592" s="4" t="s">
        <v>63</v>
      </c>
      <c r="E6592" s="4">
        <v>42.0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ht="12.75" customHeight="1">
      <c r="A6593" s="4">
        <v>158.0</v>
      </c>
      <c r="B6593" s="4">
        <v>967.0</v>
      </c>
      <c r="C6593" s="5">
        <f t="shared" si="2793"/>
        <v>41080</v>
      </c>
      <c r="D6593" s="4" t="s">
        <v>63</v>
      </c>
      <c r="E6593" s="4">
        <v>48.0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32.48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ht="12.75" customHeight="1">
      <c r="A6594" s="4">
        <v>212.0</v>
      </c>
      <c r="B6594" s="4">
        <v>1411.0</v>
      </c>
      <c r="C6594" s="5">
        <f>DATE(2012,12,31)-1107</f>
        <v>40167</v>
      </c>
      <c r="D6594" s="4" t="s">
        <v>30</v>
      </c>
      <c r="E6594" s="4">
        <v>47.0</v>
      </c>
      <c r="F6594" s="4">
        <v>6717.9325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4">C6594+2</f>
        <v>40169</v>
      </c>
    </row>
    <row r="6595" ht="12.75" customHeight="1">
      <c r="A6595" s="4">
        <v>235.0</v>
      </c>
      <c r="B6595" s="4">
        <v>1575.0</v>
      </c>
      <c r="C6595" s="5">
        <f t="shared" ref="C6595:C6596" si="2795">DATE(2012,12,31)-476</f>
        <v>40798</v>
      </c>
      <c r="D6595" s="4" t="s">
        <v>63</v>
      </c>
      <c r="E6595" s="4">
        <v>26.0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4"/>
        <v>40800</v>
      </c>
    </row>
    <row r="6596" ht="12.75" customHeight="1">
      <c r="A6596" s="4">
        <v>236.0</v>
      </c>
      <c r="B6596" s="4">
        <v>1575.0</v>
      </c>
      <c r="C6596" s="5">
        <f t="shared" si="2795"/>
        <v>40798</v>
      </c>
      <c r="D6596" s="4" t="s">
        <v>63</v>
      </c>
      <c r="E6596" s="4">
        <v>10.0</v>
      </c>
      <c r="F6596" s="4">
        <v>525.674</v>
      </c>
      <c r="G6596" s="4">
        <v>0.08</v>
      </c>
      <c r="H6596" s="4" t="s">
        <v>22</v>
      </c>
      <c r="I6596" s="6">
        <v>-147.015</v>
      </c>
      <c r="J6596" s="4">
        <v>65.99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</v>
      </c>
      <c r="U6596" s="5">
        <f t="shared" si="2794"/>
        <v>40800</v>
      </c>
    </row>
    <row r="6597" ht="12.75" customHeight="1">
      <c r="A6597" s="4">
        <v>240.0</v>
      </c>
      <c r="B6597" s="4">
        <v>1637.0</v>
      </c>
      <c r="C6597" s="5">
        <f t="shared" ref="C6597:C6599" si="2796">DATE(2012,12,31)-693</f>
        <v>40581</v>
      </c>
      <c r="D6597" s="4" t="s">
        <v>45</v>
      </c>
      <c r="E6597" s="4">
        <v>36.0</v>
      </c>
      <c r="F6597" s="4">
        <v>1225.52</v>
      </c>
      <c r="G6597" s="4">
        <v>0.1</v>
      </c>
      <c r="H6597" s="4" t="s">
        <v>56</v>
      </c>
      <c r="I6597" s="6">
        <v>-1191.13</v>
      </c>
      <c r="J6597" s="4">
        <v>35.48</v>
      </c>
      <c r="K6597" s="4">
        <v>35.0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7">C6597+0</f>
        <v>40581</v>
      </c>
    </row>
    <row r="6598" ht="12.75" customHeight="1">
      <c r="A6598" s="4">
        <v>241.0</v>
      </c>
      <c r="B6598" s="4">
        <v>1637.0</v>
      </c>
      <c r="C6598" s="5">
        <f t="shared" si="2796"/>
        <v>40581</v>
      </c>
      <c r="D6598" s="4" t="s">
        <v>45</v>
      </c>
      <c r="E6598" s="4">
        <v>10.0</v>
      </c>
      <c r="F6598" s="4">
        <v>1024.29</v>
      </c>
      <c r="G6598" s="4">
        <v>0.07</v>
      </c>
      <c r="H6598" s="4" t="s">
        <v>22</v>
      </c>
      <c r="I6598" s="6">
        <v>-95.52</v>
      </c>
      <c r="J6598" s="4">
        <v>99.99</v>
      </c>
      <c r="K6598" s="4">
        <v>19.99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7"/>
        <v>40581</v>
      </c>
    </row>
    <row r="6599" ht="12.75" customHeight="1">
      <c r="A6599" s="4">
        <v>242.0</v>
      </c>
      <c r="B6599" s="4">
        <v>1637.0</v>
      </c>
      <c r="C6599" s="5">
        <f t="shared" si="2796"/>
        <v>40581</v>
      </c>
      <c r="D6599" s="4" t="s">
        <v>45</v>
      </c>
      <c r="E6599" s="4">
        <v>47.0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0.58</v>
      </c>
      <c r="U6599" s="5">
        <f>C6599+2</f>
        <v>40583</v>
      </c>
    </row>
    <row r="6600" ht="12.75" customHeight="1">
      <c r="A6600" s="4">
        <v>272.0</v>
      </c>
      <c r="B6600" s="4">
        <v>1888.0</v>
      </c>
      <c r="C6600" s="5">
        <f t="shared" ref="C6600:C6601" si="2798">DATE(2012,12,31)-793</f>
        <v>40481</v>
      </c>
      <c r="D6600" s="4" t="s">
        <v>45</v>
      </c>
      <c r="E6600" s="4">
        <v>38.0</v>
      </c>
      <c r="F6600" s="4">
        <v>1264.46</v>
      </c>
      <c r="G6600" s="4">
        <v>0.0</v>
      </c>
      <c r="H6600" s="4" t="s">
        <v>31</v>
      </c>
      <c r="I6600" s="6">
        <v>-1249.39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ht="12.75" customHeight="1">
      <c r="A6601" s="4">
        <v>273.0</v>
      </c>
      <c r="B6601" s="4">
        <v>1888.0</v>
      </c>
      <c r="C6601" s="5">
        <f t="shared" si="2798"/>
        <v>40481</v>
      </c>
      <c r="D6601" s="4" t="s">
        <v>45</v>
      </c>
      <c r="E6601" s="4">
        <v>35.0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ht="12.75" customHeight="1">
      <c r="A6602" s="4">
        <v>296.0</v>
      </c>
      <c r="B6602" s="4">
        <v>2052.0</v>
      </c>
      <c r="C6602" s="5">
        <f>DATE(2012,12,31)-263</f>
        <v>41011</v>
      </c>
      <c r="D6602" s="4" t="s">
        <v>30</v>
      </c>
      <c r="E6602" s="4">
        <v>23.0</v>
      </c>
      <c r="F6602" s="4">
        <v>107.93</v>
      </c>
      <c r="G6602" s="4">
        <v>0.0</v>
      </c>
      <c r="H6602" s="4" t="s">
        <v>22</v>
      </c>
      <c r="I6602" s="6">
        <v>-68.1375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9">C6602+2</f>
        <v>41013</v>
      </c>
    </row>
    <row r="6603" ht="12.75" customHeight="1">
      <c r="A6603" s="4">
        <v>301.0</v>
      </c>
      <c r="B6603" s="4">
        <v>2055.0</v>
      </c>
      <c r="C6603" s="5">
        <f>DATE(2012,12,31)-850</f>
        <v>40424</v>
      </c>
      <c r="D6603" s="4" t="s">
        <v>78</v>
      </c>
      <c r="E6603" s="4">
        <v>7.0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8.29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9"/>
        <v>40426</v>
      </c>
    </row>
    <row r="6604" ht="12.75" customHeight="1">
      <c r="A6604" s="4">
        <v>340.0</v>
      </c>
      <c r="B6604" s="4">
        <v>2309.0</v>
      </c>
      <c r="C6604" s="5">
        <f>DATE(2012,12,31)-485</f>
        <v>40789</v>
      </c>
      <c r="D6604" s="4" t="s">
        <v>21</v>
      </c>
      <c r="E6604" s="4">
        <v>7.0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9"/>
        <v>40791</v>
      </c>
    </row>
    <row r="6605" ht="12.75" customHeight="1">
      <c r="A6605" s="4">
        <v>343.0</v>
      </c>
      <c r="B6605" s="4">
        <v>2341.0</v>
      </c>
      <c r="C6605" s="5">
        <f>DATE(2012,12,31)-947</f>
        <v>40327</v>
      </c>
      <c r="D6605" s="4" t="s">
        <v>21</v>
      </c>
      <c r="E6605" s="4">
        <v>29.0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ht="12.75" customHeight="1">
      <c r="A6606" s="4">
        <v>350.0</v>
      </c>
      <c r="B6606" s="4">
        <v>2436.0</v>
      </c>
      <c r="C6606" s="5">
        <f>DATE(2012,12,31)-478</f>
        <v>40796</v>
      </c>
      <c r="D6606" s="4" t="s">
        <v>45</v>
      </c>
      <c r="E6606" s="4">
        <v>14.0</v>
      </c>
      <c r="F6606" s="4">
        <v>330.21</v>
      </c>
      <c r="G6606" s="4">
        <v>0.07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ht="12.75" customHeight="1">
      <c r="A6607" s="4">
        <v>357.0</v>
      </c>
      <c r="B6607" s="4">
        <v>2500.0</v>
      </c>
      <c r="C6607" s="5">
        <f>DATE(2012,12,31)-139</f>
        <v>41135</v>
      </c>
      <c r="D6607" s="4" t="s">
        <v>30</v>
      </c>
      <c r="E6607" s="4">
        <v>5.0</v>
      </c>
      <c r="F6607" s="4">
        <v>22.56</v>
      </c>
      <c r="G6607" s="4">
        <v>0.04</v>
      </c>
      <c r="H6607" s="4" t="s">
        <v>22</v>
      </c>
      <c r="I6607" s="6">
        <v>-25.5645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800">C6607+2</f>
        <v>41137</v>
      </c>
    </row>
    <row r="6608" ht="12.75" customHeight="1">
      <c r="A6608" s="4">
        <v>364.0</v>
      </c>
      <c r="B6608" s="4">
        <v>2535.0</v>
      </c>
      <c r="C6608" s="5">
        <f>DATE(2012,12,31)-952</f>
        <v>40322</v>
      </c>
      <c r="D6608" s="4" t="s">
        <v>21</v>
      </c>
      <c r="E6608" s="4">
        <v>6.0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800"/>
        <v>40324</v>
      </c>
    </row>
    <row r="6609" ht="12.75" customHeight="1">
      <c r="A6609" s="4">
        <v>386.0</v>
      </c>
      <c r="B6609" s="4">
        <v>2658.0</v>
      </c>
      <c r="C6609" s="5">
        <f t="shared" ref="C6609:C6610" si="2801">DATE(2012,12,31)-466</f>
        <v>40808</v>
      </c>
      <c r="D6609" s="4" t="s">
        <v>63</v>
      </c>
      <c r="E6609" s="4">
        <v>34.0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9.54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ht="12.75" customHeight="1">
      <c r="A6610" s="4">
        <v>387.0</v>
      </c>
      <c r="B6610" s="4">
        <v>2658.0</v>
      </c>
      <c r="C6610" s="5">
        <f t="shared" si="2801"/>
        <v>40808</v>
      </c>
      <c r="D6610" s="4" t="s">
        <v>63</v>
      </c>
      <c r="E6610" s="4">
        <v>32.0</v>
      </c>
      <c r="F6610" s="4">
        <v>473.0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0.58</v>
      </c>
      <c r="U6610" s="5">
        <f>C6610+0</f>
        <v>40808</v>
      </c>
    </row>
    <row r="6611" ht="12.75" customHeight="1">
      <c r="A6611" s="4">
        <v>395.0</v>
      </c>
      <c r="B6611" s="4">
        <v>2725.0</v>
      </c>
      <c r="C6611" s="5">
        <f>DATE(2012,12,31)-1321</f>
        <v>39953</v>
      </c>
      <c r="D6611" s="4" t="s">
        <v>45</v>
      </c>
      <c r="E6611" s="4">
        <v>39.0</v>
      </c>
      <c r="F6611" s="4">
        <v>2178.431</v>
      </c>
      <c r="G6611" s="4">
        <v>0.01</v>
      </c>
      <c r="H6611" s="4" t="s">
        <v>56</v>
      </c>
      <c r="I6611" s="6">
        <v>396.972</v>
      </c>
      <c r="J6611" s="4">
        <v>65.99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</v>
      </c>
      <c r="U6611" s="5">
        <f t="shared" ref="U6611:U6612" si="2802">C6611+1</f>
        <v>39954</v>
      </c>
    </row>
    <row r="6612" ht="12.75" customHeight="1">
      <c r="A6612" s="4">
        <v>404.0</v>
      </c>
      <c r="B6612" s="4">
        <v>2756.0</v>
      </c>
      <c r="C6612" s="5">
        <f t="shared" ref="C6612:C6613" si="2803">DATE(2012,12,31)-1354</f>
        <v>39920</v>
      </c>
      <c r="D6612" s="4" t="s">
        <v>78</v>
      </c>
      <c r="E6612" s="4">
        <v>25.0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4.0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2"/>
        <v>39921</v>
      </c>
    </row>
    <row r="6613" ht="12.75" customHeight="1">
      <c r="A6613" s="4">
        <v>405.0</v>
      </c>
      <c r="B6613" s="4">
        <v>2756.0</v>
      </c>
      <c r="C6613" s="5">
        <f t="shared" si="2803"/>
        <v>39920</v>
      </c>
      <c r="D6613" s="4" t="s">
        <v>78</v>
      </c>
      <c r="E6613" s="4">
        <v>42.0</v>
      </c>
      <c r="F6613" s="4">
        <v>248.54</v>
      </c>
      <c r="G6613" s="4">
        <v>0.07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ht="12.75" customHeight="1">
      <c r="A6614" s="4">
        <v>428.0</v>
      </c>
      <c r="B6614" s="4">
        <v>2853.0</v>
      </c>
      <c r="C6614" s="5">
        <f>DATE(2012,12,31)-1337</f>
        <v>39937</v>
      </c>
      <c r="D6614" s="4" t="s">
        <v>30</v>
      </c>
      <c r="E6614" s="4">
        <v>25.0</v>
      </c>
      <c r="F6614" s="4">
        <v>4253.65</v>
      </c>
      <c r="G6614" s="4">
        <v>0.05</v>
      </c>
      <c r="H6614" s="4" t="s">
        <v>56</v>
      </c>
      <c r="I6614" s="6">
        <v>943.0</v>
      </c>
      <c r="J6614" s="4">
        <v>178.47</v>
      </c>
      <c r="K6614" s="4">
        <v>19.99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</v>
      </c>
      <c r="U6614" s="5">
        <f>C6614+3</f>
        <v>39940</v>
      </c>
    </row>
    <row r="6615" ht="12.75" customHeight="1">
      <c r="A6615" s="4">
        <v>436.0</v>
      </c>
      <c r="B6615" s="4">
        <v>2914.0</v>
      </c>
      <c r="C6615" s="5">
        <f>DATE(2012,12,31)-1035</f>
        <v>40239</v>
      </c>
      <c r="D6615" s="4" t="s">
        <v>63</v>
      </c>
      <c r="E6615" s="4">
        <v>3.0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9.54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4">C6615+1</f>
        <v>40240</v>
      </c>
    </row>
    <row r="6616" ht="12.75" customHeight="1">
      <c r="A6616" s="4">
        <v>441.0</v>
      </c>
      <c r="B6616" s="4">
        <v>2978.0</v>
      </c>
      <c r="C6616" s="5">
        <f t="shared" ref="C6616:C6617" si="2805">DATE(2012,12,31)-609</f>
        <v>40665</v>
      </c>
      <c r="D6616" s="4" t="s">
        <v>78</v>
      </c>
      <c r="E6616" s="4">
        <v>34.0</v>
      </c>
      <c r="F6616" s="4">
        <v>6264.1855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19.99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4"/>
        <v>40666</v>
      </c>
    </row>
    <row r="6617" ht="12.75" customHeight="1">
      <c r="A6617" s="4">
        <v>442.0</v>
      </c>
      <c r="B6617" s="4">
        <v>2978.0</v>
      </c>
      <c r="C6617" s="5">
        <f t="shared" si="2805"/>
        <v>40665</v>
      </c>
      <c r="D6617" s="4" t="s">
        <v>78</v>
      </c>
      <c r="E6617" s="4">
        <v>36.0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19.99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ht="12.75" customHeight="1">
      <c r="A6618" s="4">
        <v>444.0</v>
      </c>
      <c r="B6618" s="4">
        <v>3008.0</v>
      </c>
      <c r="C6618" s="5">
        <f>DATE(2012,12,31)-420</f>
        <v>40854</v>
      </c>
      <c r="D6618" s="4" t="s">
        <v>63</v>
      </c>
      <c r="E6618" s="4">
        <v>41.0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19.99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6">C6618+1</f>
        <v>40855</v>
      </c>
    </row>
    <row r="6619" ht="12.75" customHeight="1">
      <c r="A6619" s="4">
        <v>448.0</v>
      </c>
      <c r="B6619" s="4">
        <v>3042.0</v>
      </c>
      <c r="C6619" s="5">
        <f>DATE(2012,12,31)-1137</f>
        <v>40137</v>
      </c>
      <c r="D6619" s="4" t="s">
        <v>63</v>
      </c>
      <c r="E6619" s="4">
        <v>26.0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6"/>
        <v>40138</v>
      </c>
    </row>
    <row r="6620" ht="12.75" customHeight="1">
      <c r="A6620" s="4">
        <v>453.0</v>
      </c>
      <c r="B6620" s="4">
        <v>3078.0</v>
      </c>
      <c r="C6620" s="5">
        <f>DATE(2012,12,31)-1054</f>
        <v>40220</v>
      </c>
      <c r="D6620" s="4" t="s">
        <v>30</v>
      </c>
      <c r="E6620" s="4">
        <v>12.0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</v>
      </c>
      <c r="U6620" s="5">
        <f t="shared" si="2806"/>
        <v>40221</v>
      </c>
    </row>
    <row r="6621" ht="12.75" customHeight="1">
      <c r="A6621" s="4">
        <v>467.0</v>
      </c>
      <c r="B6621" s="4">
        <v>3175.0</v>
      </c>
      <c r="C6621" s="5">
        <f>DATE(2012,12,31)-1266</f>
        <v>40008</v>
      </c>
      <c r="D6621" s="4" t="s">
        <v>21</v>
      </c>
      <c r="E6621" s="4">
        <v>23.0</v>
      </c>
      <c r="F6621" s="4">
        <v>3553.62</v>
      </c>
      <c r="G6621" s="4">
        <v>0.07</v>
      </c>
      <c r="H6621" s="4" t="s">
        <v>22</v>
      </c>
      <c r="I6621" s="6">
        <v>521.69</v>
      </c>
      <c r="J6621" s="4">
        <v>165.2</v>
      </c>
      <c r="K6621" s="4">
        <v>19.99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ht="12.75" customHeight="1">
      <c r="A6622" s="4">
        <v>477.0</v>
      </c>
      <c r="B6622" s="4">
        <v>3300.0</v>
      </c>
      <c r="C6622" s="5">
        <f>DATE(2012,12,31)-536</f>
        <v>40738</v>
      </c>
      <c r="D6622" s="4" t="s">
        <v>21</v>
      </c>
      <c r="E6622" s="4">
        <v>6.0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4.0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ht="12.75" customHeight="1">
      <c r="A6623" s="4">
        <v>478.0</v>
      </c>
      <c r="B6623" s="4">
        <v>3328.0</v>
      </c>
      <c r="C6623" s="5">
        <f>DATE(2012,12,31)-43</f>
        <v>41231</v>
      </c>
      <c r="D6623" s="4" t="s">
        <v>21</v>
      </c>
      <c r="E6623" s="4">
        <v>12.0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ht="12.75" customHeight="1">
      <c r="A6624" s="4">
        <v>514.0</v>
      </c>
      <c r="B6624" s="4">
        <v>3525.0</v>
      </c>
      <c r="C6624" s="5">
        <f>DATE(2012,12,31)-376</f>
        <v>40898</v>
      </c>
      <c r="D6624" s="4" t="s">
        <v>45</v>
      </c>
      <c r="E6624" s="4">
        <v>38.0</v>
      </c>
      <c r="F6624" s="4">
        <v>115.43</v>
      </c>
      <c r="G6624" s="4">
        <v>0.0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7">C6624+2</f>
        <v>40900</v>
      </c>
    </row>
    <row r="6625" ht="12.75" customHeight="1">
      <c r="A6625" s="4">
        <v>515.0</v>
      </c>
      <c r="B6625" s="4">
        <v>3526.0</v>
      </c>
      <c r="C6625" s="5">
        <f>DATE(2012,12,31)-657</f>
        <v>40617</v>
      </c>
      <c r="D6625" s="4" t="s">
        <v>21</v>
      </c>
      <c r="E6625" s="4">
        <v>20.0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7"/>
        <v>40619</v>
      </c>
    </row>
    <row r="6626" ht="12.75" customHeight="1">
      <c r="A6626" s="4">
        <v>532.0</v>
      </c>
      <c r="B6626" s="4">
        <v>3621.0</v>
      </c>
      <c r="C6626" s="5">
        <f>DATE(2012,12,31)-971</f>
        <v>40303</v>
      </c>
      <c r="D6626" s="4" t="s">
        <v>63</v>
      </c>
      <c r="E6626" s="4">
        <v>14.0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ht="12.75" customHeight="1">
      <c r="A6627" s="4">
        <v>536.0</v>
      </c>
      <c r="B6627" s="4">
        <v>3649.0</v>
      </c>
      <c r="C6627" s="5">
        <f t="shared" ref="C6627:C6628" si="2808">DATE(2012,12,31)-1275</f>
        <v>39999</v>
      </c>
      <c r="D6627" s="4" t="s">
        <v>21</v>
      </c>
      <c r="E6627" s="4">
        <v>8.0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ht="12.75" customHeight="1">
      <c r="A6628" s="4">
        <v>537.0</v>
      </c>
      <c r="B6628" s="4">
        <v>3649.0</v>
      </c>
      <c r="C6628" s="5">
        <f t="shared" si="2808"/>
        <v>39999</v>
      </c>
      <c r="D6628" s="4" t="s">
        <v>21</v>
      </c>
      <c r="E6628" s="4">
        <v>26.0</v>
      </c>
      <c r="F6628" s="4">
        <v>75.6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ht="12.75" customHeight="1">
      <c r="A6629" s="4">
        <v>541.0</v>
      </c>
      <c r="B6629" s="4">
        <v>3654.0</v>
      </c>
      <c r="C6629" s="5">
        <f>DATE(2012,12,31)-212</f>
        <v>41062</v>
      </c>
      <c r="D6629" s="4" t="s">
        <v>21</v>
      </c>
      <c r="E6629" s="4">
        <v>41.0</v>
      </c>
      <c r="F6629" s="4">
        <v>95.73</v>
      </c>
      <c r="G6629" s="4">
        <v>0.0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ht="12.75" customHeight="1">
      <c r="A6630" s="4">
        <v>565.0</v>
      </c>
      <c r="B6630" s="4">
        <v>3814.0</v>
      </c>
      <c r="C6630" s="5">
        <f>DATE(2012,12,31)-679</f>
        <v>40595</v>
      </c>
      <c r="D6630" s="4" t="s">
        <v>21</v>
      </c>
      <c r="E6630" s="4">
        <v>43.0</v>
      </c>
      <c r="F6630" s="4">
        <v>1225.41</v>
      </c>
      <c r="G6630" s="4">
        <v>0.04</v>
      </c>
      <c r="H6630" s="4" t="s">
        <v>56</v>
      </c>
      <c r="I6630" s="6">
        <v>-138.02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0.58</v>
      </c>
      <c r="U6630" s="5">
        <f>C6630+6</f>
        <v>40601</v>
      </c>
    </row>
    <row r="6631" ht="12.75" customHeight="1">
      <c r="A6631" s="4">
        <v>578.0</v>
      </c>
      <c r="B6631" s="4">
        <v>3911.0</v>
      </c>
      <c r="C6631" s="5">
        <f>DATE(2012,12,31)-656</f>
        <v>40618</v>
      </c>
      <c r="D6631" s="4" t="s">
        <v>45</v>
      </c>
      <c r="E6631" s="4">
        <v>24.0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ht="12.75" customHeight="1">
      <c r="A6632" s="4">
        <v>607.0</v>
      </c>
      <c r="B6632" s="4">
        <v>4134.0</v>
      </c>
      <c r="C6632" s="5">
        <f t="shared" ref="C6632:C6633" si="2809">DATE(2012,12,31)-720</f>
        <v>40554</v>
      </c>
      <c r="D6632" s="4" t="s">
        <v>78</v>
      </c>
      <c r="E6632" s="4">
        <v>48.0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130.98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ht="12.75" customHeight="1">
      <c r="A6633" s="4">
        <v>608.0</v>
      </c>
      <c r="B6633" s="4">
        <v>4134.0</v>
      </c>
      <c r="C6633" s="5">
        <f t="shared" si="2809"/>
        <v>40554</v>
      </c>
      <c r="D6633" s="4" t="s">
        <v>78</v>
      </c>
      <c r="E6633" s="4">
        <v>23.0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4.0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ht="12.75" customHeight="1">
      <c r="A6634" s="4">
        <v>615.0</v>
      </c>
      <c r="B6634" s="4">
        <v>4230.0</v>
      </c>
      <c r="C6634" s="5">
        <f t="shared" ref="C6634:C6635" si="2810">DATE(2012,12,31)-303</f>
        <v>40971</v>
      </c>
      <c r="D6634" s="4" t="s">
        <v>78</v>
      </c>
      <c r="E6634" s="4">
        <v>18.0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ht="12.75" customHeight="1">
      <c r="A6635" s="4">
        <v>616.0</v>
      </c>
      <c r="B6635" s="4">
        <v>4230.0</v>
      </c>
      <c r="C6635" s="5">
        <f t="shared" si="2810"/>
        <v>40971</v>
      </c>
      <c r="D6635" s="4" t="s">
        <v>78</v>
      </c>
      <c r="E6635" s="4">
        <v>46.0</v>
      </c>
      <c r="F6635" s="4">
        <v>2508.316</v>
      </c>
      <c r="G6635" s="4">
        <v>0.07</v>
      </c>
      <c r="H6635" s="4" t="s">
        <v>56</v>
      </c>
      <c r="I6635" s="6">
        <v>456.813</v>
      </c>
      <c r="J6635" s="4">
        <v>65.99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</v>
      </c>
      <c r="U6635" s="5">
        <f t="shared" ref="U6635:U6638" si="2811">C6635+2</f>
        <v>40973</v>
      </c>
    </row>
    <row r="6636" ht="12.75" customHeight="1">
      <c r="A6636" s="4">
        <v>624.0</v>
      </c>
      <c r="B6636" s="4">
        <v>4324.0</v>
      </c>
      <c r="C6636" s="5">
        <f>DATE(2012,12,31)-534</f>
        <v>40740</v>
      </c>
      <c r="D6636" s="4" t="s">
        <v>78</v>
      </c>
      <c r="E6636" s="4">
        <v>28.0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1"/>
        <v>40742</v>
      </c>
    </row>
    <row r="6637" ht="12.75" customHeight="1">
      <c r="A6637" s="4">
        <v>651.0</v>
      </c>
      <c r="B6637" s="4">
        <v>4581.0</v>
      </c>
      <c r="C6637" s="5">
        <f>DATE(2012,12,31)-119</f>
        <v>41155</v>
      </c>
      <c r="D6637" s="4" t="s">
        <v>45</v>
      </c>
      <c r="E6637" s="4">
        <v>25.0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19.99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1"/>
        <v>41157</v>
      </c>
    </row>
    <row r="6638" ht="12.75" customHeight="1">
      <c r="A6638" s="4">
        <v>674.0</v>
      </c>
      <c r="B6638" s="4">
        <v>4706.0</v>
      </c>
      <c r="C6638" s="5">
        <f>DATE(2012,12,31)-3</f>
        <v>41271</v>
      </c>
      <c r="D6638" s="4" t="s">
        <v>45</v>
      </c>
      <c r="E6638" s="4">
        <v>30.0</v>
      </c>
      <c r="F6638" s="4">
        <v>2116.7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19.99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1"/>
        <v>41273</v>
      </c>
    </row>
    <row r="6639" ht="12.75" customHeight="1">
      <c r="A6639" s="4">
        <v>677.0</v>
      </c>
      <c r="B6639" s="4">
        <v>4738.0</v>
      </c>
      <c r="C6639" s="5">
        <f>DATE(2012,12,31)-268</f>
        <v>41006</v>
      </c>
      <c r="D6639" s="4" t="s">
        <v>30</v>
      </c>
      <c r="E6639" s="4">
        <v>2.0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ht="12.75" customHeight="1">
      <c r="A6640" s="4">
        <v>683.0</v>
      </c>
      <c r="B6640" s="4">
        <v>4771.0</v>
      </c>
      <c r="C6640" s="5">
        <f>DATE(2012,12,31)-18</f>
        <v>41256</v>
      </c>
      <c r="D6640" s="4" t="s">
        <v>78</v>
      </c>
      <c r="E6640" s="4">
        <v>4.0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ht="12.75" customHeight="1">
      <c r="A6641" s="4">
        <v>691.0</v>
      </c>
      <c r="B6641" s="4">
        <v>4804.0</v>
      </c>
      <c r="C6641" s="5">
        <f>DATE(2012,12,31)-339</f>
        <v>40935</v>
      </c>
      <c r="D6641" s="4" t="s">
        <v>30</v>
      </c>
      <c r="E6641" s="4">
        <v>13.0</v>
      </c>
      <c r="F6641" s="4">
        <v>463.83</v>
      </c>
      <c r="G6641" s="4">
        <v>0.0</v>
      </c>
      <c r="H6641" s="4" t="s">
        <v>22</v>
      </c>
      <c r="I6641" s="6">
        <v>103.26</v>
      </c>
      <c r="J6641" s="4">
        <v>33.98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2">C6641+1</f>
        <v>40936</v>
      </c>
    </row>
    <row r="6642" ht="12.75" customHeight="1">
      <c r="A6642" s="4">
        <v>696.0</v>
      </c>
      <c r="B6642" s="4">
        <v>4870.0</v>
      </c>
      <c r="C6642" s="5">
        <f>DATE(2012,12,31)-1244</f>
        <v>40030</v>
      </c>
      <c r="D6642" s="4" t="s">
        <v>63</v>
      </c>
      <c r="E6642" s="4">
        <v>44.0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2"/>
        <v>40031</v>
      </c>
    </row>
    <row r="6643" ht="12.75" customHeight="1">
      <c r="A6643" s="4">
        <v>702.0</v>
      </c>
      <c r="B6643" s="4">
        <v>4931.0</v>
      </c>
      <c r="C6643" s="5">
        <f t="shared" ref="C6643:C6644" si="2813">DATE(2012,12,31)-1141</f>
        <v>40133</v>
      </c>
      <c r="D6643" s="4" t="s">
        <v>78</v>
      </c>
      <c r="E6643" s="4">
        <v>22.0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ht="12.75" customHeight="1">
      <c r="A6644" s="4">
        <v>703.0</v>
      </c>
      <c r="B6644" s="4">
        <v>4931.0</v>
      </c>
      <c r="C6644" s="5">
        <f t="shared" si="2813"/>
        <v>40133</v>
      </c>
      <c r="D6644" s="4" t="s">
        <v>78</v>
      </c>
      <c r="E6644" s="4">
        <v>45.0</v>
      </c>
      <c r="F6644" s="4">
        <v>4282.724999999999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0.57</v>
      </c>
      <c r="U6644" s="5">
        <f t="shared" ref="U6644:U6645" si="2814">C6644+2</f>
        <v>40135</v>
      </c>
    </row>
    <row r="6645" ht="12.75" customHeight="1">
      <c r="A6645" s="4">
        <v>716.0</v>
      </c>
      <c r="B6645" s="4">
        <v>5094.0</v>
      </c>
      <c r="C6645" s="5">
        <f>DATE(2012,12,31)-1009</f>
        <v>40265</v>
      </c>
      <c r="D6645" s="4" t="s">
        <v>45</v>
      </c>
      <c r="E6645" s="4">
        <v>2.0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4.27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4"/>
        <v>40267</v>
      </c>
    </row>
    <row r="6646" ht="12.75" customHeight="1">
      <c r="A6646" s="4">
        <v>721.0</v>
      </c>
      <c r="B6646" s="4">
        <v>5188.0</v>
      </c>
      <c r="C6646" s="5">
        <f>DATE(2012,12,31)-671</f>
        <v>40603</v>
      </c>
      <c r="D6646" s="4" t="s">
        <v>45</v>
      </c>
      <c r="E6646" s="4">
        <v>24.0</v>
      </c>
      <c r="F6646" s="4">
        <v>192.8</v>
      </c>
      <c r="G6646" s="4">
        <v>0.05</v>
      </c>
      <c r="H6646" s="4" t="s">
        <v>22</v>
      </c>
      <c r="I6646" s="6">
        <v>31.0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ht="12.75" customHeight="1">
      <c r="A6647" s="4">
        <v>722.0</v>
      </c>
      <c r="B6647" s="4">
        <v>5189.0</v>
      </c>
      <c r="C6647" s="5">
        <f>DATE(2012,12,31)-767</f>
        <v>40507</v>
      </c>
      <c r="D6647" s="4" t="s">
        <v>21</v>
      </c>
      <c r="E6647" s="4">
        <v>12.0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5">C6647+7</f>
        <v>40514</v>
      </c>
    </row>
    <row r="6648" ht="12.75" customHeight="1">
      <c r="A6648" s="4">
        <v>753.0</v>
      </c>
      <c r="B6648" s="4">
        <v>5408.0</v>
      </c>
      <c r="C6648" s="5">
        <f t="shared" ref="C6648:C6649" si="2816">DATE(2012,12,31)-164</f>
        <v>41110</v>
      </c>
      <c r="D6648" s="4" t="s">
        <v>21</v>
      </c>
      <c r="E6648" s="4">
        <v>20.0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5"/>
        <v>41117</v>
      </c>
    </row>
    <row r="6649" ht="12.75" customHeight="1">
      <c r="A6649" s="4">
        <v>754.0</v>
      </c>
      <c r="B6649" s="4">
        <v>5408.0</v>
      </c>
      <c r="C6649" s="5">
        <f t="shared" si="2816"/>
        <v>41110</v>
      </c>
      <c r="D6649" s="4" t="s">
        <v>21</v>
      </c>
      <c r="E6649" s="4">
        <v>11.0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ht="12.75" customHeight="1">
      <c r="A6650" s="4">
        <v>763.0</v>
      </c>
      <c r="B6650" s="4">
        <v>5472.0</v>
      </c>
      <c r="C6650" s="5">
        <f t="shared" ref="C6650:C6652" si="2817">DATE(2012,12,31)-996</f>
        <v>40278</v>
      </c>
      <c r="D6650" s="4" t="s">
        <v>21</v>
      </c>
      <c r="E6650" s="4">
        <v>32.0</v>
      </c>
      <c r="F6650" s="4">
        <v>216.08</v>
      </c>
      <c r="G6650" s="4">
        <v>0.0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ht="12.75" customHeight="1">
      <c r="A6651" s="4">
        <v>764.0</v>
      </c>
      <c r="B6651" s="4">
        <v>5472.0</v>
      </c>
      <c r="C6651" s="5">
        <f t="shared" si="2817"/>
        <v>40278</v>
      </c>
      <c r="D6651" s="4" t="s">
        <v>21</v>
      </c>
      <c r="E6651" s="4">
        <v>27.0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ht="12.75" customHeight="1">
      <c r="A6652" s="4">
        <v>765.0</v>
      </c>
      <c r="B6652" s="4">
        <v>5472.0</v>
      </c>
      <c r="C6652" s="5">
        <f t="shared" si="2817"/>
        <v>40278</v>
      </c>
      <c r="D6652" s="4" t="s">
        <v>21</v>
      </c>
      <c r="E6652" s="4">
        <v>12.0</v>
      </c>
      <c r="F6652" s="4">
        <v>1098.1490000000001</v>
      </c>
      <c r="G6652" s="4">
        <v>0.09</v>
      </c>
      <c r="H6652" s="4" t="s">
        <v>22</v>
      </c>
      <c r="I6652" s="6">
        <v>-182.974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0.58</v>
      </c>
      <c r="U6652" s="5">
        <f t="shared" ref="U6652:U6654" si="2818">C6652+2</f>
        <v>40280</v>
      </c>
    </row>
    <row r="6653" ht="12.75" customHeight="1">
      <c r="A6653" s="4">
        <v>799.0</v>
      </c>
      <c r="B6653" s="4">
        <v>5702.0</v>
      </c>
      <c r="C6653" s="5">
        <f>DATE(2012,12,31)-847</f>
        <v>40427</v>
      </c>
      <c r="D6653" s="4" t="s">
        <v>45</v>
      </c>
      <c r="E6653" s="4">
        <v>20.0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19.99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8"/>
        <v>40429</v>
      </c>
    </row>
    <row r="6654" ht="12.75" customHeight="1">
      <c r="A6654" s="4">
        <v>827.0</v>
      </c>
      <c r="B6654" s="4">
        <v>5958.0</v>
      </c>
      <c r="C6654" s="5">
        <f t="shared" ref="C6654:C6655" si="2819">DATE(2012,12,31)-473</f>
        <v>40801</v>
      </c>
      <c r="D6654" s="4" t="s">
        <v>63</v>
      </c>
      <c r="E6654" s="4">
        <v>3.0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8"/>
        <v>40803</v>
      </c>
    </row>
    <row r="6655" ht="12.75" customHeight="1">
      <c r="A6655" s="4">
        <v>828.0</v>
      </c>
      <c r="B6655" s="4">
        <v>5958.0</v>
      </c>
      <c r="C6655" s="5">
        <f t="shared" si="2819"/>
        <v>40801</v>
      </c>
      <c r="D6655" s="4" t="s">
        <v>63</v>
      </c>
      <c r="E6655" s="4">
        <v>21.0</v>
      </c>
      <c r="F6655" s="4">
        <v>2629.664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60.0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</v>
      </c>
      <c r="U6655" s="5">
        <f>C6655+0</f>
        <v>40801</v>
      </c>
    </row>
    <row r="6656" ht="12.75" customHeight="1">
      <c r="A6656" s="4">
        <v>829.0</v>
      </c>
      <c r="B6656" s="4">
        <v>5984.0</v>
      </c>
      <c r="C6656" s="5">
        <f t="shared" ref="C6656:C6658" si="2820">DATE(2012,12,31)-1293</f>
        <v>39981</v>
      </c>
      <c r="D6656" s="4" t="s">
        <v>21</v>
      </c>
      <c r="E6656" s="4">
        <v>37.0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1">C6656+5</f>
        <v>39986</v>
      </c>
    </row>
    <row r="6657" ht="12.75" customHeight="1">
      <c r="A6657" s="4">
        <v>830.0</v>
      </c>
      <c r="B6657" s="4">
        <v>5984.0</v>
      </c>
      <c r="C6657" s="5">
        <f t="shared" si="2820"/>
        <v>39981</v>
      </c>
      <c r="D6657" s="4" t="s">
        <v>21</v>
      </c>
      <c r="E6657" s="4">
        <v>42.0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0.57</v>
      </c>
      <c r="U6657" s="5">
        <f t="shared" si="2821"/>
        <v>39986</v>
      </c>
    </row>
    <row r="6658" ht="12.75" customHeight="1">
      <c r="A6658" s="4">
        <v>831.0</v>
      </c>
      <c r="B6658" s="4">
        <v>5984.0</v>
      </c>
      <c r="C6658" s="5">
        <f t="shared" si="2820"/>
        <v>39981</v>
      </c>
      <c r="D6658" s="4" t="s">
        <v>21</v>
      </c>
      <c r="E6658" s="4">
        <v>11.0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2">C6658+2</f>
        <v>39983</v>
      </c>
    </row>
    <row r="6659" ht="12.75" customHeight="1">
      <c r="A6659" s="4">
        <v>836.0</v>
      </c>
      <c r="B6659" s="4">
        <v>5989.0</v>
      </c>
      <c r="C6659" s="5">
        <f t="shared" ref="C6659:C6660" si="2823">DATE(2012,12,31)-444</f>
        <v>40830</v>
      </c>
      <c r="D6659" s="4" t="s">
        <v>63</v>
      </c>
      <c r="E6659" s="4">
        <v>6.0</v>
      </c>
      <c r="F6659" s="4">
        <v>155.48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2"/>
        <v>40832</v>
      </c>
    </row>
    <row r="6660" ht="12.75" customHeight="1">
      <c r="A6660" s="4">
        <v>837.0</v>
      </c>
      <c r="B6660" s="4">
        <v>5989.0</v>
      </c>
      <c r="C6660" s="5">
        <f t="shared" si="2823"/>
        <v>40830</v>
      </c>
      <c r="D6660" s="4" t="s">
        <v>63</v>
      </c>
      <c r="E6660" s="4">
        <v>21.0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4">C6660+1</f>
        <v>40831</v>
      </c>
    </row>
    <row r="6661" ht="12.75" customHeight="1">
      <c r="A6661" s="4">
        <v>838.0</v>
      </c>
      <c r="B6661" s="4">
        <v>5990.0</v>
      </c>
      <c r="C6661" s="5">
        <f>DATE(2012,12,31)-999</f>
        <v>40275</v>
      </c>
      <c r="D6661" s="4" t="s">
        <v>78</v>
      </c>
      <c r="E6661" s="4">
        <v>9.0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4"/>
        <v>40276</v>
      </c>
    </row>
    <row r="6662" ht="12.75" customHeight="1">
      <c r="A6662" s="4">
        <v>846.0</v>
      </c>
      <c r="B6662" s="4">
        <v>6054.0</v>
      </c>
      <c r="C6662" s="5">
        <f t="shared" ref="C6662:C6663" si="2825">DATE(2012,12,31)-480</f>
        <v>40794</v>
      </c>
      <c r="D6662" s="4" t="s">
        <v>21</v>
      </c>
      <c r="E6662" s="4">
        <v>6.0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ht="12.75" customHeight="1">
      <c r="A6663" s="4">
        <v>847.0</v>
      </c>
      <c r="B6663" s="4">
        <v>6054.0</v>
      </c>
      <c r="C6663" s="5">
        <f t="shared" si="2825"/>
        <v>40794</v>
      </c>
      <c r="D6663" s="4" t="s">
        <v>21</v>
      </c>
      <c r="E6663" s="4">
        <v>43.0</v>
      </c>
      <c r="F6663" s="4">
        <v>643.31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0.58</v>
      </c>
      <c r="U6663" s="5">
        <f>C6663+5</f>
        <v>40799</v>
      </c>
    </row>
    <row r="6664" ht="12.75" customHeight="1">
      <c r="A6664" s="4">
        <v>909.0</v>
      </c>
      <c r="B6664" s="4">
        <v>6531.0</v>
      </c>
      <c r="C6664" s="5">
        <f t="shared" ref="C6664:C6665" si="2826">DATE(2012,12,31)-898</f>
        <v>40376</v>
      </c>
      <c r="D6664" s="4" t="s">
        <v>30</v>
      </c>
      <c r="E6664" s="4">
        <v>42.0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7">C6664+2</f>
        <v>40378</v>
      </c>
    </row>
    <row r="6665" ht="12.75" customHeight="1">
      <c r="A6665" s="4">
        <v>910.0</v>
      </c>
      <c r="B6665" s="4">
        <v>6531.0</v>
      </c>
      <c r="C6665" s="5">
        <f t="shared" si="2826"/>
        <v>40376</v>
      </c>
      <c r="D6665" s="4" t="s">
        <v>30</v>
      </c>
      <c r="E6665" s="4">
        <v>28.0</v>
      </c>
      <c r="F6665" s="4">
        <v>541.95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4.1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7"/>
        <v>40378</v>
      </c>
    </row>
    <row r="6666" ht="12.75" customHeight="1">
      <c r="A6666" s="4">
        <v>915.0</v>
      </c>
      <c r="B6666" s="4">
        <v>6564.0</v>
      </c>
      <c r="C6666" s="5">
        <f>DATE(2012,12,31)-710</f>
        <v>40564</v>
      </c>
      <c r="D6666" s="4" t="s">
        <v>21</v>
      </c>
      <c r="E6666" s="4">
        <v>26.0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4.0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8">C6666+0</f>
        <v>40564</v>
      </c>
    </row>
    <row r="6667" ht="12.75" customHeight="1">
      <c r="A6667" s="4">
        <v>916.0</v>
      </c>
      <c r="B6667" s="4">
        <v>6566.0</v>
      </c>
      <c r="C6667" s="5">
        <f>DATE(2012,12,31)-590</f>
        <v>40684</v>
      </c>
      <c r="D6667" s="4" t="s">
        <v>78</v>
      </c>
      <c r="E6667" s="4">
        <v>21.0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33.98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8"/>
        <v>40684</v>
      </c>
    </row>
    <row r="6668" ht="12.75" customHeight="1">
      <c r="A6668" s="4">
        <v>925.0</v>
      </c>
      <c r="B6668" s="4">
        <v>6693.0</v>
      </c>
      <c r="C6668" s="5">
        <f>DATE(2012,12,31)-221</f>
        <v>41053</v>
      </c>
      <c r="D6668" s="4" t="s">
        <v>78</v>
      </c>
      <c r="E6668" s="4">
        <v>16.0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9">C6668+2</f>
        <v>41055</v>
      </c>
    </row>
    <row r="6669" ht="12.75" customHeight="1">
      <c r="A6669" s="4">
        <v>931.0</v>
      </c>
      <c r="B6669" s="4">
        <v>6753.0</v>
      </c>
      <c r="C6669" s="5">
        <f>DATE(2012,12,31)-827</f>
        <v>40447</v>
      </c>
      <c r="D6669" s="4" t="s">
        <v>21</v>
      </c>
      <c r="E6669" s="4">
        <v>7.0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9"/>
        <v>40449</v>
      </c>
    </row>
    <row r="6670" ht="12.75" customHeight="1">
      <c r="A6670" s="4">
        <v>937.0</v>
      </c>
      <c r="B6670" s="4">
        <v>6788.0</v>
      </c>
      <c r="C6670" s="5">
        <f t="shared" ref="C6670:C6671" si="2830">DATE(2012,12,31)-515</f>
        <v>40759</v>
      </c>
      <c r="D6670" s="4" t="s">
        <v>45</v>
      </c>
      <c r="E6670" s="4">
        <v>41.0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0.58</v>
      </c>
      <c r="U6670" s="5">
        <f t="shared" si="2829"/>
        <v>40761</v>
      </c>
    </row>
    <row r="6671" ht="12.75" customHeight="1">
      <c r="A6671" s="4">
        <v>938.0</v>
      </c>
      <c r="B6671" s="4">
        <v>6788.0</v>
      </c>
      <c r="C6671" s="5">
        <f t="shared" si="2830"/>
        <v>40759</v>
      </c>
      <c r="D6671" s="4" t="s">
        <v>45</v>
      </c>
      <c r="E6671" s="4">
        <v>6.0</v>
      </c>
      <c r="F6671" s="4">
        <v>11.15</v>
      </c>
      <c r="G6671" s="4">
        <v>0.07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ht="12.75" customHeight="1">
      <c r="A6672" s="4">
        <v>949.0</v>
      </c>
      <c r="B6672" s="4">
        <v>6880.0</v>
      </c>
      <c r="C6672" s="5">
        <f>DATE(2012,12,31)-1316</f>
        <v>39958</v>
      </c>
      <c r="D6672" s="4" t="s">
        <v>63</v>
      </c>
      <c r="E6672" s="4">
        <v>5.0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ht="12.75" customHeight="1">
      <c r="A6673" s="4">
        <v>954.0</v>
      </c>
      <c r="B6673" s="4">
        <v>6886.0</v>
      </c>
      <c r="C6673" s="5">
        <f>DATE(2012,12,31)-347</f>
        <v>40927</v>
      </c>
      <c r="D6673" s="4" t="s">
        <v>30</v>
      </c>
      <c r="E6673" s="4">
        <v>46.0</v>
      </c>
      <c r="F6673" s="4">
        <v>8177.07</v>
      </c>
      <c r="G6673" s="4">
        <v>0.08</v>
      </c>
      <c r="H6673" s="4" t="s">
        <v>22</v>
      </c>
      <c r="I6673" s="6">
        <v>2385.3</v>
      </c>
      <c r="J6673" s="4">
        <v>178.47</v>
      </c>
      <c r="K6673" s="4">
        <v>19.99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</v>
      </c>
      <c r="U6673" s="5">
        <f>C6673+1</f>
        <v>40928</v>
      </c>
    </row>
    <row r="6674" ht="12.75" customHeight="1">
      <c r="A6674" s="4">
        <v>969.0</v>
      </c>
      <c r="B6674" s="4">
        <v>7042.0</v>
      </c>
      <c r="C6674" s="5">
        <f>DATE(2012,12,31)-358</f>
        <v>40916</v>
      </c>
      <c r="D6674" s="4" t="s">
        <v>63</v>
      </c>
      <c r="E6674" s="4">
        <v>4.0</v>
      </c>
      <c r="F6674" s="4">
        <v>1187.864</v>
      </c>
      <c r="G6674" s="4">
        <v>0.07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ht="12.75" customHeight="1">
      <c r="A6675" s="4">
        <v>970.0</v>
      </c>
      <c r="B6675" s="4">
        <v>7043.0</v>
      </c>
      <c r="C6675" s="5">
        <f>DATE(2012,12,31)-1436</f>
        <v>39838</v>
      </c>
      <c r="D6675" s="4" t="s">
        <v>78</v>
      </c>
      <c r="E6675" s="4">
        <v>4.0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ht="12.75" customHeight="1">
      <c r="A6676" s="4">
        <v>996.0</v>
      </c>
      <c r="B6676" s="4">
        <v>7174.0</v>
      </c>
      <c r="C6676" s="5">
        <f>DATE(2012,12,31)-296</f>
        <v>40978</v>
      </c>
      <c r="D6676" s="4" t="s">
        <v>45</v>
      </c>
      <c r="E6676" s="4">
        <v>10.0</v>
      </c>
      <c r="F6676" s="4">
        <v>141.92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1">C6676+2</f>
        <v>40980</v>
      </c>
    </row>
    <row r="6677" ht="12.75" customHeight="1">
      <c r="A6677" s="4">
        <v>1023.0</v>
      </c>
      <c r="B6677" s="4">
        <v>7458.0</v>
      </c>
      <c r="C6677" s="5">
        <f>DATE(2012,12,31)-271</f>
        <v>41003</v>
      </c>
      <c r="D6677" s="4" t="s">
        <v>78</v>
      </c>
      <c r="E6677" s="4">
        <v>9.0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39.48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1"/>
        <v>41005</v>
      </c>
    </row>
    <row r="6678" ht="12.75" customHeight="1">
      <c r="A6678" s="4">
        <v>1056.0</v>
      </c>
      <c r="B6678" s="4">
        <v>7812.0</v>
      </c>
      <c r="C6678" s="5">
        <f t="shared" ref="C6678:C6679" si="2832">DATE(2012,12,31)-621</f>
        <v>40653</v>
      </c>
      <c r="D6678" s="4" t="s">
        <v>21</v>
      </c>
      <c r="E6678" s="4">
        <v>17.0</v>
      </c>
      <c r="F6678" s="4">
        <v>475.9</v>
      </c>
      <c r="G6678" s="4">
        <v>0.04</v>
      </c>
      <c r="H6678" s="4" t="s">
        <v>22</v>
      </c>
      <c r="I6678" s="6">
        <v>-5.179999999999993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ht="12.75" customHeight="1">
      <c r="A6679" s="4">
        <v>1057.0</v>
      </c>
      <c r="B6679" s="4">
        <v>7812.0</v>
      </c>
      <c r="C6679" s="5">
        <f t="shared" si="2832"/>
        <v>40653</v>
      </c>
      <c r="D6679" s="4" t="s">
        <v>21</v>
      </c>
      <c r="E6679" s="4">
        <v>12.0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ht="12.75" customHeight="1">
      <c r="A6680" s="4">
        <v>1059.0</v>
      </c>
      <c r="B6680" s="4">
        <v>7840.0</v>
      </c>
      <c r="C6680" s="5">
        <f>DATE(2012,12,31)-723</f>
        <v>40551</v>
      </c>
      <c r="D6680" s="4" t="s">
        <v>21</v>
      </c>
      <c r="E6680" s="4">
        <v>34.0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4.89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ht="12.75" customHeight="1">
      <c r="A6681" s="4">
        <v>1081.0</v>
      </c>
      <c r="B6681" s="4">
        <v>7938.0</v>
      </c>
      <c r="C6681" s="5">
        <f>DATE(2012,12,31)-1024</f>
        <v>40250</v>
      </c>
      <c r="D6681" s="4" t="s">
        <v>63</v>
      </c>
      <c r="E6681" s="4">
        <v>16.0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3">C6681+2</f>
        <v>40252</v>
      </c>
    </row>
    <row r="6682" ht="12.75" customHeight="1">
      <c r="A6682" s="4">
        <v>1086.0</v>
      </c>
      <c r="B6682" s="4">
        <v>8001.0</v>
      </c>
      <c r="C6682" s="5">
        <f t="shared" ref="C6682:C6683" si="2834">DATE(2012,12,31)-773</f>
        <v>40501</v>
      </c>
      <c r="D6682" s="4" t="s">
        <v>30</v>
      </c>
      <c r="E6682" s="4">
        <v>15.0</v>
      </c>
      <c r="F6682" s="4">
        <v>37.7</v>
      </c>
      <c r="G6682" s="4">
        <v>0.1</v>
      </c>
      <c r="H6682" s="4" t="s">
        <v>22</v>
      </c>
      <c r="I6682" s="6">
        <v>-81.08</v>
      </c>
      <c r="J6682" s="4">
        <v>2.18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3"/>
        <v>40503</v>
      </c>
    </row>
    <row r="6683" ht="12.75" customHeight="1">
      <c r="A6683" s="4">
        <v>1087.0</v>
      </c>
      <c r="B6683" s="4">
        <v>8001.0</v>
      </c>
      <c r="C6683" s="5">
        <f t="shared" si="2834"/>
        <v>40501</v>
      </c>
      <c r="D6683" s="4" t="s">
        <v>30</v>
      </c>
      <c r="E6683" s="4">
        <v>47.0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3"/>
        <v>40503</v>
      </c>
    </row>
    <row r="6684" ht="12.75" customHeight="1">
      <c r="A6684" s="4">
        <v>1102.0</v>
      </c>
      <c r="B6684" s="4">
        <v>8101.0</v>
      </c>
      <c r="C6684" s="5">
        <f t="shared" ref="C6684:C6685" si="2835">DATE(2012,12,31)-1033</f>
        <v>40241</v>
      </c>
      <c r="D6684" s="4" t="s">
        <v>63</v>
      </c>
      <c r="E6684" s="4">
        <v>35.0</v>
      </c>
      <c r="F6684" s="4">
        <v>3491.71</v>
      </c>
      <c r="G6684" s="4">
        <v>0.04</v>
      </c>
      <c r="H6684" s="4" t="s">
        <v>31</v>
      </c>
      <c r="I6684" s="6">
        <v>-1216.64</v>
      </c>
      <c r="J6684" s="4">
        <v>95.95</v>
      </c>
      <c r="K6684" s="4">
        <v>74.35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0.57</v>
      </c>
      <c r="U6684" s="5">
        <f t="shared" si="2833"/>
        <v>40243</v>
      </c>
    </row>
    <row r="6685" ht="12.75" customHeight="1">
      <c r="A6685" s="4">
        <v>1103.0</v>
      </c>
      <c r="B6685" s="4">
        <v>8101.0</v>
      </c>
      <c r="C6685" s="5">
        <f t="shared" si="2835"/>
        <v>40241</v>
      </c>
      <c r="D6685" s="4" t="s">
        <v>63</v>
      </c>
      <c r="E6685" s="4">
        <v>15.0</v>
      </c>
      <c r="F6685" s="4">
        <v>485.16</v>
      </c>
      <c r="G6685" s="4">
        <v>0.1</v>
      </c>
      <c r="H6685" s="4" t="s">
        <v>22</v>
      </c>
      <c r="I6685" s="6">
        <v>-9.319999999999993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</v>
      </c>
      <c r="U6685" s="5">
        <f t="shared" si="2833"/>
        <v>40243</v>
      </c>
    </row>
    <row r="6686" ht="12.75" customHeight="1">
      <c r="A6686" s="4">
        <v>1111.0</v>
      </c>
      <c r="B6686" s="4">
        <v>8161.0</v>
      </c>
      <c r="C6686" s="5">
        <f>DATE(2012,12,31)-1307</f>
        <v>39967</v>
      </c>
      <c r="D6686" s="4" t="s">
        <v>30</v>
      </c>
      <c r="E6686" s="4">
        <v>45.0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3"/>
        <v>39969</v>
      </c>
    </row>
    <row r="6687" ht="12.75" customHeight="1">
      <c r="A6687" s="4">
        <v>1141.0</v>
      </c>
      <c r="B6687" s="4">
        <v>8320.0</v>
      </c>
      <c r="C6687" s="5">
        <f>DATE(2012,12,31)-1199</f>
        <v>40075</v>
      </c>
      <c r="D6687" s="4" t="s">
        <v>45</v>
      </c>
      <c r="E6687" s="4">
        <v>22.0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3"/>
        <v>40077</v>
      </c>
    </row>
    <row r="6688" ht="12.75" customHeight="1">
      <c r="A6688" s="4">
        <v>1144.0</v>
      </c>
      <c r="B6688" s="4">
        <v>8325.0</v>
      </c>
      <c r="C6688" s="5">
        <f t="shared" ref="C6688:C6689" si="2836">DATE(2012,12,31)-1447</f>
        <v>39827</v>
      </c>
      <c r="D6688" s="4" t="s">
        <v>78</v>
      </c>
      <c r="E6688" s="4">
        <v>21.0</v>
      </c>
      <c r="F6688" s="4">
        <v>2364.29</v>
      </c>
      <c r="G6688" s="4">
        <v>0.08</v>
      </c>
      <c r="H6688" s="4" t="s">
        <v>31</v>
      </c>
      <c r="I6688" s="6">
        <v>-220.0491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3"/>
        <v>39829</v>
      </c>
    </row>
    <row r="6689" ht="12.75" customHeight="1">
      <c r="A6689" s="4">
        <v>1145.0</v>
      </c>
      <c r="B6689" s="4">
        <v>8325.0</v>
      </c>
      <c r="C6689" s="5">
        <f t="shared" si="2836"/>
        <v>39827</v>
      </c>
      <c r="D6689" s="4" t="s">
        <v>78</v>
      </c>
      <c r="E6689" s="4">
        <v>27.0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</v>
      </c>
      <c r="U6689" s="5">
        <f>C6689+3</f>
        <v>39830</v>
      </c>
    </row>
    <row r="6690" ht="12.75" customHeight="1">
      <c r="A6690" s="4">
        <v>1173.0</v>
      </c>
      <c r="B6690" s="4">
        <v>8576.0</v>
      </c>
      <c r="C6690" s="5">
        <f>DATE(2012,12,31)-1452</f>
        <v>39822</v>
      </c>
      <c r="D6690" s="4" t="s">
        <v>30</v>
      </c>
      <c r="E6690" s="4">
        <v>43.0</v>
      </c>
      <c r="F6690" s="4">
        <v>541.45</v>
      </c>
      <c r="G6690" s="4">
        <v>0.0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ht="12.75" customHeight="1">
      <c r="A6691" s="4">
        <v>1177.0</v>
      </c>
      <c r="B6691" s="4">
        <v>8582.0</v>
      </c>
      <c r="C6691" s="5">
        <f>DATE(2012,12,31)-772</f>
        <v>40502</v>
      </c>
      <c r="D6691" s="4" t="s">
        <v>21</v>
      </c>
      <c r="E6691" s="4">
        <v>15.0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ht="12.75" customHeight="1">
      <c r="A6692" s="4">
        <v>1204.0</v>
      </c>
      <c r="B6692" s="4">
        <v>8832.0</v>
      </c>
      <c r="C6692" s="5">
        <f>DATE(2012,12,31)-333</f>
        <v>40941</v>
      </c>
      <c r="D6692" s="4" t="s">
        <v>21</v>
      </c>
      <c r="E6692" s="4">
        <v>39.0</v>
      </c>
      <c r="F6692" s="4">
        <v>647.81</v>
      </c>
      <c r="G6692" s="4">
        <v>0.1</v>
      </c>
      <c r="H6692" s="4" t="s">
        <v>22</v>
      </c>
      <c r="I6692" s="6">
        <v>8.650000000000006</v>
      </c>
      <c r="J6692" s="4">
        <v>17.67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ht="12.75" customHeight="1">
      <c r="A6693" s="4">
        <v>1212.0</v>
      </c>
      <c r="B6693" s="4">
        <v>8901.0</v>
      </c>
      <c r="C6693" s="5">
        <f>DATE(2012,12,31)-499</f>
        <v>40775</v>
      </c>
      <c r="D6693" s="4" t="s">
        <v>21</v>
      </c>
      <c r="E6693" s="4">
        <v>15.0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ht="12.75" customHeight="1">
      <c r="A6694" s="4">
        <v>1214.0</v>
      </c>
      <c r="B6694" s="4">
        <v>8930.0</v>
      </c>
      <c r="C6694" s="5">
        <f>DATE(2012,12,31)-1322</f>
        <v>39952</v>
      </c>
      <c r="D6694" s="4" t="s">
        <v>63</v>
      </c>
      <c r="E6694" s="4">
        <v>14.0</v>
      </c>
      <c r="F6694" s="4">
        <v>145.86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7">C6694+2</f>
        <v>39954</v>
      </c>
    </row>
    <row r="6695" ht="12.75" customHeight="1">
      <c r="A6695" s="4">
        <v>1237.0</v>
      </c>
      <c r="B6695" s="4">
        <v>8999.0</v>
      </c>
      <c r="C6695" s="5">
        <f>DATE(2012,12,31)-1298</f>
        <v>39976</v>
      </c>
      <c r="D6695" s="4" t="s">
        <v>30</v>
      </c>
      <c r="E6695" s="4">
        <v>28.0</v>
      </c>
      <c r="F6695" s="4">
        <v>1676.48</v>
      </c>
      <c r="G6695" s="4">
        <v>0.0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7"/>
        <v>39978</v>
      </c>
    </row>
    <row r="6696" ht="12.75" customHeight="1">
      <c r="A6696" s="4">
        <v>1249.0</v>
      </c>
      <c r="B6696" s="4">
        <v>9091.0</v>
      </c>
      <c r="C6696" s="5">
        <f t="shared" ref="C6696:C6697" si="2838">DATE(2012,12,31)-781</f>
        <v>40493</v>
      </c>
      <c r="D6696" s="4" t="s">
        <v>30</v>
      </c>
      <c r="E6696" s="4">
        <v>42.0</v>
      </c>
      <c r="F6696" s="4">
        <v>605.77</v>
      </c>
      <c r="G6696" s="4">
        <v>0.05</v>
      </c>
      <c r="H6696" s="4" t="s">
        <v>22</v>
      </c>
      <c r="I6696" s="6">
        <v>129.33</v>
      </c>
      <c r="J6696" s="4">
        <v>14.34</v>
      </c>
      <c r="K6696" s="4">
        <v>5.0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9">C6696+1</f>
        <v>40494</v>
      </c>
    </row>
    <row r="6697" ht="12.75" customHeight="1">
      <c r="A6697" s="4">
        <v>1250.0</v>
      </c>
      <c r="B6697" s="4">
        <v>9091.0</v>
      </c>
      <c r="C6697" s="5">
        <f t="shared" si="2838"/>
        <v>40493</v>
      </c>
      <c r="D6697" s="4" t="s">
        <v>30</v>
      </c>
      <c r="E6697" s="4">
        <v>44.0</v>
      </c>
      <c r="F6697" s="4">
        <v>1480.91</v>
      </c>
      <c r="G6697" s="4">
        <v>0.0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9"/>
        <v>40494</v>
      </c>
    </row>
    <row r="6698" ht="12.75" customHeight="1">
      <c r="A6698" s="4">
        <v>1251.0</v>
      </c>
      <c r="B6698" s="4">
        <v>9092.0</v>
      </c>
      <c r="C6698" s="5">
        <f t="shared" ref="C6698:C6699" si="2840">DATE(2012,12,31)-1256</f>
        <v>40018</v>
      </c>
      <c r="D6698" s="4" t="s">
        <v>45</v>
      </c>
      <c r="E6698" s="4">
        <v>33.0</v>
      </c>
      <c r="F6698" s="4">
        <v>3644.24</v>
      </c>
      <c r="G6698" s="4">
        <v>0.0</v>
      </c>
      <c r="H6698" s="4" t="s">
        <v>56</v>
      </c>
      <c r="I6698" s="6">
        <v>-457.73</v>
      </c>
      <c r="J6698" s="4">
        <v>101.41</v>
      </c>
      <c r="K6698" s="4">
        <v>35.0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9"/>
        <v>40019</v>
      </c>
    </row>
    <row r="6699" ht="12.75" customHeight="1">
      <c r="A6699" s="4">
        <v>1252.0</v>
      </c>
      <c r="B6699" s="4">
        <v>9092.0</v>
      </c>
      <c r="C6699" s="5">
        <f t="shared" si="2840"/>
        <v>40018</v>
      </c>
      <c r="D6699" s="4" t="s">
        <v>45</v>
      </c>
      <c r="E6699" s="4">
        <v>8.0</v>
      </c>
      <c r="F6699" s="4">
        <v>599.2075</v>
      </c>
      <c r="G6699" s="4">
        <v>0.1</v>
      </c>
      <c r="H6699" s="4" t="s">
        <v>22</v>
      </c>
      <c r="I6699" s="6">
        <v>-268.664</v>
      </c>
      <c r="J6699" s="4">
        <v>95.99</v>
      </c>
      <c r="K6699" s="4">
        <v>4.9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</v>
      </c>
      <c r="U6699" s="5">
        <f t="shared" si="2839"/>
        <v>40019</v>
      </c>
    </row>
    <row r="6700" ht="12.75" customHeight="1">
      <c r="A6700" s="4">
        <v>1253.0</v>
      </c>
      <c r="B6700" s="4">
        <v>9093.0</v>
      </c>
      <c r="C6700" s="5">
        <f>DATE(2012,12,31)-388</f>
        <v>40886</v>
      </c>
      <c r="D6700" s="4" t="s">
        <v>63</v>
      </c>
      <c r="E6700" s="4">
        <v>36.0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ht="12.75" customHeight="1">
      <c r="A6701" s="4">
        <v>1274.0</v>
      </c>
      <c r="B6701" s="4">
        <v>9251.0</v>
      </c>
      <c r="C6701" s="5">
        <f>DATE(2012,12,31)-855</f>
        <v>40419</v>
      </c>
      <c r="D6701" s="4" t="s">
        <v>63</v>
      </c>
      <c r="E6701" s="4">
        <v>38.0</v>
      </c>
      <c r="F6701" s="4">
        <v>3632.6</v>
      </c>
      <c r="G6701" s="4">
        <v>0.0</v>
      </c>
      <c r="H6701" s="4" t="s">
        <v>31</v>
      </c>
      <c r="I6701" s="6">
        <v>-400.33</v>
      </c>
      <c r="J6701" s="4">
        <v>89.99</v>
      </c>
      <c r="K6701" s="4">
        <v>42.0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1">C6701+2</f>
        <v>40421</v>
      </c>
    </row>
    <row r="6702" ht="12.75" customHeight="1">
      <c r="A6702" s="4">
        <v>1282.0</v>
      </c>
      <c r="B6702" s="4">
        <v>9344.0</v>
      </c>
      <c r="C6702" s="5">
        <f t="shared" ref="C6702:C6703" si="2842">DATE(2012,12,31)-391</f>
        <v>40883</v>
      </c>
      <c r="D6702" s="4" t="s">
        <v>21</v>
      </c>
      <c r="E6702" s="4">
        <v>18.0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35.0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1"/>
        <v>40885</v>
      </c>
    </row>
    <row r="6703" ht="12.75" customHeight="1">
      <c r="A6703" s="4">
        <v>1283.0</v>
      </c>
      <c r="B6703" s="4">
        <v>9344.0</v>
      </c>
      <c r="C6703" s="5">
        <f t="shared" si="2842"/>
        <v>40883</v>
      </c>
      <c r="D6703" s="4" t="s">
        <v>21</v>
      </c>
      <c r="E6703" s="4">
        <v>31.0</v>
      </c>
      <c r="F6703" s="4">
        <v>3448.6455</v>
      </c>
      <c r="G6703" s="4">
        <v>0.02</v>
      </c>
      <c r="H6703" s="4" t="s">
        <v>22</v>
      </c>
      <c r="I6703" s="6">
        <v>900.414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</v>
      </c>
      <c r="U6703" s="5">
        <f>C6703+0</f>
        <v>40883</v>
      </c>
    </row>
    <row r="6704" ht="12.75" customHeight="1">
      <c r="A6704" s="4">
        <v>1342.0</v>
      </c>
      <c r="B6704" s="4">
        <v>9824.0</v>
      </c>
      <c r="C6704" s="5">
        <f t="shared" ref="C6704:C6706" si="2843">DATE(2012,12,31)-709</f>
        <v>40565</v>
      </c>
      <c r="D6704" s="4" t="s">
        <v>78</v>
      </c>
      <c r="E6704" s="4">
        <v>39.0</v>
      </c>
      <c r="F6704" s="4">
        <v>1939.66</v>
      </c>
      <c r="G6704" s="4">
        <v>0.03</v>
      </c>
      <c r="H6704" s="4" t="s">
        <v>56</v>
      </c>
      <c r="I6704" s="6">
        <v>540.67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4">C6704+2</f>
        <v>40567</v>
      </c>
    </row>
    <row r="6705" ht="12.75" customHeight="1">
      <c r="A6705" s="4">
        <v>1343.0</v>
      </c>
      <c r="B6705" s="4">
        <v>9824.0</v>
      </c>
      <c r="C6705" s="5">
        <f t="shared" si="2843"/>
        <v>40565</v>
      </c>
      <c r="D6705" s="4" t="s">
        <v>78</v>
      </c>
      <c r="E6705" s="4">
        <v>5.0</v>
      </c>
      <c r="F6705" s="4">
        <v>21.56</v>
      </c>
      <c r="G6705" s="4">
        <v>0.0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4"/>
        <v>40567</v>
      </c>
    </row>
    <row r="6706" ht="12.75" customHeight="1">
      <c r="A6706" s="4">
        <v>1344.0</v>
      </c>
      <c r="B6706" s="4">
        <v>9824.0</v>
      </c>
      <c r="C6706" s="5">
        <f t="shared" si="2843"/>
        <v>40565</v>
      </c>
      <c r="D6706" s="4" t="s">
        <v>78</v>
      </c>
      <c r="E6706" s="4">
        <v>43.0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</v>
      </c>
      <c r="U6706" s="5">
        <f t="shared" si="2844"/>
        <v>40567</v>
      </c>
    </row>
    <row r="6707" ht="12.75" customHeight="1">
      <c r="A6707" s="4">
        <v>1383.0</v>
      </c>
      <c r="B6707" s="4">
        <v>10052.0</v>
      </c>
      <c r="C6707" s="5">
        <f t="shared" ref="C6707:C6709" si="2845">DATE(2012,12,31)-1211</f>
        <v>40063</v>
      </c>
      <c r="D6707" s="4" t="s">
        <v>45</v>
      </c>
      <c r="E6707" s="4">
        <v>16.0</v>
      </c>
      <c r="F6707" s="4">
        <v>95.9</v>
      </c>
      <c r="G6707" s="4">
        <v>0.07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ht="12.75" customHeight="1">
      <c r="A6708" s="4">
        <v>1384.0</v>
      </c>
      <c r="B6708" s="4">
        <v>10052.0</v>
      </c>
      <c r="C6708" s="5">
        <f t="shared" si="2845"/>
        <v>40063</v>
      </c>
      <c r="D6708" s="4" t="s">
        <v>45</v>
      </c>
      <c r="E6708" s="4">
        <v>28.0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6">C6708+2</f>
        <v>40065</v>
      </c>
    </row>
    <row r="6709" ht="12.75" customHeight="1">
      <c r="A6709" s="4">
        <v>1385.0</v>
      </c>
      <c r="B6709" s="4">
        <v>10052.0</v>
      </c>
      <c r="C6709" s="5">
        <f t="shared" si="2845"/>
        <v>40063</v>
      </c>
      <c r="D6709" s="4" t="s">
        <v>45</v>
      </c>
      <c r="E6709" s="4">
        <v>46.0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6"/>
        <v>40065</v>
      </c>
    </row>
    <row r="6710" ht="12.75" customHeight="1">
      <c r="A6710" s="4">
        <v>1390.0</v>
      </c>
      <c r="B6710" s="4">
        <v>10080.0</v>
      </c>
      <c r="C6710" s="5">
        <f>DATE(2012,12,31)-1053</f>
        <v>40221</v>
      </c>
      <c r="D6710" s="4" t="s">
        <v>21</v>
      </c>
      <c r="E6710" s="4">
        <v>20.0</v>
      </c>
      <c r="F6710" s="4">
        <v>637.04</v>
      </c>
      <c r="G6710" s="4">
        <v>0.0</v>
      </c>
      <c r="H6710" s="4" t="s">
        <v>22</v>
      </c>
      <c r="I6710" s="6">
        <v>-26.83</v>
      </c>
      <c r="J6710" s="4">
        <v>30.73</v>
      </c>
      <c r="K6710" s="4">
        <v>4.0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ht="12.75" customHeight="1">
      <c r="A6711" s="4">
        <v>1393.0</v>
      </c>
      <c r="B6711" s="4">
        <v>10117.0</v>
      </c>
      <c r="C6711" s="5">
        <f t="shared" ref="C6711:C6712" si="2847">DATE(2012,12,31)-776</f>
        <v>40498</v>
      </c>
      <c r="D6711" s="4" t="s">
        <v>63</v>
      </c>
      <c r="E6711" s="4">
        <v>6.0</v>
      </c>
      <c r="F6711" s="4">
        <v>64.37</v>
      </c>
      <c r="G6711" s="4">
        <v>0.07</v>
      </c>
      <c r="H6711" s="4" t="s">
        <v>56</v>
      </c>
      <c r="I6711" s="6">
        <v>-6.9575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ht="12.75" customHeight="1">
      <c r="A6712" s="4">
        <v>1394.0</v>
      </c>
      <c r="B6712" s="4">
        <v>10117.0</v>
      </c>
      <c r="C6712" s="5">
        <f t="shared" si="2847"/>
        <v>40498</v>
      </c>
      <c r="D6712" s="4" t="s">
        <v>63</v>
      </c>
      <c r="E6712" s="4">
        <v>10.0</v>
      </c>
      <c r="F6712" s="4">
        <v>4588.55</v>
      </c>
      <c r="G6712" s="4">
        <v>0.01</v>
      </c>
      <c r="H6712" s="4" t="s">
        <v>22</v>
      </c>
      <c r="I6712" s="6">
        <v>-266.624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ht="12.75" customHeight="1">
      <c r="A6713" s="4">
        <v>1398.0</v>
      </c>
      <c r="B6713" s="4">
        <v>10146.0</v>
      </c>
      <c r="C6713" s="5">
        <f>DATE(2012,12,31)-1340</f>
        <v>39934</v>
      </c>
      <c r="D6713" s="4" t="s">
        <v>21</v>
      </c>
      <c r="E6713" s="4">
        <v>19.0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34.23</v>
      </c>
      <c r="K6713" s="4">
        <v>5.02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</v>
      </c>
      <c r="U6713" s="5">
        <f>C6713+5</f>
        <v>39939</v>
      </c>
    </row>
    <row r="6714" ht="12.75" customHeight="1">
      <c r="A6714" s="4">
        <v>1410.0</v>
      </c>
      <c r="B6714" s="4">
        <v>10245.0</v>
      </c>
      <c r="C6714" s="5">
        <f>DATE(2012,12,31)-687</f>
        <v>40587</v>
      </c>
      <c r="D6714" s="4" t="s">
        <v>63</v>
      </c>
      <c r="E6714" s="4">
        <v>27.0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8">C6714+1</f>
        <v>40588</v>
      </c>
    </row>
    <row r="6715" ht="12.75" customHeight="1">
      <c r="A6715" s="4">
        <v>1417.0</v>
      </c>
      <c r="B6715" s="4">
        <v>10277.0</v>
      </c>
      <c r="C6715" s="5">
        <f>DATE(2012,12,31)-1364</f>
        <v>39910</v>
      </c>
      <c r="D6715" s="4" t="s">
        <v>63</v>
      </c>
      <c r="E6715" s="4">
        <v>36.0</v>
      </c>
      <c r="F6715" s="4">
        <v>2144.924</v>
      </c>
      <c r="G6715" s="4">
        <v>0.0</v>
      </c>
      <c r="H6715" s="4" t="s">
        <v>22</v>
      </c>
      <c r="I6715" s="6">
        <v>542.25</v>
      </c>
      <c r="J6715" s="4">
        <v>65.99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8"/>
        <v>39911</v>
      </c>
    </row>
    <row r="6716" ht="12.75" customHeight="1">
      <c r="A6716" s="4">
        <v>1419.0</v>
      </c>
      <c r="B6716" s="4">
        <v>10305.0</v>
      </c>
      <c r="C6716" s="5">
        <f>DATE(2012,12,31)-1273</f>
        <v>40001</v>
      </c>
      <c r="D6716" s="4" t="s">
        <v>21</v>
      </c>
      <c r="E6716" s="4">
        <v>12.0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2.03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ht="12.75" customHeight="1">
      <c r="A6717" s="4">
        <v>1427.0</v>
      </c>
      <c r="B6717" s="4">
        <v>10339.0</v>
      </c>
      <c r="C6717" s="5">
        <f>DATE(2012,12,31)-447</f>
        <v>40827</v>
      </c>
      <c r="D6717" s="4" t="s">
        <v>21</v>
      </c>
      <c r="E6717" s="4">
        <v>49.0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ht="12.75" customHeight="1">
      <c r="A6718" s="4">
        <v>1451.0</v>
      </c>
      <c r="B6718" s="4">
        <v>10466.0</v>
      </c>
      <c r="C6718" s="5">
        <f>DATE(2012,12,31)-6</f>
        <v>41268</v>
      </c>
      <c r="D6718" s="4" t="s">
        <v>30</v>
      </c>
      <c r="E6718" s="4">
        <v>27.0</v>
      </c>
      <c r="F6718" s="4">
        <v>114.86</v>
      </c>
      <c r="G6718" s="4">
        <v>0.07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</v>
      </c>
      <c r="U6718" s="5">
        <f t="shared" ref="U6718:U6720" si="2849">C6718+1</f>
        <v>41269</v>
      </c>
    </row>
    <row r="6719" ht="12.75" customHeight="1">
      <c r="A6719" s="4">
        <v>1464.0</v>
      </c>
      <c r="B6719" s="4">
        <v>10562.0</v>
      </c>
      <c r="C6719" s="5">
        <f>DATE(2012,12,31)-1146</f>
        <v>40128</v>
      </c>
      <c r="D6719" s="4" t="s">
        <v>45</v>
      </c>
      <c r="E6719" s="4">
        <v>10.0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35.0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9"/>
        <v>40129</v>
      </c>
    </row>
    <row r="6720" ht="12.75" customHeight="1">
      <c r="A6720" s="4">
        <v>1465.0</v>
      </c>
      <c r="B6720" s="4">
        <v>10563.0</v>
      </c>
      <c r="C6720" s="5">
        <f t="shared" ref="C6720:C6721" si="2850">DATE(2012,12,31)-824</f>
        <v>40450</v>
      </c>
      <c r="D6720" s="4" t="s">
        <v>78</v>
      </c>
      <c r="E6720" s="4">
        <v>38.0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289.53</v>
      </c>
      <c r="K6720" s="4">
        <v>19.99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</v>
      </c>
      <c r="U6720" s="5">
        <f t="shared" si="2849"/>
        <v>40451</v>
      </c>
    </row>
    <row r="6721" ht="12.75" customHeight="1">
      <c r="A6721" s="4">
        <v>1466.0</v>
      </c>
      <c r="B6721" s="4">
        <v>10563.0</v>
      </c>
      <c r="C6721" s="5">
        <f t="shared" si="2850"/>
        <v>40450</v>
      </c>
      <c r="D6721" s="4" t="s">
        <v>78</v>
      </c>
      <c r="E6721" s="4">
        <v>50.0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ht="12.75" customHeight="1">
      <c r="A6722" s="4">
        <v>1477.0</v>
      </c>
      <c r="B6722" s="4">
        <v>10658.0</v>
      </c>
      <c r="C6722" s="5">
        <f t="shared" ref="C6722:C6724" si="2851">DATE(2012,12,31)-1222</f>
        <v>40052</v>
      </c>
      <c r="D6722" s="4" t="s">
        <v>21</v>
      </c>
      <c r="E6722" s="4">
        <v>31.0</v>
      </c>
      <c r="F6722" s="4">
        <v>262.54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ht="12.75" customHeight="1">
      <c r="A6723" s="4">
        <v>1478.0</v>
      </c>
      <c r="B6723" s="4">
        <v>10658.0</v>
      </c>
      <c r="C6723" s="5">
        <f t="shared" si="2851"/>
        <v>40052</v>
      </c>
      <c r="D6723" s="4" t="s">
        <v>21</v>
      </c>
      <c r="E6723" s="4">
        <v>12.0</v>
      </c>
      <c r="F6723" s="4">
        <v>190.73</v>
      </c>
      <c r="G6723" s="4">
        <v>0.1</v>
      </c>
      <c r="H6723" s="4" t="s">
        <v>22</v>
      </c>
      <c r="I6723" s="6">
        <v>-69.6435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ht="12.75" customHeight="1">
      <c r="A6724" s="4">
        <v>1479.0</v>
      </c>
      <c r="B6724" s="4">
        <v>10658.0</v>
      </c>
      <c r="C6724" s="5">
        <f t="shared" si="2851"/>
        <v>40052</v>
      </c>
      <c r="D6724" s="4" t="s">
        <v>21</v>
      </c>
      <c r="E6724" s="4">
        <v>17.0</v>
      </c>
      <c r="F6724" s="4">
        <v>1332.97</v>
      </c>
      <c r="G6724" s="4">
        <v>0.09</v>
      </c>
      <c r="H6724" s="4" t="s">
        <v>22</v>
      </c>
      <c r="I6724" s="6">
        <v>4.752000000000001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0.57</v>
      </c>
      <c r="U6724" s="5">
        <f>C6724+7</f>
        <v>40059</v>
      </c>
    </row>
    <row r="6725" ht="12.75" customHeight="1">
      <c r="A6725" s="4">
        <v>1483.0</v>
      </c>
      <c r="B6725" s="4">
        <v>10662.0</v>
      </c>
      <c r="C6725" s="5">
        <f>DATE(2012,12,31)-599</f>
        <v>40675</v>
      </c>
      <c r="D6725" s="4" t="s">
        <v>21</v>
      </c>
      <c r="E6725" s="4">
        <v>45.0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ht="12.75" customHeight="1">
      <c r="A6726" s="4">
        <v>1514.0</v>
      </c>
      <c r="B6726" s="4">
        <v>10948.0</v>
      </c>
      <c r="C6726" s="5">
        <f>DATE(2012,12,31)-140</f>
        <v>41134</v>
      </c>
      <c r="D6726" s="4" t="s">
        <v>63</v>
      </c>
      <c r="E6726" s="4">
        <v>50.0</v>
      </c>
      <c r="F6726" s="4">
        <v>193.11</v>
      </c>
      <c r="G6726" s="4">
        <v>0.08</v>
      </c>
      <c r="H6726" s="4" t="s">
        <v>22</v>
      </c>
      <c r="I6726" s="6">
        <v>-263.764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ht="12.75" customHeight="1">
      <c r="A6727" s="4">
        <v>1530.0</v>
      </c>
      <c r="B6727" s="4">
        <v>11014.0</v>
      </c>
      <c r="C6727" s="5">
        <f>DATE(2012,12,31)-846</f>
        <v>40428</v>
      </c>
      <c r="D6727" s="4" t="s">
        <v>30</v>
      </c>
      <c r="E6727" s="4">
        <v>13.0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ht="12.75" customHeight="1">
      <c r="A6728" s="4">
        <v>1539.0</v>
      </c>
      <c r="B6728" s="4">
        <v>11077.0</v>
      </c>
      <c r="C6728" s="5">
        <f>DATE(2012,12,31)-1382</f>
        <v>39892</v>
      </c>
      <c r="D6728" s="4" t="s">
        <v>21</v>
      </c>
      <c r="E6728" s="4">
        <v>30.0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160.98</v>
      </c>
      <c r="K6728" s="4">
        <v>35.02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ht="12.75" customHeight="1">
      <c r="A6729" s="4">
        <v>1550.0</v>
      </c>
      <c r="B6729" s="4">
        <v>11174.0</v>
      </c>
      <c r="C6729" s="5">
        <f>DATE(2012,12,31)-1362</f>
        <v>39912</v>
      </c>
      <c r="D6729" s="4" t="s">
        <v>63</v>
      </c>
      <c r="E6729" s="4">
        <v>30.0</v>
      </c>
      <c r="F6729" s="4">
        <v>3197.0029999999997</v>
      </c>
      <c r="G6729" s="4">
        <v>0.07</v>
      </c>
      <c r="H6729" s="4" t="s">
        <v>22</v>
      </c>
      <c r="I6729" s="6">
        <v>603.459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ht="12.75" customHeight="1">
      <c r="A6730" s="4">
        <v>1555.0</v>
      </c>
      <c r="B6730" s="4">
        <v>11236.0</v>
      </c>
      <c r="C6730" s="5">
        <f t="shared" ref="C6730:C6731" si="2852">DATE(2012,12,31)-793</f>
        <v>40481</v>
      </c>
      <c r="D6730" s="4" t="s">
        <v>30</v>
      </c>
      <c r="E6730" s="4">
        <v>45.0</v>
      </c>
      <c r="F6730" s="4">
        <v>298.57</v>
      </c>
      <c r="G6730" s="4">
        <v>0.07</v>
      </c>
      <c r="H6730" s="4" t="s">
        <v>22</v>
      </c>
      <c r="I6730" s="6">
        <v>74.07</v>
      </c>
      <c r="J6730" s="4">
        <v>6.88</v>
      </c>
      <c r="K6730" s="4">
        <v>2.0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3">C6730+0</f>
        <v>40481</v>
      </c>
    </row>
    <row r="6731" ht="12.75" customHeight="1">
      <c r="A6731" s="4">
        <v>1556.0</v>
      </c>
      <c r="B6731" s="4">
        <v>11236.0</v>
      </c>
      <c r="C6731" s="5">
        <f t="shared" si="2852"/>
        <v>40481</v>
      </c>
      <c r="D6731" s="4" t="s">
        <v>30</v>
      </c>
      <c r="E6731" s="4">
        <v>15.0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3"/>
        <v>40481</v>
      </c>
    </row>
    <row r="6732" ht="12.75" customHeight="1">
      <c r="A6732" s="4">
        <v>1611.0</v>
      </c>
      <c r="B6732" s="4">
        <v>11680.0</v>
      </c>
      <c r="C6732" s="5">
        <f>DATE(2012,12,31)-1214</f>
        <v>40060</v>
      </c>
      <c r="D6732" s="4" t="s">
        <v>63</v>
      </c>
      <c r="E6732" s="4">
        <v>50.0</v>
      </c>
      <c r="F6732" s="4">
        <v>7312.031499999999</v>
      </c>
      <c r="G6732" s="4">
        <v>0.06</v>
      </c>
      <c r="H6732" s="4" t="s">
        <v>22</v>
      </c>
      <c r="I6732" s="6">
        <v>2031.507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0.57</v>
      </c>
      <c r="U6732" s="5">
        <f>C6732+2</f>
        <v>40062</v>
      </c>
    </row>
    <row r="6733" ht="12.75" customHeight="1">
      <c r="A6733" s="4">
        <v>1612.0</v>
      </c>
      <c r="B6733" s="4">
        <v>11682.0</v>
      </c>
      <c r="C6733" s="5">
        <f>DATE(2012,12,31)-911</f>
        <v>40363</v>
      </c>
      <c r="D6733" s="4" t="s">
        <v>21</v>
      </c>
      <c r="E6733" s="4">
        <v>5.0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4.0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ht="12.75" customHeight="1">
      <c r="A6734" s="4">
        <v>1618.0</v>
      </c>
      <c r="B6734" s="4">
        <v>11714.0</v>
      </c>
      <c r="C6734" s="5">
        <f t="shared" ref="C6734:C6735" si="2854">DATE(2012,12,31)-1245</f>
        <v>40029</v>
      </c>
      <c r="D6734" s="4" t="s">
        <v>78</v>
      </c>
      <c r="E6734" s="4">
        <v>1.0</v>
      </c>
      <c r="F6734" s="4">
        <v>3501.79</v>
      </c>
      <c r="G6734" s="4">
        <v>0.01</v>
      </c>
      <c r="H6734" s="4" t="s">
        <v>31</v>
      </c>
      <c r="I6734" s="6">
        <v>-7838.3346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0.57</v>
      </c>
      <c r="U6734" s="5">
        <f t="shared" ref="U6734:U6735" si="2855">C6734+1</f>
        <v>40030</v>
      </c>
    </row>
    <row r="6735" ht="12.75" customHeight="1">
      <c r="A6735" s="4">
        <v>1619.0</v>
      </c>
      <c r="B6735" s="4">
        <v>11714.0</v>
      </c>
      <c r="C6735" s="5">
        <f t="shared" si="2854"/>
        <v>40029</v>
      </c>
      <c r="D6735" s="4" t="s">
        <v>78</v>
      </c>
      <c r="E6735" s="4">
        <v>9.0</v>
      </c>
      <c r="F6735" s="4">
        <v>141.83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</v>
      </c>
      <c r="U6735" s="5">
        <f t="shared" si="2855"/>
        <v>40030</v>
      </c>
    </row>
    <row r="6736" ht="12.75" customHeight="1">
      <c r="A6736" s="4">
        <v>1625.0</v>
      </c>
      <c r="B6736" s="4">
        <v>11748.0</v>
      </c>
      <c r="C6736" s="5">
        <f>DATE(2012,12,31)-1307</f>
        <v>39967</v>
      </c>
      <c r="D6736" s="4" t="s">
        <v>45</v>
      </c>
      <c r="E6736" s="4">
        <v>23.0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145.98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ht="12.75" customHeight="1">
      <c r="A6737" s="4">
        <v>1630.0</v>
      </c>
      <c r="B6737" s="4">
        <v>11780.0</v>
      </c>
      <c r="C6737" s="5">
        <f>DATE(2012,12,31)-832</f>
        <v>40442</v>
      </c>
      <c r="D6737" s="4" t="s">
        <v>78</v>
      </c>
      <c r="E6737" s="4">
        <v>7.0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ht="12.75" customHeight="1">
      <c r="A6738" s="4">
        <v>1666.0</v>
      </c>
      <c r="B6738" s="4">
        <v>12007.0</v>
      </c>
      <c r="C6738" s="5">
        <f>DATE(2012,12,31)-1191</f>
        <v>40083</v>
      </c>
      <c r="D6738" s="4" t="s">
        <v>45</v>
      </c>
      <c r="E6738" s="4">
        <v>42.0</v>
      </c>
      <c r="F6738" s="4">
        <v>152.26</v>
      </c>
      <c r="G6738" s="4">
        <v>0.04</v>
      </c>
      <c r="H6738" s="4" t="s">
        <v>22</v>
      </c>
      <c r="I6738" s="6">
        <v>64.99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6">C6738+2</f>
        <v>40085</v>
      </c>
    </row>
    <row r="6739" ht="12.75" customHeight="1">
      <c r="A6739" s="4">
        <v>1668.0</v>
      </c>
      <c r="B6739" s="4">
        <v>12039.0</v>
      </c>
      <c r="C6739" s="5">
        <f>DATE(2012,12,31)-929</f>
        <v>40345</v>
      </c>
      <c r="D6739" s="4" t="s">
        <v>30</v>
      </c>
      <c r="E6739" s="4">
        <v>13.0</v>
      </c>
      <c r="F6739" s="4">
        <v>2048.5679999999998</v>
      </c>
      <c r="G6739" s="4">
        <v>0.1</v>
      </c>
      <c r="H6739" s="4" t="s">
        <v>22</v>
      </c>
      <c r="I6739" s="6">
        <v>-259.985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</v>
      </c>
      <c r="U6739" s="5">
        <f t="shared" si="2856"/>
        <v>40347</v>
      </c>
    </row>
    <row r="6740" ht="12.75" customHeight="1">
      <c r="A6740" s="4">
        <v>1669.0</v>
      </c>
      <c r="B6740" s="4">
        <v>12066.0</v>
      </c>
      <c r="C6740" s="5">
        <f>DATE(2012,12,31)-694</f>
        <v>40580</v>
      </c>
      <c r="D6740" s="4" t="s">
        <v>63</v>
      </c>
      <c r="E6740" s="4">
        <v>27.0</v>
      </c>
      <c r="F6740" s="4">
        <v>4442.049</v>
      </c>
      <c r="G6740" s="4">
        <v>0.1</v>
      </c>
      <c r="H6740" s="4" t="s">
        <v>22</v>
      </c>
      <c r="I6740" s="6">
        <v>720.954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ht="12.75" customHeight="1">
      <c r="A6741" s="4">
        <v>1708.0</v>
      </c>
      <c r="B6741" s="4">
        <v>12262.0</v>
      </c>
      <c r="C6741" s="5">
        <f>DATE(2012,12,31)-387</f>
        <v>40887</v>
      </c>
      <c r="D6741" s="4" t="s">
        <v>21</v>
      </c>
      <c r="E6741" s="4">
        <v>45.0</v>
      </c>
      <c r="F6741" s="4">
        <v>1212.928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ht="12.75" customHeight="1">
      <c r="A6742" s="4">
        <v>1746.0</v>
      </c>
      <c r="B6742" s="4">
        <v>12486.0</v>
      </c>
      <c r="C6742" s="5">
        <f t="shared" ref="C6742:C6743" si="2857">DATE(2012,12,31)-680</f>
        <v>40594</v>
      </c>
      <c r="D6742" s="4" t="s">
        <v>30</v>
      </c>
      <c r="E6742" s="4">
        <v>31.0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8">C6742+1</f>
        <v>40595</v>
      </c>
    </row>
    <row r="6743" ht="12.75" customHeight="1">
      <c r="A6743" s="4">
        <v>1747.0</v>
      </c>
      <c r="B6743" s="4">
        <v>12486.0</v>
      </c>
      <c r="C6743" s="5">
        <f t="shared" si="2857"/>
        <v>40594</v>
      </c>
      <c r="D6743" s="4" t="s">
        <v>30</v>
      </c>
      <c r="E6743" s="4">
        <v>42.0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8"/>
        <v>40595</v>
      </c>
    </row>
    <row r="6744" ht="12.75" customHeight="1">
      <c r="A6744" s="4">
        <v>1755.0</v>
      </c>
      <c r="B6744" s="4">
        <v>12580.0</v>
      </c>
      <c r="C6744" s="5">
        <f>DATE(2012,12,31)-1083</f>
        <v>40191</v>
      </c>
      <c r="D6744" s="4" t="s">
        <v>21</v>
      </c>
      <c r="E6744" s="4">
        <v>50.0</v>
      </c>
      <c r="F6744" s="4">
        <v>8038.08</v>
      </c>
      <c r="G6744" s="4">
        <v>0.1</v>
      </c>
      <c r="H6744" s="4" t="s">
        <v>22</v>
      </c>
      <c r="I6744" s="6">
        <v>2821.405</v>
      </c>
      <c r="J6744" s="4">
        <v>172.99</v>
      </c>
      <c r="K6744" s="4">
        <v>19.99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ht="12.75" customHeight="1">
      <c r="A6745" s="4">
        <v>1758.0</v>
      </c>
      <c r="B6745" s="4">
        <v>12612.0</v>
      </c>
      <c r="C6745" s="5">
        <f t="shared" ref="C6745:C6746" si="2859">DATE(2012,12,31)-741</f>
        <v>40533</v>
      </c>
      <c r="D6745" s="4" t="s">
        <v>21</v>
      </c>
      <c r="E6745" s="4">
        <v>29.0</v>
      </c>
      <c r="F6745" s="4">
        <v>2360.98</v>
      </c>
      <c r="G6745" s="4">
        <v>0.02</v>
      </c>
      <c r="H6745" s="4" t="s">
        <v>22</v>
      </c>
      <c r="I6745" s="6">
        <v>611.93</v>
      </c>
      <c r="J6745" s="4">
        <v>78.65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ht="12.75" customHeight="1">
      <c r="A6746" s="4">
        <v>1759.0</v>
      </c>
      <c r="B6746" s="4">
        <v>12612.0</v>
      </c>
      <c r="C6746" s="5">
        <f t="shared" si="2859"/>
        <v>40533</v>
      </c>
      <c r="D6746" s="4" t="s">
        <v>21</v>
      </c>
      <c r="E6746" s="4">
        <v>49.0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ht="12.75" customHeight="1">
      <c r="A6747" s="4">
        <v>1772.0</v>
      </c>
      <c r="B6747" s="4">
        <v>12706.0</v>
      </c>
      <c r="C6747" s="5">
        <f>DATE(2012,12,31)-1137</f>
        <v>40137</v>
      </c>
      <c r="D6747" s="4" t="s">
        <v>78</v>
      </c>
      <c r="E6747" s="4">
        <v>46.0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ht="12.75" customHeight="1">
      <c r="A6748" s="4">
        <v>1774.0</v>
      </c>
      <c r="B6748" s="4">
        <v>12708.0</v>
      </c>
      <c r="C6748" s="5">
        <f>DATE(2012,12,31)-1089</f>
        <v>40185</v>
      </c>
      <c r="D6748" s="4" t="s">
        <v>21</v>
      </c>
      <c r="E6748" s="4">
        <v>44.0</v>
      </c>
      <c r="F6748" s="4">
        <v>159.41</v>
      </c>
      <c r="G6748" s="4">
        <v>0.0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ht="12.75" customHeight="1">
      <c r="A6749" s="4">
        <v>1808.0</v>
      </c>
      <c r="B6749" s="4">
        <v>12930.0</v>
      </c>
      <c r="C6749" s="5">
        <f>DATE(2012,12,31)-403</f>
        <v>40871</v>
      </c>
      <c r="D6749" s="4" t="s">
        <v>30</v>
      </c>
      <c r="E6749" s="4">
        <v>49.0</v>
      </c>
      <c r="F6749" s="4">
        <v>1147.64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</v>
      </c>
      <c r="U6749" s="5">
        <f t="shared" ref="U6749:U6754" si="2860">C6749+1</f>
        <v>40872</v>
      </c>
    </row>
    <row r="6750" ht="12.75" customHeight="1">
      <c r="A6750" s="4">
        <v>1812.0</v>
      </c>
      <c r="B6750" s="4">
        <v>12965.0</v>
      </c>
      <c r="C6750" s="5">
        <f t="shared" ref="C6750:C6751" si="2861">DATE(2012,12,31)-920</f>
        <v>40354</v>
      </c>
      <c r="D6750" s="4" t="s">
        <v>63</v>
      </c>
      <c r="E6750" s="4">
        <v>7.0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60"/>
        <v>40355</v>
      </c>
    </row>
    <row r="6751" ht="12.75" customHeight="1">
      <c r="A6751" s="4">
        <v>1813.0</v>
      </c>
      <c r="B6751" s="4">
        <v>12965.0</v>
      </c>
      <c r="C6751" s="5">
        <f t="shared" si="2861"/>
        <v>40354</v>
      </c>
      <c r="D6751" s="4" t="s">
        <v>63</v>
      </c>
      <c r="E6751" s="4">
        <v>21.0</v>
      </c>
      <c r="F6751" s="4">
        <v>90.78</v>
      </c>
      <c r="G6751" s="4">
        <v>0.06</v>
      </c>
      <c r="H6751" s="4" t="s">
        <v>22</v>
      </c>
      <c r="I6751" s="6">
        <v>-71.84049999999999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60"/>
        <v>40355</v>
      </c>
    </row>
    <row r="6752" ht="12.75" customHeight="1">
      <c r="A6752" s="4">
        <v>1822.0</v>
      </c>
      <c r="B6752" s="4">
        <v>13090.0</v>
      </c>
      <c r="C6752" s="5">
        <f>DATE(2012,12,31)-889</f>
        <v>40385</v>
      </c>
      <c r="D6752" s="4" t="s">
        <v>45</v>
      </c>
      <c r="E6752" s="4">
        <v>15.0</v>
      </c>
      <c r="F6752" s="4">
        <v>150.2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4.39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60"/>
        <v>40386</v>
      </c>
    </row>
    <row r="6753" ht="12.75" customHeight="1">
      <c r="A6753" s="4">
        <v>1836.0</v>
      </c>
      <c r="B6753" s="4">
        <v>13157.0</v>
      </c>
      <c r="C6753" s="5">
        <f>DATE(2012,12,31)-324</f>
        <v>40950</v>
      </c>
      <c r="D6753" s="4" t="s">
        <v>63</v>
      </c>
      <c r="E6753" s="4">
        <v>2.0</v>
      </c>
      <c r="F6753" s="4">
        <v>38.93</v>
      </c>
      <c r="G6753" s="4">
        <v>0.07</v>
      </c>
      <c r="H6753" s="4" t="s">
        <v>22</v>
      </c>
      <c r="I6753" s="6">
        <v>-102.432</v>
      </c>
      <c r="J6753" s="4">
        <v>20.99</v>
      </c>
      <c r="K6753" s="4">
        <v>4.81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0.58</v>
      </c>
      <c r="U6753" s="5">
        <f t="shared" si="2860"/>
        <v>40951</v>
      </c>
    </row>
    <row r="6754" ht="12.75" customHeight="1">
      <c r="A6754" s="4">
        <v>1838.0</v>
      </c>
      <c r="B6754" s="4">
        <v>13218.0</v>
      </c>
      <c r="C6754" s="5">
        <f t="shared" ref="C6754:C6755" si="2862">DATE(2012,12,31)-1325</f>
        <v>39949</v>
      </c>
      <c r="D6754" s="4" t="s">
        <v>30</v>
      </c>
      <c r="E6754" s="4">
        <v>18.0</v>
      </c>
      <c r="F6754" s="4">
        <v>513.08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60"/>
        <v>39950</v>
      </c>
    </row>
    <row r="6755" ht="12.75" customHeight="1">
      <c r="A6755" s="4">
        <v>1839.0</v>
      </c>
      <c r="B6755" s="4">
        <v>13218.0</v>
      </c>
      <c r="C6755" s="5">
        <f t="shared" si="2862"/>
        <v>39949</v>
      </c>
      <c r="D6755" s="4" t="s">
        <v>30</v>
      </c>
      <c r="E6755" s="4">
        <v>16.0</v>
      </c>
      <c r="F6755" s="4">
        <v>98.8</v>
      </c>
      <c r="G6755" s="4">
        <v>0.07</v>
      </c>
      <c r="H6755" s="4" t="s">
        <v>22</v>
      </c>
      <c r="I6755" s="6">
        <v>-62.0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3">C6755+2</f>
        <v>39951</v>
      </c>
    </row>
    <row r="6756" ht="12.75" customHeight="1">
      <c r="A6756" s="4">
        <v>1852.0</v>
      </c>
      <c r="B6756" s="4">
        <v>13314.0</v>
      </c>
      <c r="C6756" s="5">
        <f>DATE(2012,12,31)-1328</f>
        <v>39946</v>
      </c>
      <c r="D6756" s="4" t="s">
        <v>30</v>
      </c>
      <c r="E6756" s="4">
        <v>34.0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3"/>
        <v>39948</v>
      </c>
    </row>
    <row r="6757" ht="12.75" customHeight="1">
      <c r="A6757" s="4">
        <v>1877.0</v>
      </c>
      <c r="B6757" s="4">
        <v>13536.0</v>
      </c>
      <c r="C6757" s="5">
        <f>DATE(2012,12,31)-1231</f>
        <v>40043</v>
      </c>
      <c r="D6757" s="4" t="s">
        <v>63</v>
      </c>
      <c r="E6757" s="4">
        <v>23.0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3"/>
        <v>40045</v>
      </c>
    </row>
    <row r="6758" ht="12.75" customHeight="1">
      <c r="A6758" s="4">
        <v>1887.0</v>
      </c>
      <c r="B6758" s="4">
        <v>13569.0</v>
      </c>
      <c r="C6758" s="5">
        <f t="shared" ref="C6758:C6759" si="2864">DATE(2012,12,31)-631</f>
        <v>40643</v>
      </c>
      <c r="D6758" s="4" t="s">
        <v>78</v>
      </c>
      <c r="E6758" s="4">
        <v>13.0</v>
      </c>
      <c r="F6758" s="4">
        <v>563.18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3"/>
        <v>40645</v>
      </c>
    </row>
    <row r="6759" ht="12.75" customHeight="1">
      <c r="A6759" s="4">
        <v>1888.0</v>
      </c>
      <c r="B6759" s="4">
        <v>13569.0</v>
      </c>
      <c r="C6759" s="5">
        <f t="shared" si="2864"/>
        <v>40643</v>
      </c>
      <c r="D6759" s="4" t="s">
        <v>78</v>
      </c>
      <c r="E6759" s="4">
        <v>16.0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5">C6759+1</f>
        <v>40644</v>
      </c>
    </row>
    <row r="6760" ht="12.75" customHeight="1">
      <c r="A6760" s="4">
        <v>1889.0</v>
      </c>
      <c r="B6760" s="4">
        <v>13570.0</v>
      </c>
      <c r="C6760" s="5">
        <f t="shared" ref="C6760:C6761" si="2866">DATE(2012,12,31)-29</f>
        <v>41245</v>
      </c>
      <c r="D6760" s="4" t="s">
        <v>45</v>
      </c>
      <c r="E6760" s="4">
        <v>2.0</v>
      </c>
      <c r="F6760" s="4">
        <v>16.97</v>
      </c>
      <c r="G6760" s="4">
        <v>0.04</v>
      </c>
      <c r="H6760" s="4" t="s">
        <v>22</v>
      </c>
      <c r="I6760" s="6">
        <v>-8.8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5"/>
        <v>41246</v>
      </c>
    </row>
    <row r="6761" ht="12.75" customHeight="1">
      <c r="A6761" s="4">
        <v>1890.0</v>
      </c>
      <c r="B6761" s="4">
        <v>13570.0</v>
      </c>
      <c r="C6761" s="5">
        <f t="shared" si="2866"/>
        <v>41245</v>
      </c>
      <c r="D6761" s="4" t="s">
        <v>45</v>
      </c>
      <c r="E6761" s="4">
        <v>42.0</v>
      </c>
      <c r="F6761" s="4">
        <v>4077.7559999999994</v>
      </c>
      <c r="G6761" s="4">
        <v>0.04</v>
      </c>
      <c r="H6761" s="4" t="s">
        <v>22</v>
      </c>
      <c r="I6761" s="6">
        <v>1086.957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0.57</v>
      </c>
      <c r="U6761" s="5">
        <f>C6761+0</f>
        <v>41245</v>
      </c>
    </row>
    <row r="6762" ht="12.75" customHeight="1">
      <c r="A6762" s="4">
        <v>1894.0</v>
      </c>
      <c r="B6762" s="4">
        <v>13602.0</v>
      </c>
      <c r="C6762" s="5">
        <f t="shared" ref="C6762:C6763" si="2867">DATE(2012,12,31)-1448</f>
        <v>39826</v>
      </c>
      <c r="D6762" s="4" t="s">
        <v>21</v>
      </c>
      <c r="E6762" s="4">
        <v>3.0</v>
      </c>
      <c r="F6762" s="4">
        <v>445.34</v>
      </c>
      <c r="G6762" s="4">
        <v>0.03</v>
      </c>
      <c r="H6762" s="4" t="s">
        <v>31</v>
      </c>
      <c r="I6762" s="6">
        <v>-377.9019</v>
      </c>
      <c r="J6762" s="4">
        <v>145.45</v>
      </c>
      <c r="K6762" s="4">
        <v>17.85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</v>
      </c>
      <c r="U6762" s="5">
        <f>C6762+5</f>
        <v>39831</v>
      </c>
    </row>
    <row r="6763" ht="12.75" customHeight="1">
      <c r="A6763" s="4">
        <v>1895.0</v>
      </c>
      <c r="B6763" s="4">
        <v>13602.0</v>
      </c>
      <c r="C6763" s="5">
        <f t="shared" si="2867"/>
        <v>39826</v>
      </c>
      <c r="D6763" s="4" t="s">
        <v>21</v>
      </c>
      <c r="E6763" s="4">
        <v>13.0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ht="12.75" customHeight="1">
      <c r="A6764" s="4">
        <v>1911.0</v>
      </c>
      <c r="B6764" s="4">
        <v>13668.0</v>
      </c>
      <c r="C6764" s="5">
        <f>DATE(2012,12,31)-311</f>
        <v>40963</v>
      </c>
      <c r="D6764" s="4" t="s">
        <v>78</v>
      </c>
      <c r="E6764" s="4">
        <v>42.0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8">C6764+2</f>
        <v>40965</v>
      </c>
    </row>
    <row r="6765" ht="12.75" customHeight="1">
      <c r="A6765" s="4">
        <v>1943.0</v>
      </c>
      <c r="B6765" s="4">
        <v>13923.0</v>
      </c>
      <c r="C6765" s="5">
        <f>DATE(2012,12,31)-176</f>
        <v>41098</v>
      </c>
      <c r="D6765" s="4" t="s">
        <v>30</v>
      </c>
      <c r="E6765" s="4">
        <v>28.0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8"/>
        <v>41100</v>
      </c>
    </row>
    <row r="6766" ht="12.75" customHeight="1">
      <c r="A6766" s="4">
        <v>1949.0</v>
      </c>
      <c r="B6766" s="4">
        <v>13958.0</v>
      </c>
      <c r="C6766" s="5">
        <f>DATE(2012,12,31)-1073</f>
        <v>40201</v>
      </c>
      <c r="D6766" s="4" t="s">
        <v>21</v>
      </c>
      <c r="E6766" s="4">
        <v>11.0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</v>
      </c>
      <c r="U6766" s="5">
        <f>C6766+9</f>
        <v>40210</v>
      </c>
    </row>
    <row r="6767" ht="12.75" customHeight="1">
      <c r="A6767" s="4">
        <v>1957.0</v>
      </c>
      <c r="B6767" s="4">
        <v>13991.0</v>
      </c>
      <c r="C6767" s="5">
        <f t="shared" ref="C6767:C6768" si="2869">DATE(2012,12,31)-300</f>
        <v>40974</v>
      </c>
      <c r="D6767" s="4" t="s">
        <v>30</v>
      </c>
      <c r="E6767" s="4">
        <v>24.0</v>
      </c>
      <c r="F6767" s="4">
        <v>170.7</v>
      </c>
      <c r="G6767" s="4">
        <v>0.0</v>
      </c>
      <c r="H6767" s="4" t="s">
        <v>22</v>
      </c>
      <c r="I6767" s="6">
        <v>-37.88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ht="12.75" customHeight="1">
      <c r="A6768" s="4">
        <v>1958.0</v>
      </c>
      <c r="B6768" s="4">
        <v>13991.0</v>
      </c>
      <c r="C6768" s="5">
        <f t="shared" si="2869"/>
        <v>40974</v>
      </c>
      <c r="D6768" s="4" t="s">
        <v>30</v>
      </c>
      <c r="E6768" s="4">
        <v>21.0</v>
      </c>
      <c r="F6768" s="4">
        <v>1839.448</v>
      </c>
      <c r="G6768" s="4">
        <v>0.07</v>
      </c>
      <c r="H6768" s="4" t="s">
        <v>22</v>
      </c>
      <c r="I6768" s="6">
        <v>-742.88</v>
      </c>
      <c r="J6768" s="4">
        <v>111.96</v>
      </c>
      <c r="K6768" s="4">
        <v>69.0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ht="12.75" customHeight="1">
      <c r="A6769" s="4">
        <v>1964.0</v>
      </c>
      <c r="B6769" s="4">
        <v>14048.0</v>
      </c>
      <c r="C6769" s="5">
        <f t="shared" ref="C6769:C6771" si="2870">DATE(2012,12,31)-959</f>
        <v>40315</v>
      </c>
      <c r="D6769" s="4" t="s">
        <v>45</v>
      </c>
      <c r="E6769" s="4">
        <v>47.0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ht="12.75" customHeight="1">
      <c r="A6770" s="4">
        <v>1965.0</v>
      </c>
      <c r="B6770" s="4">
        <v>14048.0</v>
      </c>
      <c r="C6770" s="5">
        <f t="shared" si="2870"/>
        <v>40315</v>
      </c>
      <c r="D6770" s="4" t="s">
        <v>45</v>
      </c>
      <c r="E6770" s="4">
        <v>5.0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35.0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1">C6770+2</f>
        <v>40317</v>
      </c>
    </row>
    <row r="6771" ht="12.75" customHeight="1">
      <c r="A6771" s="4">
        <v>1966.0</v>
      </c>
      <c r="B6771" s="4">
        <v>14048.0</v>
      </c>
      <c r="C6771" s="5">
        <f t="shared" si="2870"/>
        <v>40315</v>
      </c>
      <c r="D6771" s="4" t="s">
        <v>45</v>
      </c>
      <c r="E6771" s="4">
        <v>40.0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1"/>
        <v>40317</v>
      </c>
    </row>
    <row r="6772" ht="12.75" customHeight="1">
      <c r="A6772" s="4">
        <v>2007.0</v>
      </c>
      <c r="B6772" s="4">
        <v>14311.0</v>
      </c>
      <c r="C6772" s="5">
        <f>DATE(2012,12,31)-1248</f>
        <v>40026</v>
      </c>
      <c r="D6772" s="4" t="s">
        <v>78</v>
      </c>
      <c r="E6772" s="4">
        <v>30.0</v>
      </c>
      <c r="F6772" s="4">
        <v>192.41</v>
      </c>
      <c r="G6772" s="4">
        <v>0.03</v>
      </c>
      <c r="H6772" s="4" t="s">
        <v>22</v>
      </c>
      <c r="I6772" s="6">
        <v>-55.9475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ht="12.75" customHeight="1">
      <c r="A6773" s="4">
        <v>2024.0</v>
      </c>
      <c r="B6773" s="4">
        <v>14434.0</v>
      </c>
      <c r="C6773" s="5">
        <f>DATE(2012,12,31)-685</f>
        <v>40589</v>
      </c>
      <c r="D6773" s="4" t="s">
        <v>45</v>
      </c>
      <c r="E6773" s="4">
        <v>39.0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ht="12.75" customHeight="1">
      <c r="A6774" s="4">
        <v>2050.0</v>
      </c>
      <c r="B6774" s="4">
        <v>14630.0</v>
      </c>
      <c r="C6774" s="5">
        <f>DATE(2012,12,31)-76</f>
        <v>41198</v>
      </c>
      <c r="D6774" s="4" t="s">
        <v>21</v>
      </c>
      <c r="E6774" s="4">
        <v>17.0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ht="12.75" customHeight="1">
      <c r="A6775" s="4">
        <v>2075.0</v>
      </c>
      <c r="B6775" s="4">
        <v>14851.0</v>
      </c>
      <c r="C6775" s="5">
        <f t="shared" ref="C6775:C6776" si="2872">DATE(2012,12,31)-234</f>
        <v>41040</v>
      </c>
      <c r="D6775" s="4" t="s">
        <v>45</v>
      </c>
      <c r="E6775" s="4">
        <v>6.0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ht="12.75" customHeight="1">
      <c r="A6776" s="4">
        <v>2076.0</v>
      </c>
      <c r="B6776" s="4">
        <v>14851.0</v>
      </c>
      <c r="C6776" s="5">
        <f t="shared" si="2872"/>
        <v>41040</v>
      </c>
      <c r="D6776" s="4" t="s">
        <v>45</v>
      </c>
      <c r="E6776" s="4">
        <v>26.0</v>
      </c>
      <c r="F6776" s="4">
        <v>1443.266</v>
      </c>
      <c r="G6776" s="4">
        <v>0.08</v>
      </c>
      <c r="H6776" s="4" t="s">
        <v>22</v>
      </c>
      <c r="I6776" s="6">
        <v>156.114</v>
      </c>
      <c r="J6776" s="4">
        <v>65.99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</v>
      </c>
      <c r="U6776" s="5">
        <f>C6776+2</f>
        <v>41042</v>
      </c>
    </row>
    <row r="6777" ht="12.75" customHeight="1">
      <c r="A6777" s="4">
        <v>2088.0</v>
      </c>
      <c r="B6777" s="4">
        <v>14950.0</v>
      </c>
      <c r="C6777" s="5">
        <f>DATE(2012,12,31)-827</f>
        <v>40447</v>
      </c>
      <c r="D6777" s="4" t="s">
        <v>21</v>
      </c>
      <c r="E6777" s="4">
        <v>48.0</v>
      </c>
      <c r="F6777" s="4">
        <v>525.0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ht="12.75" customHeight="1">
      <c r="A6778" s="4">
        <v>2095.0</v>
      </c>
      <c r="B6778" s="4">
        <v>14981.0</v>
      </c>
      <c r="C6778" s="5">
        <f t="shared" ref="C6778:C6779" si="2873">DATE(2012,12,31)-797</f>
        <v>40477</v>
      </c>
      <c r="D6778" s="4" t="s">
        <v>63</v>
      </c>
      <c r="E6778" s="4">
        <v>8.0</v>
      </c>
      <c r="F6778" s="4">
        <v>279.77</v>
      </c>
      <c r="G6778" s="4">
        <v>0.07</v>
      </c>
      <c r="H6778" s="4" t="s">
        <v>22</v>
      </c>
      <c r="I6778" s="6">
        <v>-14.02</v>
      </c>
      <c r="J6778" s="4">
        <v>34.76</v>
      </c>
      <c r="K6778" s="4">
        <v>8.22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0.57</v>
      </c>
      <c r="U6778" s="5">
        <f>C6778+1</f>
        <v>40478</v>
      </c>
    </row>
    <row r="6779" ht="12.75" customHeight="1">
      <c r="A6779" s="4">
        <v>2096.0</v>
      </c>
      <c r="B6779" s="4">
        <v>14981.0</v>
      </c>
      <c r="C6779" s="5">
        <f t="shared" si="2873"/>
        <v>40477</v>
      </c>
      <c r="D6779" s="4" t="s">
        <v>63</v>
      </c>
      <c r="E6779" s="4">
        <v>8.0</v>
      </c>
      <c r="F6779" s="4">
        <v>154.21</v>
      </c>
      <c r="G6779" s="4">
        <v>0.03</v>
      </c>
      <c r="H6779" s="4" t="s">
        <v>31</v>
      </c>
      <c r="I6779" s="6">
        <v>-160.39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ht="12.75" customHeight="1">
      <c r="A6780" s="4">
        <v>2113.0</v>
      </c>
      <c r="B6780" s="4">
        <v>15105.0</v>
      </c>
      <c r="C6780" s="5">
        <f>DATE(2012,12,31)-1154</f>
        <v>40120</v>
      </c>
      <c r="D6780" s="4" t="s">
        <v>21</v>
      </c>
      <c r="E6780" s="4">
        <v>39.0</v>
      </c>
      <c r="F6780" s="4">
        <v>460.43</v>
      </c>
      <c r="G6780" s="4">
        <v>0.07</v>
      </c>
      <c r="H6780" s="4" t="s">
        <v>22</v>
      </c>
      <c r="I6780" s="6">
        <v>-76.18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0.57</v>
      </c>
      <c r="U6780" s="5">
        <f>C6780+7</f>
        <v>40127</v>
      </c>
    </row>
    <row r="6781" ht="12.75" customHeight="1">
      <c r="A6781" s="4">
        <v>2123.0</v>
      </c>
      <c r="B6781" s="4">
        <v>15111.0</v>
      </c>
      <c r="C6781" s="5">
        <f>DATE(2012,12,31)-1110</f>
        <v>40164</v>
      </c>
      <c r="D6781" s="4" t="s">
        <v>45</v>
      </c>
      <c r="E6781" s="4">
        <v>13.0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81.32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0.57</v>
      </c>
      <c r="U6781" s="5">
        <f t="shared" ref="U6781:U6782" si="2874">C6781+2</f>
        <v>40166</v>
      </c>
    </row>
    <row r="6782" ht="12.75" customHeight="1">
      <c r="A6782" s="4">
        <v>2128.0</v>
      </c>
      <c r="B6782" s="4">
        <v>15202.0</v>
      </c>
      <c r="C6782" s="5">
        <f>DATE(2012,12,31)-906</f>
        <v>40368</v>
      </c>
      <c r="D6782" s="4" t="s">
        <v>30</v>
      </c>
      <c r="E6782" s="4">
        <v>36.0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39.98</v>
      </c>
      <c r="K6782" s="4">
        <v>9.2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4"/>
        <v>40370</v>
      </c>
    </row>
    <row r="6783" ht="12.75" customHeight="1">
      <c r="A6783" s="4">
        <v>2131.0</v>
      </c>
      <c r="B6783" s="4">
        <v>15206.0</v>
      </c>
      <c r="C6783" s="5">
        <f>DATE(2012,12,31)-788</f>
        <v>40486</v>
      </c>
      <c r="D6783" s="4" t="s">
        <v>21</v>
      </c>
      <c r="E6783" s="4">
        <v>35.0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150.98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ht="12.75" customHeight="1">
      <c r="A6784" s="4">
        <v>2162.0</v>
      </c>
      <c r="B6784" s="4">
        <v>15616.0</v>
      </c>
      <c r="C6784" s="5">
        <f t="shared" ref="C6784:C6785" si="2875">DATE(2012,12,31)-283</f>
        <v>40991</v>
      </c>
      <c r="D6784" s="4" t="s">
        <v>78</v>
      </c>
      <c r="E6784" s="4">
        <v>12.0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ht="12.75" customHeight="1">
      <c r="A6785" s="4">
        <v>2163.0</v>
      </c>
      <c r="B6785" s="4">
        <v>15616.0</v>
      </c>
      <c r="C6785" s="5">
        <f t="shared" si="2875"/>
        <v>40991</v>
      </c>
      <c r="D6785" s="4" t="s">
        <v>78</v>
      </c>
      <c r="E6785" s="4">
        <v>34.0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0.57</v>
      </c>
      <c r="U6785" s="5">
        <f t="shared" ref="U6785:U6788" si="2876">C6785+2</f>
        <v>40993</v>
      </c>
    </row>
    <row r="6786" ht="12.75" customHeight="1">
      <c r="A6786" s="4">
        <v>2176.0</v>
      </c>
      <c r="B6786" s="4">
        <v>15654.0</v>
      </c>
      <c r="C6786" s="5">
        <f t="shared" ref="C6786:C6787" si="2877">DATE(2012,12,31)-1186</f>
        <v>40088</v>
      </c>
      <c r="D6786" s="4" t="s">
        <v>45</v>
      </c>
      <c r="E6786" s="4">
        <v>27.0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</v>
      </c>
      <c r="U6786" s="5">
        <f t="shared" si="2876"/>
        <v>40090</v>
      </c>
    </row>
    <row r="6787" ht="12.75" customHeight="1">
      <c r="A6787" s="4">
        <v>2177.0</v>
      </c>
      <c r="B6787" s="4">
        <v>15654.0</v>
      </c>
      <c r="C6787" s="5">
        <f t="shared" si="2877"/>
        <v>40088</v>
      </c>
      <c r="D6787" s="4" t="s">
        <v>45</v>
      </c>
      <c r="E6787" s="4">
        <v>4.0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0.57</v>
      </c>
      <c r="U6787" s="5">
        <f t="shared" si="2876"/>
        <v>40090</v>
      </c>
    </row>
    <row r="6788" ht="12.75" customHeight="1">
      <c r="A6788" s="4">
        <v>2228.0</v>
      </c>
      <c r="B6788" s="4">
        <v>16102.0</v>
      </c>
      <c r="C6788" s="5">
        <f>DATE(2012,12,31)-1114</f>
        <v>40160</v>
      </c>
      <c r="D6788" s="4" t="s">
        <v>45</v>
      </c>
      <c r="E6788" s="4">
        <v>25.0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26.0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6"/>
        <v>40162</v>
      </c>
    </row>
    <row r="6789" ht="12.75" customHeight="1">
      <c r="A6789" s="4">
        <v>2254.0</v>
      </c>
      <c r="B6789" s="4">
        <v>16229.0</v>
      </c>
      <c r="C6789" s="5">
        <f>DATE(2012,12,31)-1373</f>
        <v>39901</v>
      </c>
      <c r="D6789" s="4" t="s">
        <v>30</v>
      </c>
      <c r="E6789" s="4">
        <v>27.0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8">C6789+1</f>
        <v>39902</v>
      </c>
    </row>
    <row r="6790" ht="12.75" customHeight="1">
      <c r="A6790" s="4">
        <v>2274.0</v>
      </c>
      <c r="B6790" s="4">
        <v>16356.0</v>
      </c>
      <c r="C6790" s="5">
        <f>DATE(2012,12,31)-517</f>
        <v>40757</v>
      </c>
      <c r="D6790" s="4" t="s">
        <v>78</v>
      </c>
      <c r="E6790" s="4">
        <v>6.0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</v>
      </c>
      <c r="U6790" s="5">
        <f t="shared" si="2878"/>
        <v>40758</v>
      </c>
    </row>
    <row r="6791" ht="12.75" customHeight="1">
      <c r="A6791" s="4">
        <v>2287.0</v>
      </c>
      <c r="B6791" s="4">
        <v>16481.0</v>
      </c>
      <c r="C6791" s="5">
        <f t="shared" ref="C6791:C6792" si="2879">DATE(2012,12,31)-682</f>
        <v>40592</v>
      </c>
      <c r="D6791" s="4" t="s">
        <v>21</v>
      </c>
      <c r="E6791" s="4">
        <v>50.0</v>
      </c>
      <c r="F6791" s="4">
        <v>3089.06</v>
      </c>
      <c r="G6791" s="4">
        <v>0.0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</v>
      </c>
      <c r="U6791" s="5">
        <f t="shared" ref="U6791:U6792" si="2880">C6791+5</f>
        <v>40597</v>
      </c>
    </row>
    <row r="6792" ht="12.75" customHeight="1">
      <c r="A6792" s="4">
        <v>2288.0</v>
      </c>
      <c r="B6792" s="4">
        <v>16481.0</v>
      </c>
      <c r="C6792" s="5">
        <f t="shared" si="2879"/>
        <v>40592</v>
      </c>
      <c r="D6792" s="4" t="s">
        <v>21</v>
      </c>
      <c r="E6792" s="4">
        <v>47.0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</v>
      </c>
      <c r="U6792" s="5">
        <f t="shared" si="2880"/>
        <v>40597</v>
      </c>
    </row>
    <row r="6793" ht="12.75" customHeight="1">
      <c r="A6793" s="4">
        <v>2308.0</v>
      </c>
      <c r="B6793" s="4">
        <v>16641.0</v>
      </c>
      <c r="C6793" s="5">
        <f>DATE(2012,12,31)-966</f>
        <v>40308</v>
      </c>
      <c r="D6793" s="4" t="s">
        <v>30</v>
      </c>
      <c r="E6793" s="4">
        <v>33.0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ht="12.75" customHeight="1">
      <c r="A6794" s="4">
        <v>2309.0</v>
      </c>
      <c r="B6794" s="4">
        <v>16642.0</v>
      </c>
      <c r="C6794" s="5">
        <f>DATE(2012,12,31)-670</f>
        <v>40604</v>
      </c>
      <c r="D6794" s="4" t="s">
        <v>45</v>
      </c>
      <c r="E6794" s="4">
        <v>46.0</v>
      </c>
      <c r="F6794" s="4">
        <v>7640.224999999999</v>
      </c>
      <c r="G6794" s="4">
        <v>0.07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1">C6794+2</f>
        <v>40606</v>
      </c>
    </row>
    <row r="6795" ht="12.75" customHeight="1">
      <c r="A6795" s="4">
        <v>2319.0</v>
      </c>
      <c r="B6795" s="4">
        <v>16709.0</v>
      </c>
      <c r="C6795" s="5">
        <f>DATE(2012,12,31)-86</f>
        <v>41188</v>
      </c>
      <c r="D6795" s="4" t="s">
        <v>30</v>
      </c>
      <c r="E6795" s="4">
        <v>3.0</v>
      </c>
      <c r="F6795" s="4">
        <v>24.36</v>
      </c>
      <c r="G6795" s="4">
        <v>0.07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1"/>
        <v>41190</v>
      </c>
    </row>
    <row r="6796" ht="12.75" customHeight="1">
      <c r="A6796" s="4">
        <v>2354.0</v>
      </c>
      <c r="B6796" s="4">
        <v>16992.0</v>
      </c>
      <c r="C6796" s="5">
        <f>DATE(2012,12,31)-750</f>
        <v>40524</v>
      </c>
      <c r="D6796" s="4" t="s">
        <v>30</v>
      </c>
      <c r="E6796" s="4">
        <v>15.0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0.58</v>
      </c>
      <c r="U6796" s="5">
        <f>C6796+1</f>
        <v>40525</v>
      </c>
    </row>
    <row r="6797" ht="12.75" customHeight="1">
      <c r="A6797" s="4">
        <v>2356.0</v>
      </c>
      <c r="B6797" s="4">
        <v>16995.0</v>
      </c>
      <c r="C6797" s="5">
        <f>DATE(2012,12,31)-744</f>
        <v>40530</v>
      </c>
      <c r="D6797" s="4" t="s">
        <v>45</v>
      </c>
      <c r="E6797" s="4">
        <v>42.0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1.14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2">C6797+2</f>
        <v>40532</v>
      </c>
    </row>
    <row r="6798" ht="12.75" customHeight="1">
      <c r="A6798" s="4">
        <v>2365.0</v>
      </c>
      <c r="B6798" s="4">
        <v>17093.0</v>
      </c>
      <c r="C6798" s="5">
        <f>DATE(2012,12,31)-324</f>
        <v>40950</v>
      </c>
      <c r="D6798" s="4" t="s">
        <v>45</v>
      </c>
      <c r="E6798" s="4">
        <v>50.0</v>
      </c>
      <c r="F6798" s="4">
        <v>4550.06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0.58</v>
      </c>
      <c r="U6798" s="5">
        <f t="shared" si="2882"/>
        <v>40952</v>
      </c>
    </row>
    <row r="6799" ht="12.75" customHeight="1">
      <c r="A6799" s="4">
        <v>2414.0</v>
      </c>
      <c r="B6799" s="4">
        <v>17510.0</v>
      </c>
      <c r="C6799" s="5">
        <f>DATE(2012,12,31)-62</f>
        <v>41212</v>
      </c>
      <c r="D6799" s="4" t="s">
        <v>78</v>
      </c>
      <c r="E6799" s="4">
        <v>28.0</v>
      </c>
      <c r="F6799" s="4">
        <v>462.12</v>
      </c>
      <c r="G6799" s="4">
        <v>0.0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ht="12.75" customHeight="1">
      <c r="A6800" s="4">
        <v>2417.0</v>
      </c>
      <c r="B6800" s="4">
        <v>17542.0</v>
      </c>
      <c r="C6800" s="5">
        <f>DATE(2012,12,31)-853</f>
        <v>40421</v>
      </c>
      <c r="D6800" s="4" t="s">
        <v>21</v>
      </c>
      <c r="E6800" s="4">
        <v>37.0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ht="12.75" customHeight="1">
      <c r="A6801" s="4">
        <v>2421.0</v>
      </c>
      <c r="B6801" s="4">
        <v>17568.0</v>
      </c>
      <c r="C6801" s="5">
        <f>DATE(2012,12,31)-815</f>
        <v>40459</v>
      </c>
      <c r="D6801" s="4" t="s">
        <v>45</v>
      </c>
      <c r="E6801" s="4">
        <v>31.0</v>
      </c>
      <c r="F6801" s="4">
        <v>512.87</v>
      </c>
      <c r="G6801" s="4">
        <v>0.0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3">C6801+1</f>
        <v>40460</v>
      </c>
    </row>
    <row r="6802" ht="12.75" customHeight="1">
      <c r="A6802" s="4">
        <v>2422.0</v>
      </c>
      <c r="B6802" s="4">
        <v>17571.0</v>
      </c>
      <c r="C6802" s="5">
        <f t="shared" ref="C6802:C6803" si="2884">DATE(2012,12,31)-291</f>
        <v>40983</v>
      </c>
      <c r="D6802" s="4" t="s">
        <v>45</v>
      </c>
      <c r="E6802" s="4">
        <v>32.0</v>
      </c>
      <c r="F6802" s="4">
        <v>102.59</v>
      </c>
      <c r="G6802" s="4">
        <v>0.01</v>
      </c>
      <c r="H6802" s="4" t="s">
        <v>22</v>
      </c>
      <c r="I6802" s="6">
        <v>8.88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3"/>
        <v>40984</v>
      </c>
    </row>
    <row r="6803" ht="12.75" customHeight="1">
      <c r="A6803" s="4">
        <v>2423.0</v>
      </c>
      <c r="B6803" s="4">
        <v>17571.0</v>
      </c>
      <c r="C6803" s="5">
        <f t="shared" si="2884"/>
        <v>40983</v>
      </c>
      <c r="D6803" s="4" t="s">
        <v>45</v>
      </c>
      <c r="E6803" s="4">
        <v>50.0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32.98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ht="12.75" customHeight="1">
      <c r="A6804" s="4">
        <v>2428.0</v>
      </c>
      <c r="B6804" s="4">
        <v>17636.0</v>
      </c>
      <c r="C6804" s="5">
        <f>DATE(2012,12,31)-1426</f>
        <v>39848</v>
      </c>
      <c r="D6804" s="4" t="s">
        <v>21</v>
      </c>
      <c r="E6804" s="4">
        <v>2.0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0.58</v>
      </c>
      <c r="U6804" s="5">
        <f>C6804+4</f>
        <v>39852</v>
      </c>
    </row>
    <row r="6805" ht="12.75" customHeight="1">
      <c r="A6805" s="4">
        <v>2434.0</v>
      </c>
      <c r="B6805" s="4">
        <v>17669.0</v>
      </c>
      <c r="C6805" s="5">
        <f>DATE(2012,12,31)-1342</f>
        <v>39932</v>
      </c>
      <c r="D6805" s="4" t="s">
        <v>30</v>
      </c>
      <c r="E6805" s="4">
        <v>32.0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5">C6805+1</f>
        <v>39933</v>
      </c>
    </row>
    <row r="6806" ht="12.75" customHeight="1">
      <c r="A6806" s="4">
        <v>2439.0</v>
      </c>
      <c r="B6806" s="4">
        <v>17700.0</v>
      </c>
      <c r="C6806" s="5">
        <f>DATE(2012,12,31)-65</f>
        <v>41209</v>
      </c>
      <c r="D6806" s="4" t="s">
        <v>78</v>
      </c>
      <c r="E6806" s="4">
        <v>20.0</v>
      </c>
      <c r="F6806" s="4">
        <v>2305.75</v>
      </c>
      <c r="G6806" s="4">
        <v>0.03</v>
      </c>
      <c r="H6806" s="4" t="s">
        <v>22</v>
      </c>
      <c r="I6806" s="6">
        <v>-530.68</v>
      </c>
      <c r="J6806" s="4">
        <v>113.64</v>
      </c>
      <c r="K6806" s="4">
        <v>35.0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5"/>
        <v>41210</v>
      </c>
    </row>
    <row r="6807" ht="12.75" customHeight="1">
      <c r="A6807" s="4">
        <v>2440.0</v>
      </c>
      <c r="B6807" s="4">
        <v>17701.0</v>
      </c>
      <c r="C6807" s="5">
        <f>DATE(2012,12,31)-224</f>
        <v>41050</v>
      </c>
      <c r="D6807" s="4" t="s">
        <v>78</v>
      </c>
      <c r="E6807" s="4">
        <v>21.0</v>
      </c>
      <c r="F6807" s="4">
        <v>80.45</v>
      </c>
      <c r="G6807" s="4">
        <v>0.09</v>
      </c>
      <c r="H6807" s="4" t="s">
        <v>22</v>
      </c>
      <c r="I6807" s="6">
        <v>-60.9615</v>
      </c>
      <c r="J6807" s="4">
        <v>3.74</v>
      </c>
      <c r="K6807" s="4">
        <v>4.69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5"/>
        <v>41051</v>
      </c>
    </row>
    <row r="6808" ht="12.75" customHeight="1">
      <c r="A6808" s="4">
        <v>2450.0</v>
      </c>
      <c r="B6808" s="4">
        <v>17799.0</v>
      </c>
      <c r="C6808" s="5">
        <f>DATE(2012,12,31)-102</f>
        <v>41172</v>
      </c>
      <c r="D6808" s="4" t="s">
        <v>63</v>
      </c>
      <c r="E6808" s="4">
        <v>8.0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ht="12.75" customHeight="1">
      <c r="A6809" s="4">
        <v>2515.0</v>
      </c>
      <c r="B6809" s="4">
        <v>18275.0</v>
      </c>
      <c r="C6809" s="5">
        <f>DATE(2012,12,31)-356</f>
        <v>40918</v>
      </c>
      <c r="D6809" s="4" t="s">
        <v>21</v>
      </c>
      <c r="E6809" s="4">
        <v>25.0</v>
      </c>
      <c r="F6809" s="4">
        <v>322.73</v>
      </c>
      <c r="G6809" s="4">
        <v>0.07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ht="12.75" customHeight="1">
      <c r="A6810" s="4">
        <v>2523.0</v>
      </c>
      <c r="B6810" s="4">
        <v>18336.0</v>
      </c>
      <c r="C6810" s="5">
        <f>DATE(2012,12,31)-1347</f>
        <v>39927</v>
      </c>
      <c r="D6810" s="4" t="s">
        <v>45</v>
      </c>
      <c r="E6810" s="4">
        <v>1.0</v>
      </c>
      <c r="F6810" s="4">
        <v>7.96</v>
      </c>
      <c r="G6810" s="4">
        <v>0.0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</v>
      </c>
      <c r="U6810" s="5">
        <f>C6810+0</f>
        <v>39927</v>
      </c>
    </row>
    <row r="6811" ht="12.75" customHeight="1">
      <c r="A6811" s="4">
        <v>2536.0</v>
      </c>
      <c r="B6811" s="4">
        <v>18402.0</v>
      </c>
      <c r="C6811" s="5">
        <f t="shared" ref="C6811:C6812" si="2886">DATE(2012,12,31)-1220</f>
        <v>40054</v>
      </c>
      <c r="D6811" s="4" t="s">
        <v>21</v>
      </c>
      <c r="E6811" s="4">
        <v>5.0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ht="12.75" customHeight="1">
      <c r="A6812" s="4">
        <v>2537.0</v>
      </c>
      <c r="B6812" s="4">
        <v>18402.0</v>
      </c>
      <c r="C6812" s="5">
        <f t="shared" si="2886"/>
        <v>40054</v>
      </c>
      <c r="D6812" s="4" t="s">
        <v>21</v>
      </c>
      <c r="E6812" s="4">
        <v>3.0</v>
      </c>
      <c r="F6812" s="4">
        <v>56.07</v>
      </c>
      <c r="G6812" s="4">
        <v>0.0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ht="12.75" customHeight="1">
      <c r="A6813" s="4">
        <v>2549.0</v>
      </c>
      <c r="B6813" s="4">
        <v>18466.0</v>
      </c>
      <c r="C6813" s="5">
        <f t="shared" ref="C6813:C6814" si="2887">DATE(2012,12,31)-224</f>
        <v>41050</v>
      </c>
      <c r="D6813" s="4" t="s">
        <v>21</v>
      </c>
      <c r="E6813" s="4">
        <v>25.0</v>
      </c>
      <c r="F6813" s="4">
        <v>270.16</v>
      </c>
      <c r="G6813" s="4">
        <v>0.09</v>
      </c>
      <c r="H6813" s="4" t="s">
        <v>22</v>
      </c>
      <c r="I6813" s="6">
        <v>16.92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ht="12.75" customHeight="1">
      <c r="A6814" s="4">
        <v>2550.0</v>
      </c>
      <c r="B6814" s="4">
        <v>18466.0</v>
      </c>
      <c r="C6814" s="5">
        <f t="shared" si="2887"/>
        <v>41050</v>
      </c>
      <c r="D6814" s="4" t="s">
        <v>21</v>
      </c>
      <c r="E6814" s="4">
        <v>24.0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8">C6814+0</f>
        <v>41050</v>
      </c>
    </row>
    <row r="6815" ht="12.75" customHeight="1">
      <c r="A6815" s="4">
        <v>2563.0</v>
      </c>
      <c r="B6815" s="4">
        <v>18530.0</v>
      </c>
      <c r="C6815" s="5">
        <f t="shared" ref="C6815:C6816" si="2889">DATE(2012,12,31)-731</f>
        <v>40543</v>
      </c>
      <c r="D6815" s="4" t="s">
        <v>45</v>
      </c>
      <c r="E6815" s="4">
        <v>2.0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8"/>
        <v>40543</v>
      </c>
    </row>
    <row r="6816" ht="12.75" customHeight="1">
      <c r="A6816" s="4">
        <v>2564.0</v>
      </c>
      <c r="B6816" s="4">
        <v>18530.0</v>
      </c>
      <c r="C6816" s="5">
        <f t="shared" si="2889"/>
        <v>40543</v>
      </c>
      <c r="D6816" s="4" t="s">
        <v>45</v>
      </c>
      <c r="E6816" s="4">
        <v>25.0</v>
      </c>
      <c r="F6816" s="4">
        <v>1491.5205</v>
      </c>
      <c r="G6816" s="4">
        <v>0.0</v>
      </c>
      <c r="H6816" s="4" t="s">
        <v>22</v>
      </c>
      <c r="I6816" s="6">
        <v>286.362</v>
      </c>
      <c r="J6816" s="4">
        <v>65.99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0.58</v>
      </c>
      <c r="U6816" s="5">
        <f t="shared" ref="U6816:U6818" si="2890">C6816+2</f>
        <v>40545</v>
      </c>
    </row>
    <row r="6817" ht="12.75" customHeight="1">
      <c r="A6817" s="4">
        <v>2602.0</v>
      </c>
      <c r="B6817" s="4">
        <v>18790.0</v>
      </c>
      <c r="C6817" s="5">
        <f>DATE(2012,12,31)-1419</f>
        <v>39855</v>
      </c>
      <c r="D6817" s="4" t="s">
        <v>30</v>
      </c>
      <c r="E6817" s="4">
        <v>7.0</v>
      </c>
      <c r="F6817" s="4">
        <v>13253.93</v>
      </c>
      <c r="G6817" s="4">
        <v>0.01</v>
      </c>
      <c r="H6817" s="4" t="s">
        <v>31</v>
      </c>
      <c r="I6817" s="6">
        <v>-1596.7458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</v>
      </c>
      <c r="U6817" s="5">
        <f t="shared" si="2890"/>
        <v>39857</v>
      </c>
    </row>
    <row r="6818" ht="12.75" customHeight="1">
      <c r="A6818" s="4">
        <v>2604.0</v>
      </c>
      <c r="B6818" s="4">
        <v>18819.0</v>
      </c>
      <c r="C6818" s="5">
        <f>DATE(2012,12,31)-1405</f>
        <v>39869</v>
      </c>
      <c r="D6818" s="4" t="s">
        <v>21</v>
      </c>
      <c r="E6818" s="4">
        <v>22.0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</v>
      </c>
      <c r="U6818" s="5">
        <f t="shared" si="2890"/>
        <v>39871</v>
      </c>
    </row>
    <row r="6819" ht="12.75" customHeight="1">
      <c r="A6819" s="4">
        <v>2607.0</v>
      </c>
      <c r="B6819" s="4">
        <v>18849.0</v>
      </c>
      <c r="C6819" s="5">
        <f t="shared" ref="C6819:C6820" si="2891">DATE(2012,12,31)-148</f>
        <v>41126</v>
      </c>
      <c r="D6819" s="4" t="s">
        <v>30</v>
      </c>
      <c r="E6819" s="4">
        <v>43.0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ht="12.75" customHeight="1">
      <c r="A6820" s="4">
        <v>2608.0</v>
      </c>
      <c r="B6820" s="4">
        <v>18849.0</v>
      </c>
      <c r="C6820" s="5">
        <f t="shared" si="2891"/>
        <v>41126</v>
      </c>
      <c r="D6820" s="4" t="s">
        <v>30</v>
      </c>
      <c r="E6820" s="4">
        <v>39.0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8.78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ht="12.75" customHeight="1">
      <c r="A6821" s="4">
        <v>2612.0</v>
      </c>
      <c r="B6821" s="4">
        <v>18855.0</v>
      </c>
      <c r="C6821" s="5">
        <f>DATE(2012,12,31)-1203</f>
        <v>40071</v>
      </c>
      <c r="D6821" s="4" t="s">
        <v>30</v>
      </c>
      <c r="E6821" s="4">
        <v>31.0</v>
      </c>
      <c r="F6821" s="4">
        <v>229.43</v>
      </c>
      <c r="G6821" s="4">
        <v>0.03</v>
      </c>
      <c r="H6821" s="4" t="s">
        <v>22</v>
      </c>
      <c r="I6821" s="6">
        <v>-127.052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ht="12.75" customHeight="1">
      <c r="A6822" s="4">
        <v>2625.0</v>
      </c>
      <c r="B6822" s="4">
        <v>19040.0</v>
      </c>
      <c r="C6822" s="5">
        <f>DATE(2012,12,31)-378</f>
        <v>40896</v>
      </c>
      <c r="D6822" s="4" t="s">
        <v>30</v>
      </c>
      <c r="E6822" s="4">
        <v>10.0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ht="12.75" customHeight="1">
      <c r="A6823" s="4">
        <v>2626.0</v>
      </c>
      <c r="B6823" s="4">
        <v>19041.0</v>
      </c>
      <c r="C6823" s="5">
        <f t="shared" ref="C6823:C6824" si="2892">DATE(2012,12,31)-524</f>
        <v>40750</v>
      </c>
      <c r="D6823" s="4" t="s">
        <v>21</v>
      </c>
      <c r="E6823" s="4">
        <v>3.0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ht="12.75" customHeight="1">
      <c r="A6824" s="4">
        <v>2627.0</v>
      </c>
      <c r="B6824" s="4">
        <v>19041.0</v>
      </c>
      <c r="C6824" s="5">
        <f t="shared" si="2892"/>
        <v>40750</v>
      </c>
      <c r="D6824" s="4" t="s">
        <v>21</v>
      </c>
      <c r="E6824" s="4">
        <v>43.0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</v>
      </c>
      <c r="U6824" s="5">
        <f>C6824+9</f>
        <v>40759</v>
      </c>
    </row>
    <row r="6825" ht="12.75" customHeight="1">
      <c r="A6825" s="4">
        <v>2631.0</v>
      </c>
      <c r="B6825" s="4">
        <v>19047.0</v>
      </c>
      <c r="C6825" s="5">
        <f t="shared" ref="C6825:C6826" si="2893">DATE(2012,12,31)-1433</f>
        <v>39841</v>
      </c>
      <c r="D6825" s="4" t="s">
        <v>30</v>
      </c>
      <c r="E6825" s="4">
        <v>1.0</v>
      </c>
      <c r="F6825" s="4">
        <v>67.49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ht="12.75" customHeight="1">
      <c r="A6826" s="4">
        <v>2632.0</v>
      </c>
      <c r="B6826" s="4">
        <v>19047.0</v>
      </c>
      <c r="C6826" s="5">
        <f t="shared" si="2893"/>
        <v>39841</v>
      </c>
      <c r="D6826" s="4" t="s">
        <v>30</v>
      </c>
      <c r="E6826" s="4">
        <v>3.0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ht="12.75" customHeight="1">
      <c r="A6827" s="4">
        <v>2647.0</v>
      </c>
      <c r="B6827" s="4">
        <v>19143.0</v>
      </c>
      <c r="C6827" s="5">
        <f>DATE(2012,12,31)-57</f>
        <v>41217</v>
      </c>
      <c r="D6827" s="4" t="s">
        <v>30</v>
      </c>
      <c r="E6827" s="4">
        <v>3.0</v>
      </c>
      <c r="F6827" s="4">
        <v>2421.02</v>
      </c>
      <c r="G6827" s="4">
        <v>0.07</v>
      </c>
      <c r="H6827" s="4" t="s">
        <v>31</v>
      </c>
      <c r="I6827" s="6">
        <v>-1943.1711000000003</v>
      </c>
      <c r="J6827" s="4">
        <v>810.98</v>
      </c>
      <c r="K6827" s="4">
        <v>16.06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</v>
      </c>
      <c r="U6827" s="5">
        <f>C6827+1</f>
        <v>41218</v>
      </c>
    </row>
    <row r="6828" ht="12.75" customHeight="1">
      <c r="A6828" s="4">
        <v>2665.0</v>
      </c>
      <c r="B6828" s="4">
        <v>19264.0</v>
      </c>
      <c r="C6828" s="5">
        <f t="shared" ref="C6828:C6829" si="2894">DATE(2012,12,31)-459</f>
        <v>40815</v>
      </c>
      <c r="D6828" s="4" t="s">
        <v>30</v>
      </c>
      <c r="E6828" s="4">
        <v>40.0</v>
      </c>
      <c r="F6828" s="4">
        <v>161.72</v>
      </c>
      <c r="G6828" s="4">
        <v>0.09</v>
      </c>
      <c r="H6828" s="4" t="s">
        <v>22</v>
      </c>
      <c r="I6828" s="6">
        <v>-134.711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ht="12.75" customHeight="1">
      <c r="A6829" s="4">
        <v>2666.0</v>
      </c>
      <c r="B6829" s="4">
        <v>19264.0</v>
      </c>
      <c r="C6829" s="5">
        <f t="shared" si="2894"/>
        <v>40815</v>
      </c>
      <c r="D6829" s="4" t="s">
        <v>30</v>
      </c>
      <c r="E6829" s="4">
        <v>23.0</v>
      </c>
      <c r="F6829" s="4">
        <v>107.75</v>
      </c>
      <c r="G6829" s="4">
        <v>0.07</v>
      </c>
      <c r="H6829" s="4" t="s">
        <v>22</v>
      </c>
      <c r="I6829" s="6">
        <v>24.17</v>
      </c>
      <c r="J6829" s="4">
        <v>4.73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ht="12.75" customHeight="1">
      <c r="A6830" s="4">
        <v>2667.0</v>
      </c>
      <c r="B6830" s="4">
        <v>19296.0</v>
      </c>
      <c r="C6830" s="5">
        <f>DATE(2012,12,31)-996</f>
        <v>40278</v>
      </c>
      <c r="D6830" s="4" t="s">
        <v>30</v>
      </c>
      <c r="E6830" s="4">
        <v>43.0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5">C6830+2</f>
        <v>40280</v>
      </c>
    </row>
    <row r="6831" ht="12.75" customHeight="1">
      <c r="A6831" s="4">
        <v>2668.0</v>
      </c>
      <c r="B6831" s="4">
        <v>19299.0</v>
      </c>
      <c r="C6831" s="5">
        <f>DATE(2012,12,31)-1384</f>
        <v>39890</v>
      </c>
      <c r="D6831" s="4" t="s">
        <v>45</v>
      </c>
      <c r="E6831" s="4">
        <v>10.0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5"/>
        <v>39892</v>
      </c>
    </row>
    <row r="6832" ht="12.75" customHeight="1">
      <c r="A6832" s="4">
        <v>2685.0</v>
      </c>
      <c r="B6832" s="4">
        <v>19429.0</v>
      </c>
      <c r="C6832" s="5">
        <f>DATE(2012,12,31)-1225</f>
        <v>40049</v>
      </c>
      <c r="D6832" s="4" t="s">
        <v>45</v>
      </c>
      <c r="E6832" s="4">
        <v>2.0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ht="12.75" customHeight="1">
      <c r="A6833" s="4">
        <v>2686.0</v>
      </c>
      <c r="B6833" s="4">
        <v>19430.0</v>
      </c>
      <c r="C6833" s="5">
        <f>DATE(2012,12,31)-779</f>
        <v>40495</v>
      </c>
      <c r="D6833" s="4" t="s">
        <v>78</v>
      </c>
      <c r="E6833" s="4">
        <v>39.0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35.0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ht="12.75" customHeight="1">
      <c r="A6834" s="4">
        <v>2700.0</v>
      </c>
      <c r="B6834" s="4">
        <v>19524.0</v>
      </c>
      <c r="C6834" s="5">
        <f>DATE(2012,12,31)-1082</f>
        <v>40192</v>
      </c>
      <c r="D6834" s="4" t="s">
        <v>78</v>
      </c>
      <c r="E6834" s="4">
        <v>9.0</v>
      </c>
      <c r="F6834" s="4">
        <v>92.02</v>
      </c>
      <c r="G6834" s="4">
        <v>0.07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ht="12.75" customHeight="1">
      <c r="A6835" s="4">
        <v>2703.0</v>
      </c>
      <c r="B6835" s="4">
        <v>19556.0</v>
      </c>
      <c r="C6835" s="5">
        <f t="shared" ref="C6835:C6837" si="2896">DATE(2012,12,31)-732</f>
        <v>40542</v>
      </c>
      <c r="D6835" s="4" t="s">
        <v>45</v>
      </c>
      <c r="E6835" s="4">
        <v>45.0</v>
      </c>
      <c r="F6835" s="4">
        <v>5785.59</v>
      </c>
      <c r="G6835" s="4">
        <v>0.07</v>
      </c>
      <c r="H6835" s="4" t="s">
        <v>31</v>
      </c>
      <c r="I6835" s="6">
        <v>-423.77</v>
      </c>
      <c r="J6835" s="4">
        <v>130.98</v>
      </c>
      <c r="K6835" s="4">
        <v>30.0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ht="12.75" customHeight="1">
      <c r="A6836" s="4">
        <v>2704.0</v>
      </c>
      <c r="B6836" s="4">
        <v>19556.0</v>
      </c>
      <c r="C6836" s="5">
        <f t="shared" si="2896"/>
        <v>40542</v>
      </c>
      <c r="D6836" s="4" t="s">
        <v>45</v>
      </c>
      <c r="E6836" s="4">
        <v>22.0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ht="12.75" customHeight="1">
      <c r="A6837" s="4">
        <v>2705.0</v>
      </c>
      <c r="B6837" s="4">
        <v>19556.0</v>
      </c>
      <c r="C6837" s="5">
        <f t="shared" si="2896"/>
        <v>40542</v>
      </c>
      <c r="D6837" s="4" t="s">
        <v>45</v>
      </c>
      <c r="E6837" s="4">
        <v>35.0</v>
      </c>
      <c r="F6837" s="4">
        <v>3238.143</v>
      </c>
      <c r="G6837" s="4">
        <v>0.08</v>
      </c>
      <c r="H6837" s="4" t="s">
        <v>22</v>
      </c>
      <c r="I6837" s="6">
        <v>727.362</v>
      </c>
      <c r="J6837" s="4">
        <v>115.99</v>
      </c>
      <c r="K6837" s="4">
        <v>4.23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</v>
      </c>
      <c r="U6837" s="5">
        <f>C6837+28</f>
        <v>40570</v>
      </c>
    </row>
    <row r="6838" ht="12.75" customHeight="1">
      <c r="A6838" s="4">
        <v>2746.0</v>
      </c>
      <c r="B6838" s="4">
        <v>19815.0</v>
      </c>
      <c r="C6838" s="5">
        <f>DATE(2012,12,31)-1012</f>
        <v>40262</v>
      </c>
      <c r="D6838" s="4" t="s">
        <v>45</v>
      </c>
      <c r="E6838" s="4">
        <v>33.0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ht="12.75" customHeight="1">
      <c r="A6839" s="4">
        <v>2783.0</v>
      </c>
      <c r="B6839" s="4">
        <v>20096.0</v>
      </c>
      <c r="C6839" s="5">
        <f>DATE(2012,12,31)-134</f>
        <v>41140</v>
      </c>
      <c r="D6839" s="4" t="s">
        <v>21</v>
      </c>
      <c r="E6839" s="4">
        <v>35.0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ht="12.75" customHeight="1">
      <c r="A6840" s="4">
        <v>2791.0</v>
      </c>
      <c r="B6840" s="4">
        <v>20132.0</v>
      </c>
      <c r="C6840" s="5">
        <f>DATE(2012,12,31)-959</f>
        <v>40315</v>
      </c>
      <c r="D6840" s="4" t="s">
        <v>21</v>
      </c>
      <c r="E6840" s="4">
        <v>30.0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</v>
      </c>
      <c r="U6840" s="5">
        <f t="shared" ref="U6840:U6842" si="2897">C6840+7</f>
        <v>40322</v>
      </c>
    </row>
    <row r="6841" ht="12.75" customHeight="1">
      <c r="A6841" s="4">
        <v>2802.0</v>
      </c>
      <c r="B6841" s="4">
        <v>20225.0</v>
      </c>
      <c r="C6841" s="5">
        <f t="shared" ref="C6841:C6842" si="2898">DATE(2012,12,31)-889</f>
        <v>40385</v>
      </c>
      <c r="D6841" s="4" t="s">
        <v>21</v>
      </c>
      <c r="E6841" s="4">
        <v>33.0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7"/>
        <v>40392</v>
      </c>
    </row>
    <row r="6842" ht="12.75" customHeight="1">
      <c r="A6842" s="4">
        <v>2803.0</v>
      </c>
      <c r="B6842" s="4">
        <v>20225.0</v>
      </c>
      <c r="C6842" s="5">
        <f t="shared" si="2898"/>
        <v>40385</v>
      </c>
      <c r="D6842" s="4" t="s">
        <v>21</v>
      </c>
      <c r="E6842" s="4">
        <v>22.0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7"/>
        <v>40392</v>
      </c>
    </row>
    <row r="6843" ht="12.75" customHeight="1">
      <c r="A6843" s="4">
        <v>2818.0</v>
      </c>
      <c r="B6843" s="4">
        <v>20325.0</v>
      </c>
      <c r="C6843" s="5">
        <f t="shared" ref="C6843:C6844" si="2899">DATE(2012,12,31)-912</f>
        <v>40362</v>
      </c>
      <c r="D6843" s="4" t="s">
        <v>78</v>
      </c>
      <c r="E6843" s="4">
        <v>35.0</v>
      </c>
      <c r="F6843" s="4">
        <v>4043.29</v>
      </c>
      <c r="G6843" s="4">
        <v>0.06</v>
      </c>
      <c r="H6843" s="4" t="s">
        <v>31</v>
      </c>
      <c r="I6843" s="6">
        <v>-34.3041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ht="12.75" customHeight="1">
      <c r="A6844" s="4">
        <v>2819.0</v>
      </c>
      <c r="B6844" s="4">
        <v>20325.0</v>
      </c>
      <c r="C6844" s="5">
        <f t="shared" si="2899"/>
        <v>40362</v>
      </c>
      <c r="D6844" s="4" t="s">
        <v>78</v>
      </c>
      <c r="E6844" s="4">
        <v>24.0</v>
      </c>
      <c r="F6844" s="4">
        <v>870.48</v>
      </c>
      <c r="G6844" s="4">
        <v>0.07</v>
      </c>
      <c r="H6844" s="4" t="s">
        <v>22</v>
      </c>
      <c r="I6844" s="6">
        <v>104.37</v>
      </c>
      <c r="J6844" s="4">
        <v>36.55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900">C6844+3</f>
        <v>40365</v>
      </c>
    </row>
    <row r="6845" ht="12.75" customHeight="1">
      <c r="A6845" s="4">
        <v>2833.0</v>
      </c>
      <c r="B6845" s="4">
        <v>20450.0</v>
      </c>
      <c r="C6845" s="5">
        <f>DATE(2012,12,31)-24</f>
        <v>41250</v>
      </c>
      <c r="D6845" s="4" t="s">
        <v>78</v>
      </c>
      <c r="E6845" s="4">
        <v>26.0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259.71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900"/>
        <v>41253</v>
      </c>
    </row>
    <row r="6846" ht="12.75" customHeight="1">
      <c r="A6846" s="4">
        <v>2851.0</v>
      </c>
      <c r="B6846" s="4">
        <v>20519.0</v>
      </c>
      <c r="C6846" s="5">
        <f>DATE(2012,12,31)-1361</f>
        <v>39913</v>
      </c>
      <c r="D6846" s="4" t="s">
        <v>30</v>
      </c>
      <c r="E6846" s="4">
        <v>7.0</v>
      </c>
      <c r="F6846" s="4">
        <v>124.19</v>
      </c>
      <c r="G6846" s="4">
        <v>0.03</v>
      </c>
      <c r="H6846" s="4" t="s">
        <v>22</v>
      </c>
      <c r="I6846" s="6">
        <v>-53.2962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ht="12.75" customHeight="1">
      <c r="A6847" s="4">
        <v>2865.0</v>
      </c>
      <c r="B6847" s="4">
        <v>20679.0</v>
      </c>
      <c r="C6847" s="5">
        <f>DATE(2012,12,31)-870</f>
        <v>40404</v>
      </c>
      <c r="D6847" s="4" t="s">
        <v>63</v>
      </c>
      <c r="E6847" s="4">
        <v>32.0</v>
      </c>
      <c r="F6847" s="4">
        <v>4976.6</v>
      </c>
      <c r="G6847" s="4">
        <v>0.06</v>
      </c>
      <c r="H6847" s="4" t="s">
        <v>22</v>
      </c>
      <c r="I6847" s="6">
        <v>601.88</v>
      </c>
      <c r="J6847" s="4">
        <v>161.55</v>
      </c>
      <c r="K6847" s="4">
        <v>19.99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ht="12.75" customHeight="1">
      <c r="A6848" s="4">
        <v>2869.0</v>
      </c>
      <c r="B6848" s="4">
        <v>20706.0</v>
      </c>
      <c r="C6848" s="5">
        <f>DATE(2012,12,31)-1268</f>
        <v>40006</v>
      </c>
      <c r="D6848" s="4" t="s">
        <v>30</v>
      </c>
      <c r="E6848" s="4">
        <v>41.0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136.98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1">C6848+2</f>
        <v>40008</v>
      </c>
    </row>
    <row r="6849" ht="12.75" customHeight="1">
      <c r="A6849" s="4">
        <v>2894.0</v>
      </c>
      <c r="B6849" s="4">
        <v>20898.0</v>
      </c>
      <c r="C6849" s="5">
        <f>DATE(2012,12,31)-428</f>
        <v>40846</v>
      </c>
      <c r="D6849" s="4" t="s">
        <v>63</v>
      </c>
      <c r="E6849" s="4">
        <v>33.0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65.99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</v>
      </c>
      <c r="U6849" s="5">
        <f t="shared" si="2901"/>
        <v>40848</v>
      </c>
    </row>
    <row r="6850" ht="12.75" customHeight="1">
      <c r="A6850" s="4">
        <v>2911.0</v>
      </c>
      <c r="B6850" s="4">
        <v>20995.0</v>
      </c>
      <c r="C6850" s="5">
        <f>DATE(2012,12,31)-279</f>
        <v>40995</v>
      </c>
      <c r="D6850" s="4" t="s">
        <v>63</v>
      </c>
      <c r="E6850" s="4">
        <v>37.0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150.98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ht="12.75" customHeight="1">
      <c r="A6851" s="4">
        <v>2923.0</v>
      </c>
      <c r="B6851" s="4">
        <v>21159.0</v>
      </c>
      <c r="C6851" s="5">
        <f>DATE(2012,12,31)-573</f>
        <v>40701</v>
      </c>
      <c r="D6851" s="4" t="s">
        <v>21</v>
      </c>
      <c r="E6851" s="4">
        <v>5.0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2.03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0.57</v>
      </c>
      <c r="U6851" s="5">
        <f>C6851+4</f>
        <v>40705</v>
      </c>
    </row>
    <row r="6852" ht="12.75" customHeight="1">
      <c r="A6852" s="4">
        <v>2926.0</v>
      </c>
      <c r="B6852" s="4">
        <v>21191.0</v>
      </c>
      <c r="C6852" s="5">
        <f>DATE(2012,12,31)-47</f>
        <v>41227</v>
      </c>
      <c r="D6852" s="4" t="s">
        <v>30</v>
      </c>
      <c r="E6852" s="4">
        <v>48.0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ht="12.75" customHeight="1">
      <c r="A6853" s="4">
        <v>2937.0</v>
      </c>
      <c r="B6853" s="4">
        <v>21286.0</v>
      </c>
      <c r="C6853" s="5">
        <f>DATE(2012,12,31)-1325</f>
        <v>39949</v>
      </c>
      <c r="D6853" s="4" t="s">
        <v>78</v>
      </c>
      <c r="E6853" s="4">
        <v>17.0</v>
      </c>
      <c r="F6853" s="4">
        <v>280.39</v>
      </c>
      <c r="G6853" s="4">
        <v>0.0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ht="12.75" customHeight="1">
      <c r="A6854" s="4">
        <v>2948.0</v>
      </c>
      <c r="B6854" s="4">
        <v>21346.0</v>
      </c>
      <c r="C6854" s="5">
        <f>DATE(2012,12,31)-573</f>
        <v>40701</v>
      </c>
      <c r="D6854" s="4" t="s">
        <v>30</v>
      </c>
      <c r="E6854" s="4">
        <v>46.0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ht="12.75" customHeight="1">
      <c r="A6855" s="4">
        <v>2970.0</v>
      </c>
      <c r="B6855" s="4">
        <v>21475.0</v>
      </c>
      <c r="C6855" s="5">
        <f t="shared" ref="C6855:C6856" si="2902">DATE(2012,12,31)-680</f>
        <v>40594</v>
      </c>
      <c r="D6855" s="4" t="s">
        <v>78</v>
      </c>
      <c r="E6855" s="4">
        <v>39.0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ht="12.75" customHeight="1">
      <c r="A6856" s="4">
        <v>2971.0</v>
      </c>
      <c r="B6856" s="4">
        <v>21475.0</v>
      </c>
      <c r="C6856" s="5">
        <f t="shared" si="2902"/>
        <v>40594</v>
      </c>
      <c r="D6856" s="4" t="s">
        <v>78</v>
      </c>
      <c r="E6856" s="4">
        <v>15.0</v>
      </c>
      <c r="F6856" s="4">
        <v>4956.784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3">C6856+1</f>
        <v>40595</v>
      </c>
    </row>
    <row r="6857" ht="12.75" customHeight="1">
      <c r="A6857" s="4">
        <v>2981.0</v>
      </c>
      <c r="B6857" s="4">
        <v>21539.0</v>
      </c>
      <c r="C6857" s="5">
        <f t="shared" ref="C6857:C6858" si="2904">DATE(2012,12,31)-906</f>
        <v>40368</v>
      </c>
      <c r="D6857" s="4" t="s">
        <v>63</v>
      </c>
      <c r="E6857" s="4">
        <v>18.0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3"/>
        <v>40369</v>
      </c>
    </row>
    <row r="6858" ht="12.75" customHeight="1">
      <c r="A6858" s="4">
        <v>2982.0</v>
      </c>
      <c r="B6858" s="4">
        <v>21539.0</v>
      </c>
      <c r="C6858" s="5">
        <f t="shared" si="2904"/>
        <v>40368</v>
      </c>
      <c r="D6858" s="4" t="s">
        <v>63</v>
      </c>
      <c r="E6858" s="4">
        <v>39.0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69.0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ht="12.75" customHeight="1">
      <c r="A6859" s="4">
        <v>3008.0</v>
      </c>
      <c r="B6859" s="4">
        <v>21639.0</v>
      </c>
      <c r="C6859" s="5">
        <f t="shared" ref="C6859:C6862" si="2905">DATE(2012,12,31)-698</f>
        <v>40576</v>
      </c>
      <c r="D6859" s="4" t="s">
        <v>45</v>
      </c>
      <c r="E6859" s="4">
        <v>24.0</v>
      </c>
      <c r="F6859" s="4">
        <v>145.15</v>
      </c>
      <c r="G6859" s="4">
        <v>0.07</v>
      </c>
      <c r="H6859" s="4" t="s">
        <v>22</v>
      </c>
      <c r="I6859" s="6">
        <v>-169.165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ht="12.75" customHeight="1">
      <c r="A6860" s="4">
        <v>3009.0</v>
      </c>
      <c r="B6860" s="4">
        <v>21639.0</v>
      </c>
      <c r="C6860" s="5">
        <f t="shared" si="2905"/>
        <v>40576</v>
      </c>
      <c r="D6860" s="4" t="s">
        <v>45</v>
      </c>
      <c r="E6860" s="4">
        <v>3.0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39.98</v>
      </c>
      <c r="K6860" s="4">
        <v>9.2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ht="12.75" customHeight="1">
      <c r="A6861" s="4">
        <v>3010.0</v>
      </c>
      <c r="B6861" s="4">
        <v>21639.0</v>
      </c>
      <c r="C6861" s="5">
        <f t="shared" si="2905"/>
        <v>40576</v>
      </c>
      <c r="D6861" s="4" t="s">
        <v>45</v>
      </c>
      <c r="E6861" s="4">
        <v>38.0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6">C6861+0</f>
        <v>40576</v>
      </c>
    </row>
    <row r="6862" ht="12.75" customHeight="1">
      <c r="A6862" s="4">
        <v>3011.0</v>
      </c>
      <c r="B6862" s="4">
        <v>21639.0</v>
      </c>
      <c r="C6862" s="5">
        <f t="shared" si="2905"/>
        <v>40576</v>
      </c>
      <c r="D6862" s="4" t="s">
        <v>45</v>
      </c>
      <c r="E6862" s="4">
        <v>23.0</v>
      </c>
      <c r="F6862" s="4">
        <v>158.99</v>
      </c>
      <c r="G6862" s="4">
        <v>0.07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6"/>
        <v>40576</v>
      </c>
    </row>
    <row r="6863" ht="12.75" customHeight="1">
      <c r="A6863" s="4">
        <v>3025.0</v>
      </c>
      <c r="B6863" s="4">
        <v>21760.0</v>
      </c>
      <c r="C6863" s="5">
        <f>DATE(2012,12,31)-701</f>
        <v>40573</v>
      </c>
      <c r="D6863" s="4" t="s">
        <v>45</v>
      </c>
      <c r="E6863" s="4">
        <v>9.0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</v>
      </c>
      <c r="U6863" s="5">
        <f>C6863+1</f>
        <v>40574</v>
      </c>
    </row>
    <row r="6864" ht="12.75" customHeight="1">
      <c r="A6864" s="4">
        <v>3038.0</v>
      </c>
      <c r="B6864" s="4">
        <v>21827.0</v>
      </c>
      <c r="C6864" s="5">
        <f t="shared" ref="C6864:C6865" si="2907">DATE(2012,12,31)-52</f>
        <v>41222</v>
      </c>
      <c r="D6864" s="4" t="s">
        <v>45</v>
      </c>
      <c r="E6864" s="4">
        <v>25.0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</v>
      </c>
      <c r="U6864" s="5">
        <f>C6864+2</f>
        <v>41224</v>
      </c>
    </row>
    <row r="6865" ht="12.75" customHeight="1">
      <c r="A6865" s="4">
        <v>3039.0</v>
      </c>
      <c r="B6865" s="4">
        <v>21827.0</v>
      </c>
      <c r="C6865" s="5">
        <f t="shared" si="2907"/>
        <v>41222</v>
      </c>
      <c r="D6865" s="4" t="s">
        <v>45</v>
      </c>
      <c r="E6865" s="4">
        <v>21.0</v>
      </c>
      <c r="F6865" s="4">
        <v>1560.96</v>
      </c>
      <c r="G6865" s="4">
        <v>0.07</v>
      </c>
      <c r="H6865" s="4" t="s">
        <v>56</v>
      </c>
      <c r="I6865" s="6">
        <v>-120.27</v>
      </c>
      <c r="J6865" s="4">
        <v>73.98</v>
      </c>
      <c r="K6865" s="4">
        <v>4.0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ht="12.75" customHeight="1">
      <c r="A6866" s="4">
        <v>3055.0</v>
      </c>
      <c r="B6866" s="4">
        <v>21890.0</v>
      </c>
      <c r="C6866" s="5">
        <f>DATE(2012,12,31)-707</f>
        <v>40567</v>
      </c>
      <c r="D6866" s="4" t="s">
        <v>45</v>
      </c>
      <c r="E6866" s="4">
        <v>44.0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ht="12.75" customHeight="1">
      <c r="A6867" s="4">
        <v>3063.0</v>
      </c>
      <c r="B6867" s="4">
        <v>21927.0</v>
      </c>
      <c r="C6867" s="5">
        <f>DATE(2012,12,31)-387</f>
        <v>40887</v>
      </c>
      <c r="D6867" s="4" t="s">
        <v>30</v>
      </c>
      <c r="E6867" s="4">
        <v>23.0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30.0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ht="12.75" customHeight="1">
      <c r="A6868" s="4">
        <v>3068.0</v>
      </c>
      <c r="B6868" s="4">
        <v>21988.0</v>
      </c>
      <c r="C6868" s="5">
        <f>DATE(2012,12,31)-1009</f>
        <v>40265</v>
      </c>
      <c r="D6868" s="4" t="s">
        <v>63</v>
      </c>
      <c r="E6868" s="4">
        <v>4.0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0.57</v>
      </c>
      <c r="U6868" s="5">
        <f t="shared" ref="U6868:U6869" si="2908">C6868+2</f>
        <v>40267</v>
      </c>
    </row>
    <row r="6869" ht="12.75" customHeight="1">
      <c r="A6869" s="4">
        <v>3077.0</v>
      </c>
      <c r="B6869" s="4">
        <v>22083.0</v>
      </c>
      <c r="C6869" s="5">
        <f>DATE(2012,12,31)-1413</f>
        <v>39861</v>
      </c>
      <c r="D6869" s="4" t="s">
        <v>78</v>
      </c>
      <c r="E6869" s="4">
        <v>2.0</v>
      </c>
      <c r="F6869" s="4">
        <v>16.81</v>
      </c>
      <c r="G6869" s="4">
        <v>0.05</v>
      </c>
      <c r="H6869" s="4" t="s">
        <v>56</v>
      </c>
      <c r="I6869" s="6">
        <v>-4.14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8"/>
        <v>39863</v>
      </c>
    </row>
    <row r="6870" ht="12.75" customHeight="1">
      <c r="A6870" s="4">
        <v>3117.0</v>
      </c>
      <c r="B6870" s="4">
        <v>22402.0</v>
      </c>
      <c r="C6870" s="5">
        <f t="shared" ref="C6870:C6871" si="2909">DATE(2012,12,31)-1314</f>
        <v>39960</v>
      </c>
      <c r="D6870" s="4" t="s">
        <v>78</v>
      </c>
      <c r="E6870" s="4">
        <v>33.0</v>
      </c>
      <c r="F6870" s="4">
        <v>1194.34</v>
      </c>
      <c r="G6870" s="4">
        <v>0.04</v>
      </c>
      <c r="H6870" s="4" t="s">
        <v>22</v>
      </c>
      <c r="I6870" s="6">
        <v>497.11400000000003</v>
      </c>
      <c r="J6870" s="4">
        <v>37.7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10">C6870+1</f>
        <v>39961</v>
      </c>
    </row>
    <row r="6871" ht="12.75" customHeight="1">
      <c r="A6871" s="4">
        <v>3118.0</v>
      </c>
      <c r="B6871" s="4">
        <v>22402.0</v>
      </c>
      <c r="C6871" s="5">
        <f t="shared" si="2909"/>
        <v>39960</v>
      </c>
      <c r="D6871" s="4" t="s">
        <v>78</v>
      </c>
      <c r="E6871" s="4">
        <v>1.0</v>
      </c>
      <c r="F6871" s="4">
        <v>51.833</v>
      </c>
      <c r="G6871" s="4">
        <v>0.01</v>
      </c>
      <c r="H6871" s="4" t="s">
        <v>22</v>
      </c>
      <c r="I6871" s="6">
        <v>-235.895</v>
      </c>
      <c r="J6871" s="4">
        <v>55.99</v>
      </c>
      <c r="K6871" s="4">
        <v>5.0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10"/>
        <v>39961</v>
      </c>
    </row>
    <row r="6872" ht="12.75" customHeight="1">
      <c r="A6872" s="4">
        <v>3124.0</v>
      </c>
      <c r="B6872" s="4">
        <v>22433.0</v>
      </c>
      <c r="C6872" s="5">
        <f>DATE(2012,12,31)-669</f>
        <v>40605</v>
      </c>
      <c r="D6872" s="4" t="s">
        <v>78</v>
      </c>
      <c r="E6872" s="4">
        <v>44.0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0.57</v>
      </c>
      <c r="U6872" s="5">
        <f>C6872+2</f>
        <v>40607</v>
      </c>
    </row>
    <row r="6873" ht="12.75" customHeight="1">
      <c r="A6873" s="4">
        <v>3127.0</v>
      </c>
      <c r="B6873" s="4">
        <v>22465.0</v>
      </c>
      <c r="C6873" s="5">
        <f>DATE(2012,12,31)-163</f>
        <v>41111</v>
      </c>
      <c r="D6873" s="4" t="s">
        <v>45</v>
      </c>
      <c r="E6873" s="4">
        <v>4.0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50.0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ht="12.75" customHeight="1">
      <c r="A6874" s="4">
        <v>3128.0</v>
      </c>
      <c r="B6874" s="4">
        <v>22466.0</v>
      </c>
      <c r="C6874" s="5">
        <f t="shared" ref="C6874:C6875" si="2911">DATE(2012,12,31)-278</f>
        <v>40996</v>
      </c>
      <c r="D6874" s="4" t="s">
        <v>21</v>
      </c>
      <c r="E6874" s="4">
        <v>31.0</v>
      </c>
      <c r="F6874" s="4">
        <v>5404.18</v>
      </c>
      <c r="G6874" s="4">
        <v>0.07</v>
      </c>
      <c r="H6874" s="4" t="s">
        <v>31</v>
      </c>
      <c r="I6874" s="6">
        <v>241.06</v>
      </c>
      <c r="J6874" s="4">
        <v>180.98</v>
      </c>
      <c r="K6874" s="4">
        <v>30.0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2">C6874+7</f>
        <v>41003</v>
      </c>
    </row>
    <row r="6875" ht="12.75" customHeight="1">
      <c r="A6875" s="4">
        <v>3129.0</v>
      </c>
      <c r="B6875" s="4">
        <v>22466.0</v>
      </c>
      <c r="C6875" s="5">
        <f t="shared" si="2911"/>
        <v>40996</v>
      </c>
      <c r="D6875" s="4" t="s">
        <v>21</v>
      </c>
      <c r="E6875" s="4">
        <v>40.0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2"/>
        <v>41003</v>
      </c>
    </row>
    <row r="6876" ht="12.75" customHeight="1">
      <c r="A6876" s="4">
        <v>3136.0</v>
      </c>
      <c r="B6876" s="4">
        <v>22497.0</v>
      </c>
      <c r="C6876" s="5">
        <f>DATE(2012,12,31)-247</f>
        <v>41027</v>
      </c>
      <c r="D6876" s="4" t="s">
        <v>63</v>
      </c>
      <c r="E6876" s="4">
        <v>37.0</v>
      </c>
      <c r="F6876" s="4">
        <v>3259.25</v>
      </c>
      <c r="G6876" s="4">
        <v>0.04</v>
      </c>
      <c r="H6876" s="4" t="s">
        <v>31</v>
      </c>
      <c r="I6876" s="6">
        <v>580.33</v>
      </c>
      <c r="J6876" s="4">
        <v>90.97</v>
      </c>
      <c r="K6876" s="4">
        <v>28.0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ht="12.75" customHeight="1">
      <c r="A6877" s="4">
        <v>3152.0</v>
      </c>
      <c r="B6877" s="4">
        <v>22627.0</v>
      </c>
      <c r="C6877" s="5">
        <f>DATE(2012,12,31)-1003</f>
        <v>40271</v>
      </c>
      <c r="D6877" s="4" t="s">
        <v>21</v>
      </c>
      <c r="E6877" s="4">
        <v>46.0</v>
      </c>
      <c r="F6877" s="4">
        <v>6803.0</v>
      </c>
      <c r="G6877" s="4">
        <v>0.03</v>
      </c>
      <c r="H6877" s="4" t="s">
        <v>31</v>
      </c>
      <c r="I6877" s="6">
        <v>-1061.68</v>
      </c>
      <c r="J6877" s="4">
        <v>150.98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ht="12.75" customHeight="1">
      <c r="A6878" s="4">
        <v>3165.0</v>
      </c>
      <c r="B6878" s="4">
        <v>22752.0</v>
      </c>
      <c r="C6878" s="5">
        <f>DATE(2012,12,31)-24</f>
        <v>41250</v>
      </c>
      <c r="D6878" s="4" t="s">
        <v>21</v>
      </c>
      <c r="E6878" s="4">
        <v>2.0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35.0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ht="12.75" customHeight="1">
      <c r="A6879" s="4">
        <v>3176.0</v>
      </c>
      <c r="B6879" s="4">
        <v>22848.0</v>
      </c>
      <c r="C6879" s="5">
        <f t="shared" ref="C6879:C6881" si="2913">DATE(2012,12,31)-387</f>
        <v>40887</v>
      </c>
      <c r="D6879" s="4" t="s">
        <v>45</v>
      </c>
      <c r="E6879" s="4">
        <v>20.0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</v>
      </c>
      <c r="K6879" s="4">
        <v>49.0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ht="12.75" customHeight="1">
      <c r="A6880" s="4">
        <v>3177.0</v>
      </c>
      <c r="B6880" s="4">
        <v>22848.0</v>
      </c>
      <c r="C6880" s="5">
        <f t="shared" si="2913"/>
        <v>40887</v>
      </c>
      <c r="D6880" s="4" t="s">
        <v>45</v>
      </c>
      <c r="E6880" s="4">
        <v>45.0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130.98</v>
      </c>
      <c r="K6880" s="4">
        <v>30.0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4">C6880+2</f>
        <v>40889</v>
      </c>
    </row>
    <row r="6881" ht="12.75" customHeight="1">
      <c r="A6881" s="4">
        <v>3178.0</v>
      </c>
      <c r="B6881" s="4">
        <v>22848.0</v>
      </c>
      <c r="C6881" s="5">
        <f t="shared" si="2913"/>
        <v>40887</v>
      </c>
      <c r="D6881" s="4" t="s">
        <v>45</v>
      </c>
      <c r="E6881" s="4">
        <v>4.0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4"/>
        <v>40889</v>
      </c>
    </row>
    <row r="6882" ht="12.75" customHeight="1">
      <c r="A6882" s="4">
        <v>3183.0</v>
      </c>
      <c r="B6882" s="4">
        <v>22850.0</v>
      </c>
      <c r="C6882" s="5">
        <f>DATE(2012,12,31)-611</f>
        <v>40663</v>
      </c>
      <c r="D6882" s="4" t="s">
        <v>63</v>
      </c>
      <c r="E6882" s="4">
        <v>4.0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4.0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ht="12.75" customHeight="1">
      <c r="A6883" s="4">
        <v>3192.0</v>
      </c>
      <c r="B6883" s="4">
        <v>22912.0</v>
      </c>
      <c r="C6883" s="5">
        <f>DATE(2012,12,31)-807</f>
        <v>40467</v>
      </c>
      <c r="D6883" s="4" t="s">
        <v>21</v>
      </c>
      <c r="E6883" s="4">
        <v>33.0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19.99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ht="12.75" customHeight="1">
      <c r="A6884" s="4">
        <v>3193.0</v>
      </c>
      <c r="B6884" s="4">
        <v>22913.0</v>
      </c>
      <c r="C6884" s="5">
        <f t="shared" ref="C6884:C6886" si="2915">DATE(2012,12,31)-920</f>
        <v>40354</v>
      </c>
      <c r="D6884" s="4" t="s">
        <v>78</v>
      </c>
      <c r="E6884" s="4">
        <v>32.0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ht="12.75" customHeight="1">
      <c r="A6885" s="4">
        <v>3194.0</v>
      </c>
      <c r="B6885" s="4">
        <v>22913.0</v>
      </c>
      <c r="C6885" s="5">
        <f t="shared" si="2915"/>
        <v>40354</v>
      </c>
      <c r="D6885" s="4" t="s">
        <v>78</v>
      </c>
      <c r="E6885" s="4">
        <v>24.0</v>
      </c>
      <c r="F6885" s="4">
        <v>6568.024000000001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ht="12.75" customHeight="1">
      <c r="A6886" s="4">
        <v>3195.0</v>
      </c>
      <c r="B6886" s="4">
        <v>22913.0</v>
      </c>
      <c r="C6886" s="5">
        <f t="shared" si="2915"/>
        <v>40354</v>
      </c>
      <c r="D6886" s="4" t="s">
        <v>78</v>
      </c>
      <c r="E6886" s="4">
        <v>50.0</v>
      </c>
      <c r="F6886" s="4">
        <v>1579.028</v>
      </c>
      <c r="G6886" s="4">
        <v>0.02</v>
      </c>
      <c r="H6886" s="4" t="s">
        <v>22</v>
      </c>
      <c r="I6886" s="6">
        <v>624.978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6">C6886+1</f>
        <v>40355</v>
      </c>
    </row>
    <row r="6887" ht="12.75" customHeight="1">
      <c r="A6887" s="4">
        <v>3196.0</v>
      </c>
      <c r="B6887" s="4">
        <v>22914.0</v>
      </c>
      <c r="C6887" s="5">
        <f>DATE(2012,12,31)-353</f>
        <v>40921</v>
      </c>
      <c r="D6887" s="4" t="s">
        <v>78</v>
      </c>
      <c r="E6887" s="4">
        <v>30.0</v>
      </c>
      <c r="F6887" s="4">
        <v>336.65</v>
      </c>
      <c r="G6887" s="4">
        <v>0.07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6"/>
        <v>40922</v>
      </c>
    </row>
    <row r="6888" ht="12.75" customHeight="1">
      <c r="A6888" s="4">
        <v>3212.0</v>
      </c>
      <c r="B6888" s="4">
        <v>23042.0</v>
      </c>
      <c r="C6888" s="5">
        <f>DATE(2012,12,31)-1345</f>
        <v>39929</v>
      </c>
      <c r="D6888" s="4" t="s">
        <v>63</v>
      </c>
      <c r="E6888" s="4">
        <v>20.0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19.99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0.58</v>
      </c>
      <c r="U6888" s="5">
        <f t="shared" si="2916"/>
        <v>39930</v>
      </c>
    </row>
    <row r="6889" ht="12.75" customHeight="1">
      <c r="A6889" s="4">
        <v>3226.0</v>
      </c>
      <c r="B6889" s="4">
        <v>23168.0</v>
      </c>
      <c r="C6889" s="5">
        <f>DATE(2012,12,31)-838</f>
        <v>40436</v>
      </c>
      <c r="D6889" s="4" t="s">
        <v>21</v>
      </c>
      <c r="E6889" s="4">
        <v>46.0</v>
      </c>
      <c r="F6889" s="4">
        <v>23949.51</v>
      </c>
      <c r="G6889" s="4">
        <v>0.0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ht="12.75" customHeight="1">
      <c r="A6890" s="4">
        <v>3242.0</v>
      </c>
      <c r="B6890" s="4">
        <v>23235.0</v>
      </c>
      <c r="C6890" s="5">
        <f>DATE(2012,12,31)-545</f>
        <v>40729</v>
      </c>
      <c r="D6890" s="4" t="s">
        <v>30</v>
      </c>
      <c r="E6890" s="4">
        <v>6.0</v>
      </c>
      <c r="F6890" s="4">
        <v>17.43</v>
      </c>
      <c r="G6890" s="4">
        <v>0.02</v>
      </c>
      <c r="H6890" s="4" t="s">
        <v>22</v>
      </c>
      <c r="I6890" s="6">
        <v>2.45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7">C6890+2</f>
        <v>40731</v>
      </c>
    </row>
    <row r="6891" ht="12.75" customHeight="1">
      <c r="A6891" s="4">
        <v>3243.0</v>
      </c>
      <c r="B6891" s="4">
        <v>23238.0</v>
      </c>
      <c r="C6891" s="5">
        <f>DATE(2012,12,31)-1006</f>
        <v>40268</v>
      </c>
      <c r="D6891" s="4" t="s">
        <v>45</v>
      </c>
      <c r="E6891" s="4">
        <v>25.0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7"/>
        <v>40270</v>
      </c>
    </row>
    <row r="6892" ht="12.75" customHeight="1">
      <c r="A6892" s="4">
        <v>3251.0</v>
      </c>
      <c r="B6892" s="4">
        <v>23297.0</v>
      </c>
      <c r="C6892" s="5">
        <f t="shared" ref="C6892:C6893" si="2918">DATE(2012,12,31)-182</f>
        <v>41092</v>
      </c>
      <c r="D6892" s="4" t="s">
        <v>78</v>
      </c>
      <c r="E6892" s="4">
        <v>20.0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7"/>
        <v>41094</v>
      </c>
    </row>
    <row r="6893" ht="12.75" customHeight="1">
      <c r="A6893" s="4">
        <v>3252.0</v>
      </c>
      <c r="B6893" s="4">
        <v>23297.0</v>
      </c>
      <c r="C6893" s="5">
        <f t="shared" si="2918"/>
        <v>41092</v>
      </c>
      <c r="D6893" s="4" t="s">
        <v>78</v>
      </c>
      <c r="E6893" s="4">
        <v>34.0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7"/>
        <v>41094</v>
      </c>
    </row>
    <row r="6894" ht="12.75" customHeight="1">
      <c r="A6894" s="4">
        <v>3253.0</v>
      </c>
      <c r="B6894" s="4">
        <v>23301.0</v>
      </c>
      <c r="C6894" s="5">
        <f t="shared" ref="C6894:C6895" si="2919">DATE(2012,12,31)-623</f>
        <v>40651</v>
      </c>
      <c r="D6894" s="4" t="s">
        <v>30</v>
      </c>
      <c r="E6894" s="4">
        <v>4.0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7"/>
        <v>40653</v>
      </c>
    </row>
    <row r="6895" ht="12.75" customHeight="1">
      <c r="A6895" s="4">
        <v>3254.0</v>
      </c>
      <c r="B6895" s="4">
        <v>23301.0</v>
      </c>
      <c r="C6895" s="5">
        <f t="shared" si="2919"/>
        <v>40651</v>
      </c>
      <c r="D6895" s="4" t="s">
        <v>30</v>
      </c>
      <c r="E6895" s="4">
        <v>3.0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7"/>
        <v>40653</v>
      </c>
    </row>
    <row r="6896" ht="12.75" customHeight="1">
      <c r="A6896" s="4">
        <v>3257.0</v>
      </c>
      <c r="B6896" s="4">
        <v>23329.0</v>
      </c>
      <c r="C6896" s="5">
        <f t="shared" ref="C6896:C6897" si="2920">DATE(2012,12,31)-736</f>
        <v>40538</v>
      </c>
      <c r="D6896" s="4" t="s">
        <v>21</v>
      </c>
      <c r="E6896" s="4">
        <v>4.0</v>
      </c>
      <c r="F6896" s="4">
        <v>31.118499999999997</v>
      </c>
      <c r="G6896" s="4">
        <v>0.05</v>
      </c>
      <c r="H6896" s="4" t="s">
        <v>22</v>
      </c>
      <c r="I6896" s="6">
        <v>-46.904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ht="12.75" customHeight="1">
      <c r="A6897" s="4">
        <v>3258.0</v>
      </c>
      <c r="B6897" s="4">
        <v>23329.0</v>
      </c>
      <c r="C6897" s="5">
        <f t="shared" si="2920"/>
        <v>40538</v>
      </c>
      <c r="D6897" s="4" t="s">
        <v>21</v>
      </c>
      <c r="E6897" s="4">
        <v>47.0</v>
      </c>
      <c r="F6897" s="4">
        <v>4829.4535</v>
      </c>
      <c r="G6897" s="4">
        <v>0.05</v>
      </c>
      <c r="H6897" s="4" t="s">
        <v>22</v>
      </c>
      <c r="I6897" s="6">
        <v>1235.151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</v>
      </c>
      <c r="U6897" s="5">
        <f>C6897+4</f>
        <v>40542</v>
      </c>
    </row>
    <row r="6898" ht="12.75" customHeight="1">
      <c r="A6898" s="4">
        <v>3268.0</v>
      </c>
      <c r="B6898" s="4">
        <v>23366.0</v>
      </c>
      <c r="C6898" s="5">
        <f t="shared" ref="C6898:C6899" si="2921">DATE(2012,12,31)-773</f>
        <v>40501</v>
      </c>
      <c r="D6898" s="4" t="s">
        <v>45</v>
      </c>
      <c r="E6898" s="4">
        <v>12.0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ht="12.75" customHeight="1">
      <c r="A6899" s="4">
        <v>3269.0</v>
      </c>
      <c r="B6899" s="4">
        <v>23366.0</v>
      </c>
      <c r="C6899" s="5">
        <f t="shared" si="2921"/>
        <v>40501</v>
      </c>
      <c r="D6899" s="4" t="s">
        <v>45</v>
      </c>
      <c r="E6899" s="4">
        <v>5.0</v>
      </c>
      <c r="F6899" s="4">
        <v>297.85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19.99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ht="12.75" customHeight="1">
      <c r="A6900" s="4">
        <v>3272.0</v>
      </c>
      <c r="B6900" s="4">
        <v>23395.0</v>
      </c>
      <c r="C6900" s="5">
        <f>DATE(2012,12,31)-65</f>
        <v>41209</v>
      </c>
      <c r="D6900" s="4" t="s">
        <v>63</v>
      </c>
      <c r="E6900" s="4">
        <v>31.0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39.48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2">C6900+2</f>
        <v>41211</v>
      </c>
    </row>
    <row r="6901" ht="12.75" customHeight="1">
      <c r="A6901" s="4">
        <v>3283.0</v>
      </c>
      <c r="B6901" s="4">
        <v>23488.0</v>
      </c>
      <c r="C6901" s="5">
        <f>DATE(2012,12,31)-1455</f>
        <v>39819</v>
      </c>
      <c r="D6901" s="4" t="s">
        <v>30</v>
      </c>
      <c r="E6901" s="4">
        <v>29.0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</v>
      </c>
      <c r="U6901" s="5">
        <f t="shared" si="2922"/>
        <v>39821</v>
      </c>
    </row>
    <row r="6902" ht="12.75" customHeight="1">
      <c r="A6902" s="4">
        <v>3292.0</v>
      </c>
      <c r="B6902" s="4">
        <v>23555.0</v>
      </c>
      <c r="C6902" s="5">
        <f t="shared" ref="C6902:C6903" si="2923">DATE(2012,12,31)-20</f>
        <v>41254</v>
      </c>
      <c r="D6902" s="4" t="s">
        <v>30</v>
      </c>
      <c r="E6902" s="4">
        <v>29.0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4">C6902+1</f>
        <v>41255</v>
      </c>
    </row>
    <row r="6903" ht="12.75" customHeight="1">
      <c r="A6903" s="4">
        <v>3293.0</v>
      </c>
      <c r="B6903" s="4">
        <v>23555.0</v>
      </c>
      <c r="C6903" s="5">
        <f t="shared" si="2923"/>
        <v>41254</v>
      </c>
      <c r="D6903" s="4" t="s">
        <v>30</v>
      </c>
      <c r="E6903" s="4">
        <v>5.0</v>
      </c>
      <c r="F6903" s="4">
        <v>284.4525</v>
      </c>
      <c r="G6903" s="4">
        <v>0.06</v>
      </c>
      <c r="H6903" s="4" t="s">
        <v>22</v>
      </c>
      <c r="I6903" s="6">
        <v>-254.782</v>
      </c>
      <c r="J6903" s="4">
        <v>65.99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0.58</v>
      </c>
      <c r="U6903" s="5">
        <f t="shared" si="2924"/>
        <v>41255</v>
      </c>
    </row>
    <row r="6904" ht="12.75" customHeight="1">
      <c r="A6904" s="4">
        <v>3304.0</v>
      </c>
      <c r="B6904" s="4">
        <v>23617.0</v>
      </c>
      <c r="C6904" s="5">
        <f>DATE(2012,12,31)-606</f>
        <v>40668</v>
      </c>
      <c r="D6904" s="4" t="s">
        <v>45</v>
      </c>
      <c r="E6904" s="4">
        <v>6.0</v>
      </c>
      <c r="F6904" s="4">
        <v>247.34</v>
      </c>
      <c r="G6904" s="4">
        <v>0.04</v>
      </c>
      <c r="H6904" s="4" t="s">
        <v>56</v>
      </c>
      <c r="I6904" s="6">
        <v>63.6055</v>
      </c>
      <c r="J6904" s="4">
        <v>37.7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ht="12.75" customHeight="1">
      <c r="A6905" s="4">
        <v>3313.0</v>
      </c>
      <c r="B6905" s="4">
        <v>23652.0</v>
      </c>
      <c r="C6905" s="5">
        <f>DATE(2012,12,31)-1219</f>
        <v>40055</v>
      </c>
      <c r="D6905" s="4" t="s">
        <v>45</v>
      </c>
      <c r="E6905" s="4">
        <v>27.0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</v>
      </c>
      <c r="U6905" s="5">
        <f>C6905+0</f>
        <v>40055</v>
      </c>
    </row>
    <row r="6906" ht="12.75" customHeight="1">
      <c r="A6906" s="4">
        <v>3314.0</v>
      </c>
      <c r="B6906" s="4">
        <v>23680.0</v>
      </c>
      <c r="C6906" s="5">
        <f>DATE(2012,12,31)-786</f>
        <v>40488</v>
      </c>
      <c r="D6906" s="4" t="s">
        <v>45</v>
      </c>
      <c r="E6906" s="4">
        <v>8.0</v>
      </c>
      <c r="F6906" s="4">
        <v>2029.496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ht="12.75" customHeight="1">
      <c r="A6907" s="4">
        <v>3318.0</v>
      </c>
      <c r="B6907" s="4">
        <v>23719.0</v>
      </c>
      <c r="C6907" s="5">
        <f>DATE(2012,12,31)-890</f>
        <v>40384</v>
      </c>
      <c r="D6907" s="4" t="s">
        <v>78</v>
      </c>
      <c r="E6907" s="4">
        <v>17.0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ht="12.75" customHeight="1">
      <c r="A6908" s="4">
        <v>3325.0</v>
      </c>
      <c r="B6908" s="4">
        <v>23778.0</v>
      </c>
      <c r="C6908" s="5">
        <f>DATE(2012,12,31)-1267</f>
        <v>40007</v>
      </c>
      <c r="D6908" s="4" t="s">
        <v>21</v>
      </c>
      <c r="E6908" s="4">
        <v>13.0</v>
      </c>
      <c r="F6908" s="4">
        <v>105.94</v>
      </c>
      <c r="G6908" s="4">
        <v>0.06</v>
      </c>
      <c r="H6908" s="4" t="s">
        <v>22</v>
      </c>
      <c r="I6908" s="6">
        <v>-566.0</v>
      </c>
      <c r="J6908" s="4">
        <v>4.48</v>
      </c>
      <c r="K6908" s="4">
        <v>49.0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ht="12.75" customHeight="1">
      <c r="A6909" s="4">
        <v>3329.0</v>
      </c>
      <c r="B6909" s="4">
        <v>23808.0</v>
      </c>
      <c r="C6909" s="5">
        <f t="shared" ref="C6909:C6910" si="2925">DATE(2012,12,31)-1423</f>
        <v>39851</v>
      </c>
      <c r="D6909" s="4" t="s">
        <v>21</v>
      </c>
      <c r="E6909" s="4">
        <v>30.0</v>
      </c>
      <c r="F6909" s="4">
        <v>630.14</v>
      </c>
      <c r="G6909" s="4">
        <v>0.04</v>
      </c>
      <c r="H6909" s="4" t="s">
        <v>22</v>
      </c>
      <c r="I6909" s="6">
        <v>108.0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ht="12.75" customHeight="1">
      <c r="A6910" s="4">
        <v>3330.0</v>
      </c>
      <c r="B6910" s="4">
        <v>23808.0</v>
      </c>
      <c r="C6910" s="5">
        <f t="shared" si="2925"/>
        <v>39851</v>
      </c>
      <c r="D6910" s="4" t="s">
        <v>21</v>
      </c>
      <c r="E6910" s="4">
        <v>28.0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0.58</v>
      </c>
      <c r="U6910" s="5">
        <f>C6910+2</f>
        <v>39853</v>
      </c>
    </row>
    <row r="6911" ht="12.75" customHeight="1">
      <c r="A6911" s="4">
        <v>3338.0</v>
      </c>
      <c r="B6911" s="4">
        <v>23877.0</v>
      </c>
      <c r="C6911" s="5">
        <f t="shared" ref="C6911:C6912" si="2926">DATE(2012,12,31)-1268</f>
        <v>40006</v>
      </c>
      <c r="D6911" s="4" t="s">
        <v>45</v>
      </c>
      <c r="E6911" s="4">
        <v>31.0</v>
      </c>
      <c r="F6911" s="4">
        <v>1624.5964999999999</v>
      </c>
      <c r="G6911" s="4">
        <v>0.07</v>
      </c>
      <c r="H6911" s="4" t="s">
        <v>22</v>
      </c>
      <c r="I6911" s="6">
        <v>109.83600000000001</v>
      </c>
      <c r="J6911" s="4">
        <v>65.99</v>
      </c>
      <c r="K6911" s="4">
        <v>8.8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0.58</v>
      </c>
      <c r="U6911" s="5">
        <f>C6911+0</f>
        <v>40006</v>
      </c>
    </row>
    <row r="6912" ht="12.75" customHeight="1">
      <c r="A6912" s="4">
        <v>3339.0</v>
      </c>
      <c r="B6912" s="4">
        <v>23877.0</v>
      </c>
      <c r="C6912" s="5">
        <f t="shared" si="2926"/>
        <v>40006</v>
      </c>
      <c r="D6912" s="4" t="s">
        <v>45</v>
      </c>
      <c r="E6912" s="4">
        <v>35.0</v>
      </c>
      <c r="F6912" s="4">
        <v>381.36</v>
      </c>
      <c r="G6912" s="4">
        <v>0.0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ht="12.75" customHeight="1">
      <c r="A6913" s="4">
        <v>3353.0</v>
      </c>
      <c r="B6913" s="4">
        <v>24003.0</v>
      </c>
      <c r="C6913" s="5">
        <f>DATE(2012,12,31)-1157</f>
        <v>40117</v>
      </c>
      <c r="D6913" s="4" t="s">
        <v>78</v>
      </c>
      <c r="E6913" s="4">
        <v>9.0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ht="12.75" customHeight="1">
      <c r="A6914" s="4">
        <v>3440.0</v>
      </c>
      <c r="B6914" s="4">
        <v>24548.0</v>
      </c>
      <c r="C6914" s="5">
        <f>DATE(2012,12,31)-658</f>
        <v>40616</v>
      </c>
      <c r="D6914" s="4" t="s">
        <v>30</v>
      </c>
      <c r="E6914" s="4">
        <v>32.0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ht="12.75" customHeight="1">
      <c r="A6915" s="4">
        <v>3451.0</v>
      </c>
      <c r="B6915" s="4">
        <v>24610.0</v>
      </c>
      <c r="C6915" s="5">
        <f>DATE(2012,12,31)-1078</f>
        <v>40196</v>
      </c>
      <c r="D6915" s="4" t="s">
        <v>45</v>
      </c>
      <c r="E6915" s="4">
        <v>4.0</v>
      </c>
      <c r="F6915" s="4">
        <v>883.31</v>
      </c>
      <c r="G6915" s="4">
        <v>0.01</v>
      </c>
      <c r="H6915" s="4" t="s">
        <v>31</v>
      </c>
      <c r="I6915" s="6">
        <v>-79.96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0.58</v>
      </c>
      <c r="U6915" s="5">
        <f t="shared" ref="U6915:U6921" si="2927">C6915+2</f>
        <v>40198</v>
      </c>
    </row>
    <row r="6916" ht="12.75" customHeight="1">
      <c r="A6916" s="4">
        <v>3467.0</v>
      </c>
      <c r="B6916" s="4">
        <v>24677.0</v>
      </c>
      <c r="C6916" s="5">
        <f>DATE(2012,12,31)-301</f>
        <v>40973</v>
      </c>
      <c r="D6916" s="4" t="s">
        <v>21</v>
      </c>
      <c r="E6916" s="4">
        <v>44.0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7"/>
        <v>40975</v>
      </c>
    </row>
    <row r="6917" ht="12.75" customHeight="1">
      <c r="A6917" s="4">
        <v>3511.0</v>
      </c>
      <c r="B6917" s="4">
        <v>25027.0</v>
      </c>
      <c r="C6917" s="5">
        <f>DATE(2012,12,31)-1111</f>
        <v>40163</v>
      </c>
      <c r="D6917" s="4" t="s">
        <v>63</v>
      </c>
      <c r="E6917" s="4">
        <v>25.0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7"/>
        <v>40165</v>
      </c>
    </row>
    <row r="6918" ht="12.75" customHeight="1">
      <c r="A6918" s="4">
        <v>3537.0</v>
      </c>
      <c r="B6918" s="4">
        <v>25157.0</v>
      </c>
      <c r="C6918" s="5">
        <f>DATE(2012,12,31)-951</f>
        <v>40323</v>
      </c>
      <c r="D6918" s="4" t="s">
        <v>45</v>
      </c>
      <c r="E6918" s="4">
        <v>24.0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7"/>
        <v>40325</v>
      </c>
    </row>
    <row r="6919" ht="12.75" customHeight="1">
      <c r="A6919" s="4">
        <v>3561.0</v>
      </c>
      <c r="B6919" s="4">
        <v>25378.0</v>
      </c>
      <c r="C6919" s="5">
        <f>DATE(2012,12,31)-379</f>
        <v>40895</v>
      </c>
      <c r="D6919" s="4" t="s">
        <v>45</v>
      </c>
      <c r="E6919" s="4">
        <v>48.0</v>
      </c>
      <c r="F6919" s="4">
        <v>3713.0125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0.57</v>
      </c>
      <c r="U6919" s="5">
        <f t="shared" si="2927"/>
        <v>40897</v>
      </c>
    </row>
    <row r="6920" ht="12.75" customHeight="1">
      <c r="A6920" s="4">
        <v>3567.0</v>
      </c>
      <c r="B6920" s="4">
        <v>25445.0</v>
      </c>
      <c r="C6920" s="5">
        <f>DATE(2012,12,31)-1316</f>
        <v>39958</v>
      </c>
      <c r="D6920" s="4" t="s">
        <v>21</v>
      </c>
      <c r="E6920" s="4">
        <v>48.0</v>
      </c>
      <c r="F6920" s="4">
        <v>1444.0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7"/>
        <v>39960</v>
      </c>
    </row>
    <row r="6921" ht="12.75" customHeight="1">
      <c r="A6921" s="4">
        <v>3574.0</v>
      </c>
      <c r="B6921" s="4">
        <v>25476.0</v>
      </c>
      <c r="C6921" s="5">
        <f t="shared" ref="C6921:C6922" si="2928">DATE(2012,12,31)-90</f>
        <v>41184</v>
      </c>
      <c r="D6921" s="4" t="s">
        <v>45</v>
      </c>
      <c r="E6921" s="4">
        <v>21.0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35.41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7"/>
        <v>41186</v>
      </c>
    </row>
    <row r="6922" ht="12.75" customHeight="1">
      <c r="A6922" s="4">
        <v>3575.0</v>
      </c>
      <c r="B6922" s="4">
        <v>25476.0</v>
      </c>
      <c r="C6922" s="5">
        <f t="shared" si="2928"/>
        <v>41184</v>
      </c>
      <c r="D6922" s="4" t="s">
        <v>45</v>
      </c>
      <c r="E6922" s="4">
        <v>4.0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ht="12.75" customHeight="1">
      <c r="A6923" s="4">
        <v>3607.0</v>
      </c>
      <c r="B6923" s="4">
        <v>25797.0</v>
      </c>
      <c r="C6923" s="5">
        <f>DATE(2012,12,31)-121</f>
        <v>41153</v>
      </c>
      <c r="D6923" s="4" t="s">
        <v>45</v>
      </c>
      <c r="E6923" s="4">
        <v>28.0</v>
      </c>
      <c r="F6923" s="4">
        <v>925.43</v>
      </c>
      <c r="G6923" s="4">
        <v>0.0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9">C6923+2</f>
        <v>41155</v>
      </c>
    </row>
    <row r="6924" ht="12.75" customHeight="1">
      <c r="A6924" s="4">
        <v>3625.0</v>
      </c>
      <c r="B6924" s="4">
        <v>25889.0</v>
      </c>
      <c r="C6924" s="5">
        <f>DATE(2012,12,31)-937</f>
        <v>40337</v>
      </c>
      <c r="D6924" s="4" t="s">
        <v>21</v>
      </c>
      <c r="E6924" s="4">
        <v>23.0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5.0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9"/>
        <v>40339</v>
      </c>
    </row>
    <row r="6925" ht="12.75" customHeight="1">
      <c r="A6925" s="4">
        <v>3637.0</v>
      </c>
      <c r="B6925" s="4">
        <v>25986.0</v>
      </c>
      <c r="C6925" s="5">
        <f>DATE(2012,12,31)-192</f>
        <v>41082</v>
      </c>
      <c r="D6925" s="4" t="s">
        <v>63</v>
      </c>
      <c r="E6925" s="4">
        <v>48.0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ht="12.75" customHeight="1">
      <c r="A6926" s="4">
        <v>3640.0</v>
      </c>
      <c r="B6926" s="4">
        <v>26021.0</v>
      </c>
      <c r="C6926" s="5">
        <f>DATE(2012,12,31)-108</f>
        <v>41166</v>
      </c>
      <c r="D6926" s="4" t="s">
        <v>78</v>
      </c>
      <c r="E6926" s="4">
        <v>17.0</v>
      </c>
      <c r="F6926" s="4">
        <v>328.627</v>
      </c>
      <c r="G6926" s="4">
        <v>0.0</v>
      </c>
      <c r="H6926" s="4" t="s">
        <v>22</v>
      </c>
      <c r="I6926" s="6">
        <v>-7.766</v>
      </c>
      <c r="J6926" s="4">
        <v>20.99</v>
      </c>
      <c r="K6926" s="4">
        <v>4.81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0.58</v>
      </c>
      <c r="U6926" s="5">
        <f>C6926+2</f>
        <v>41168</v>
      </c>
    </row>
    <row r="6927" ht="12.75" customHeight="1">
      <c r="A6927" s="4">
        <v>3647.0</v>
      </c>
      <c r="B6927" s="4">
        <v>26055.0</v>
      </c>
      <c r="C6927" s="5">
        <f>DATE(2012,12,31)-36</f>
        <v>41238</v>
      </c>
      <c r="D6927" s="4" t="s">
        <v>45</v>
      </c>
      <c r="E6927" s="4">
        <v>46.0</v>
      </c>
      <c r="F6927" s="4">
        <v>6733.52</v>
      </c>
      <c r="G6927" s="4">
        <v>0.04</v>
      </c>
      <c r="H6927" s="4" t="s">
        <v>22</v>
      </c>
      <c r="I6927" s="6">
        <v>246.0</v>
      </c>
      <c r="J6927" s="4">
        <v>152.48</v>
      </c>
      <c r="K6927" s="4">
        <v>4.0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30">C6927+1</f>
        <v>41239</v>
      </c>
    </row>
    <row r="6928" ht="12.75" customHeight="1">
      <c r="A6928" s="4">
        <v>3667.0</v>
      </c>
      <c r="B6928" s="4">
        <v>26274.0</v>
      </c>
      <c r="C6928" s="5">
        <f>DATE(2012,12,31)-202</f>
        <v>41072</v>
      </c>
      <c r="D6928" s="4" t="s">
        <v>45</v>
      </c>
      <c r="E6928" s="4">
        <v>41.0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30"/>
        <v>41073</v>
      </c>
    </row>
    <row r="6929" ht="12.75" customHeight="1">
      <c r="A6929" s="4">
        <v>3675.0</v>
      </c>
      <c r="B6929" s="4">
        <v>26306.0</v>
      </c>
      <c r="C6929" s="5">
        <f>DATE(2012,12,31)-62</f>
        <v>41212</v>
      </c>
      <c r="D6929" s="4" t="s">
        <v>21</v>
      </c>
      <c r="E6929" s="4">
        <v>39.0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ht="12.75" customHeight="1">
      <c r="A6930" s="4">
        <v>3700.0</v>
      </c>
      <c r="B6930" s="4">
        <v>26437.0</v>
      </c>
      <c r="C6930" s="5">
        <f t="shared" ref="C6930:C6931" si="2931">DATE(2012,12,31)-399</f>
        <v>40875</v>
      </c>
      <c r="D6930" s="4" t="s">
        <v>78</v>
      </c>
      <c r="E6930" s="4">
        <v>4.0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</v>
      </c>
      <c r="U6930" s="5">
        <f>C6930+1</f>
        <v>40876</v>
      </c>
    </row>
    <row r="6931" ht="12.75" customHeight="1">
      <c r="A6931" s="4">
        <v>3701.0</v>
      </c>
      <c r="B6931" s="4">
        <v>26437.0</v>
      </c>
      <c r="C6931" s="5">
        <f t="shared" si="2931"/>
        <v>40875</v>
      </c>
      <c r="D6931" s="4" t="s">
        <v>78</v>
      </c>
      <c r="E6931" s="4">
        <v>48.0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ht="12.75" customHeight="1">
      <c r="A6932" s="4">
        <v>3705.0</v>
      </c>
      <c r="B6932" s="4">
        <v>26464.0</v>
      </c>
      <c r="C6932" s="5">
        <f t="shared" ref="C6932:C6933" si="2932">DATE(2012,12,31)-386</f>
        <v>40888</v>
      </c>
      <c r="D6932" s="4" t="s">
        <v>30</v>
      </c>
      <c r="E6932" s="4">
        <v>25.0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ht="12.75" customHeight="1">
      <c r="A6933" s="4">
        <v>3706.0</v>
      </c>
      <c r="B6933" s="4">
        <v>26464.0</v>
      </c>
      <c r="C6933" s="5">
        <f t="shared" si="2932"/>
        <v>40888</v>
      </c>
      <c r="D6933" s="4" t="s">
        <v>30</v>
      </c>
      <c r="E6933" s="4">
        <v>26.0</v>
      </c>
      <c r="F6933" s="4">
        <v>1280.65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</v>
      </c>
      <c r="U6933" s="5">
        <f>C6933+1</f>
        <v>40889</v>
      </c>
    </row>
    <row r="6934" ht="12.75" customHeight="1">
      <c r="A6934" s="4">
        <v>3727.0</v>
      </c>
      <c r="B6934" s="4">
        <v>26631.0</v>
      </c>
      <c r="C6934" s="5">
        <f>DATE(2012,12,31)-791</f>
        <v>40483</v>
      </c>
      <c r="D6934" s="4" t="s">
        <v>78</v>
      </c>
      <c r="E6934" s="4">
        <v>37.0</v>
      </c>
      <c r="F6934" s="4">
        <v>231.65</v>
      </c>
      <c r="G6934" s="4">
        <v>0.0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ht="12.75" customHeight="1">
      <c r="A6935" s="4">
        <v>3734.0</v>
      </c>
      <c r="B6935" s="4">
        <v>26689.0</v>
      </c>
      <c r="C6935" s="5">
        <f>DATE(2012,12,31)-1189</f>
        <v>40085</v>
      </c>
      <c r="D6935" s="4" t="s">
        <v>30</v>
      </c>
      <c r="E6935" s="4">
        <v>2.0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ht="12.75" customHeight="1">
      <c r="A6936" s="4">
        <v>3751.0</v>
      </c>
      <c r="B6936" s="4">
        <v>26786.0</v>
      </c>
      <c r="C6936" s="5">
        <f>DATE(2012,12,31)-999</f>
        <v>40275</v>
      </c>
      <c r="D6936" s="4" t="s">
        <v>63</v>
      </c>
      <c r="E6936" s="4">
        <v>29.0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0.58</v>
      </c>
      <c r="U6936" s="5">
        <f t="shared" ref="U6936:U6937" si="2933">C6936+1</f>
        <v>40276</v>
      </c>
    </row>
    <row r="6937" ht="12.75" customHeight="1">
      <c r="A6937" s="4">
        <v>3778.0</v>
      </c>
      <c r="B6937" s="4">
        <v>26976.0</v>
      </c>
      <c r="C6937" s="5">
        <f t="shared" ref="C6937:C6939" si="2934">DATE(2012,12,31)-591</f>
        <v>40683</v>
      </c>
      <c r="D6937" s="4" t="s">
        <v>45</v>
      </c>
      <c r="E6937" s="4">
        <v>44.0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3"/>
        <v>40684</v>
      </c>
    </row>
    <row r="6938" ht="12.75" customHeight="1">
      <c r="A6938" s="4">
        <v>3779.0</v>
      </c>
      <c r="B6938" s="4">
        <v>26976.0</v>
      </c>
      <c r="C6938" s="5">
        <f t="shared" si="2934"/>
        <v>40683</v>
      </c>
      <c r="D6938" s="4" t="s">
        <v>45</v>
      </c>
      <c r="E6938" s="4">
        <v>28.0</v>
      </c>
      <c r="F6938" s="4">
        <v>1417.21</v>
      </c>
      <c r="G6938" s="4">
        <v>0.07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ht="12.75" customHeight="1">
      <c r="A6939" s="4">
        <v>3780.0</v>
      </c>
      <c r="B6939" s="4">
        <v>26976.0</v>
      </c>
      <c r="C6939" s="5">
        <f t="shared" si="2934"/>
        <v>40683</v>
      </c>
      <c r="D6939" s="4" t="s">
        <v>45</v>
      </c>
      <c r="E6939" s="4">
        <v>11.0</v>
      </c>
      <c r="F6939" s="4">
        <v>1154.9375</v>
      </c>
      <c r="G6939" s="4">
        <v>0.04</v>
      </c>
      <c r="H6939" s="4" t="s">
        <v>56</v>
      </c>
      <c r="I6939" s="6">
        <v>-176.055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0.57</v>
      </c>
      <c r="U6939" s="5">
        <f t="shared" ref="U6939:U6940" si="2935">C6939+1</f>
        <v>40684</v>
      </c>
    </row>
    <row r="6940" ht="12.75" customHeight="1">
      <c r="A6940" s="4">
        <v>3814.0</v>
      </c>
      <c r="B6940" s="4">
        <v>27169.0</v>
      </c>
      <c r="C6940" s="5">
        <f>DATE(2012,12,31)-477</f>
        <v>40797</v>
      </c>
      <c r="D6940" s="4" t="s">
        <v>45</v>
      </c>
      <c r="E6940" s="4">
        <v>16.0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5"/>
        <v>40798</v>
      </c>
    </row>
    <row r="6941" ht="12.75" customHeight="1">
      <c r="A6941" s="4">
        <v>3837.0</v>
      </c>
      <c r="B6941" s="4">
        <v>27363.0</v>
      </c>
      <c r="C6941" s="5">
        <f>DATE(2012,12,31)-440</f>
        <v>40834</v>
      </c>
      <c r="D6941" s="4" t="s">
        <v>63</v>
      </c>
      <c r="E6941" s="4">
        <v>6.0</v>
      </c>
      <c r="F6941" s="4">
        <v>646.14</v>
      </c>
      <c r="G6941" s="4">
        <v>0.07</v>
      </c>
      <c r="H6941" s="4" t="s">
        <v>22</v>
      </c>
      <c r="I6941" s="6">
        <v>-265.62</v>
      </c>
      <c r="J6941" s="4">
        <v>101.41</v>
      </c>
      <c r="K6941" s="4">
        <v>35.0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6">C6941+2</f>
        <v>40836</v>
      </c>
    </row>
    <row r="6942" ht="12.75" customHeight="1">
      <c r="A6942" s="4">
        <v>3858.0</v>
      </c>
      <c r="B6942" s="4">
        <v>27524.0</v>
      </c>
      <c r="C6942" s="5">
        <f>DATE(2012,12,31)-1064</f>
        <v>40210</v>
      </c>
      <c r="D6942" s="4" t="s">
        <v>45</v>
      </c>
      <c r="E6942" s="4">
        <v>50.0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6"/>
        <v>40212</v>
      </c>
    </row>
    <row r="6943" ht="12.75" customHeight="1">
      <c r="A6943" s="4">
        <v>3862.0</v>
      </c>
      <c r="B6943" s="4">
        <v>27554.0</v>
      </c>
      <c r="C6943" s="5">
        <f>DATE(2012,12,31)-662</f>
        <v>40612</v>
      </c>
      <c r="D6943" s="4" t="s">
        <v>78</v>
      </c>
      <c r="E6943" s="4">
        <v>45.0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6"/>
        <v>40614</v>
      </c>
    </row>
    <row r="6944" ht="12.75" customHeight="1">
      <c r="A6944" s="4">
        <v>3879.0</v>
      </c>
      <c r="B6944" s="4">
        <v>27712.0</v>
      </c>
      <c r="C6944" s="5">
        <f>DATE(2012,12,31)-1033</f>
        <v>40241</v>
      </c>
      <c r="D6944" s="4" t="s">
        <v>21</v>
      </c>
      <c r="E6944" s="4">
        <v>20.0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ht="12.75" customHeight="1">
      <c r="A6945" s="4">
        <v>3880.0</v>
      </c>
      <c r="B6945" s="4">
        <v>27715.0</v>
      </c>
      <c r="C6945" s="5">
        <f>DATE(2012,12,31)-469</f>
        <v>40805</v>
      </c>
      <c r="D6945" s="4" t="s">
        <v>30</v>
      </c>
      <c r="E6945" s="4">
        <v>12.0</v>
      </c>
      <c r="F6945" s="4">
        <v>94.52</v>
      </c>
      <c r="G6945" s="4">
        <v>0.06</v>
      </c>
      <c r="H6945" s="4" t="s">
        <v>22</v>
      </c>
      <c r="I6945" s="6">
        <v>-36.225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ht="12.75" customHeight="1">
      <c r="A6946" s="4">
        <v>3882.0</v>
      </c>
      <c r="B6946" s="4">
        <v>27744.0</v>
      </c>
      <c r="C6946" s="5">
        <f>DATE(2012,12,31)-881</f>
        <v>40393</v>
      </c>
      <c r="D6946" s="4" t="s">
        <v>78</v>
      </c>
      <c r="E6946" s="4">
        <v>22.0</v>
      </c>
      <c r="F6946" s="4">
        <v>106.69</v>
      </c>
      <c r="G6946" s="4">
        <v>0.01</v>
      </c>
      <c r="H6946" s="4" t="s">
        <v>22</v>
      </c>
      <c r="I6946" s="6">
        <v>-76.6015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ht="12.75" customHeight="1">
      <c r="A6947" s="4">
        <v>3883.0</v>
      </c>
      <c r="B6947" s="4">
        <v>27745.0</v>
      </c>
      <c r="C6947" s="5">
        <f>DATE(2012,12,31)-833</f>
        <v>40441</v>
      </c>
      <c r="D6947" s="4" t="s">
        <v>21</v>
      </c>
      <c r="E6947" s="4">
        <v>41.0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ht="12.75" customHeight="1">
      <c r="A6948" s="4">
        <v>3917.0</v>
      </c>
      <c r="B6948" s="4">
        <v>27936.0</v>
      </c>
      <c r="C6948" s="5">
        <f>DATE(2012,12,31)-543</f>
        <v>40731</v>
      </c>
      <c r="D6948" s="4" t="s">
        <v>30</v>
      </c>
      <c r="E6948" s="4">
        <v>3.0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0.57</v>
      </c>
      <c r="U6948" s="5">
        <f>C6948+2</f>
        <v>40733</v>
      </c>
    </row>
    <row r="6949" ht="12.75" customHeight="1">
      <c r="A6949" s="4">
        <v>3930.0</v>
      </c>
      <c r="B6949" s="4">
        <v>28007.0</v>
      </c>
      <c r="C6949" s="5">
        <f t="shared" ref="C6949:C6951" si="2937">DATE(2012,12,31)-998</f>
        <v>40276</v>
      </c>
      <c r="D6949" s="4" t="s">
        <v>45</v>
      </c>
      <c r="E6949" s="4">
        <v>23.0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49.0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8">C6949+1</f>
        <v>40277</v>
      </c>
    </row>
    <row r="6950" ht="12.75" customHeight="1">
      <c r="A6950" s="4">
        <v>3931.0</v>
      </c>
      <c r="B6950" s="4">
        <v>28007.0</v>
      </c>
      <c r="C6950" s="5">
        <f t="shared" si="2937"/>
        <v>40276</v>
      </c>
      <c r="D6950" s="4" t="s">
        <v>45</v>
      </c>
      <c r="E6950" s="4">
        <v>20.0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0.58</v>
      </c>
      <c r="U6950" s="5">
        <f t="shared" si="2938"/>
        <v>40277</v>
      </c>
    </row>
    <row r="6951" ht="12.75" customHeight="1">
      <c r="A6951" s="4">
        <v>3932.0</v>
      </c>
      <c r="B6951" s="4">
        <v>28007.0</v>
      </c>
      <c r="C6951" s="5">
        <f t="shared" si="2937"/>
        <v>40276</v>
      </c>
      <c r="D6951" s="4" t="s">
        <v>45</v>
      </c>
      <c r="E6951" s="4">
        <v>20.0</v>
      </c>
      <c r="F6951" s="4">
        <v>257.34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8"/>
        <v>40277</v>
      </c>
    </row>
    <row r="6952" ht="12.75" customHeight="1">
      <c r="A6952" s="4">
        <v>3944.0</v>
      </c>
      <c r="B6952" s="4">
        <v>28129.0</v>
      </c>
      <c r="C6952" s="5">
        <f>DATE(2012,12,31)-340</f>
        <v>40934</v>
      </c>
      <c r="D6952" s="4" t="s">
        <v>63</v>
      </c>
      <c r="E6952" s="4">
        <v>5.0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8"/>
        <v>40935</v>
      </c>
    </row>
    <row r="6953" ht="12.75" customHeight="1">
      <c r="A6953" s="4">
        <v>3954.0</v>
      </c>
      <c r="B6953" s="4">
        <v>28224.0</v>
      </c>
      <c r="C6953" s="5">
        <f>DATE(2012,12,31)-12</f>
        <v>41262</v>
      </c>
      <c r="D6953" s="4" t="s">
        <v>78</v>
      </c>
      <c r="E6953" s="4">
        <v>25.0</v>
      </c>
      <c r="F6953" s="4">
        <v>163.41</v>
      </c>
      <c r="G6953" s="4">
        <v>0.07</v>
      </c>
      <c r="H6953" s="4" t="s">
        <v>22</v>
      </c>
      <c r="I6953" s="6">
        <v>-91.27550000000001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8"/>
        <v>41263</v>
      </c>
    </row>
    <row r="6954" ht="12.75" customHeight="1">
      <c r="A6954" s="4">
        <v>3970.0</v>
      </c>
      <c r="B6954" s="4">
        <v>28354.0</v>
      </c>
      <c r="C6954" s="5">
        <f>DATE(2012,12,31)-1375</f>
        <v>39899</v>
      </c>
      <c r="D6954" s="4" t="s">
        <v>21</v>
      </c>
      <c r="E6954" s="4">
        <v>34.0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4.0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ht="12.75" customHeight="1">
      <c r="A6955" s="4">
        <v>3973.0</v>
      </c>
      <c r="B6955" s="4">
        <v>28387.0</v>
      </c>
      <c r="C6955" s="5">
        <f t="shared" ref="C6955:C6956" si="2939">DATE(2012,12,31)-185</f>
        <v>41089</v>
      </c>
      <c r="D6955" s="4" t="s">
        <v>45</v>
      </c>
      <c r="E6955" s="4">
        <v>37.0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19.99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40">C6955+1</f>
        <v>41090</v>
      </c>
    </row>
    <row r="6956" ht="12.75" customHeight="1">
      <c r="A6956" s="4">
        <v>3974.0</v>
      </c>
      <c r="B6956" s="4">
        <v>28387.0</v>
      </c>
      <c r="C6956" s="5">
        <f t="shared" si="2939"/>
        <v>41089</v>
      </c>
      <c r="D6956" s="4" t="s">
        <v>45</v>
      </c>
      <c r="E6956" s="4">
        <v>13.0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40"/>
        <v>41090</v>
      </c>
    </row>
    <row r="6957" ht="12.75" customHeight="1">
      <c r="A6957" s="4">
        <v>3991.0</v>
      </c>
      <c r="B6957" s="4">
        <v>28485.0</v>
      </c>
      <c r="C6957" s="5">
        <f>DATE(2012,12,31)-354</f>
        <v>40920</v>
      </c>
      <c r="D6957" s="4" t="s">
        <v>30</v>
      </c>
      <c r="E6957" s="4">
        <v>12.0</v>
      </c>
      <c r="F6957" s="4">
        <v>49.18</v>
      </c>
      <c r="G6957" s="4">
        <v>0.07</v>
      </c>
      <c r="H6957" s="4" t="s">
        <v>22</v>
      </c>
      <c r="I6957" s="6">
        <v>0.58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</v>
      </c>
      <c r="U6957" s="5">
        <f>C6957+0</f>
        <v>40920</v>
      </c>
    </row>
    <row r="6958" ht="12.75" customHeight="1">
      <c r="A6958" s="4">
        <v>4014.0</v>
      </c>
      <c r="B6958" s="4">
        <v>28643.0</v>
      </c>
      <c r="C6958" s="5">
        <f>DATE(2012,12,31)-979</f>
        <v>40295</v>
      </c>
      <c r="D6958" s="4" t="s">
        <v>45</v>
      </c>
      <c r="E6958" s="4">
        <v>16.0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ht="12.75" customHeight="1">
      <c r="A6959" s="4">
        <v>4019.0</v>
      </c>
      <c r="B6959" s="4">
        <v>28737.0</v>
      </c>
      <c r="C6959" s="5">
        <f t="shared" ref="C6959:C6960" si="2941">DATE(2012,12,31)-455</f>
        <v>40819</v>
      </c>
      <c r="D6959" s="4" t="s">
        <v>78</v>
      </c>
      <c r="E6959" s="4">
        <v>50.0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8.45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</v>
      </c>
      <c r="U6959" s="5">
        <f t="shared" ref="U6959:U6960" si="2942">C6959+2</f>
        <v>40821</v>
      </c>
    </row>
    <row r="6960" ht="12.75" customHeight="1">
      <c r="A6960" s="4">
        <v>4020.0</v>
      </c>
      <c r="B6960" s="4">
        <v>28737.0</v>
      </c>
      <c r="C6960" s="5">
        <f t="shared" si="2941"/>
        <v>40819</v>
      </c>
      <c r="D6960" s="4" t="s">
        <v>78</v>
      </c>
      <c r="E6960" s="4">
        <v>17.0</v>
      </c>
      <c r="F6960" s="4">
        <v>1721.641</v>
      </c>
      <c r="G6960" s="4">
        <v>0.04</v>
      </c>
      <c r="H6960" s="4" t="s">
        <v>22</v>
      </c>
      <c r="I6960" s="6">
        <v>242.442</v>
      </c>
      <c r="J6960" s="4">
        <v>115.99</v>
      </c>
      <c r="K6960" s="4">
        <v>4.23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</v>
      </c>
      <c r="U6960" s="5">
        <f t="shared" si="2942"/>
        <v>40821</v>
      </c>
    </row>
    <row r="6961" ht="12.75" customHeight="1">
      <c r="A6961" s="4">
        <v>4038.0</v>
      </c>
      <c r="B6961" s="4">
        <v>28807.0</v>
      </c>
      <c r="C6961" s="5">
        <f>DATE(2012,12,31)-641</f>
        <v>40633</v>
      </c>
      <c r="D6961" s="4" t="s">
        <v>30</v>
      </c>
      <c r="E6961" s="4">
        <v>9.0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3">C6961+1</f>
        <v>40634</v>
      </c>
    </row>
    <row r="6962" ht="12.75" customHeight="1">
      <c r="A6962" s="4">
        <v>4039.0</v>
      </c>
      <c r="B6962" s="4">
        <v>28832.0</v>
      </c>
      <c r="C6962" s="5">
        <f t="shared" ref="C6962:C6963" si="2944">DATE(2012,12,31)-829</f>
        <v>40445</v>
      </c>
      <c r="D6962" s="4" t="s">
        <v>63</v>
      </c>
      <c r="E6962" s="4">
        <v>46.0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3"/>
        <v>40446</v>
      </c>
    </row>
    <row r="6963" ht="12.75" customHeight="1">
      <c r="A6963" s="4">
        <v>4040.0</v>
      </c>
      <c r="B6963" s="4">
        <v>28832.0</v>
      </c>
      <c r="C6963" s="5">
        <f t="shared" si="2944"/>
        <v>40445</v>
      </c>
      <c r="D6963" s="4" t="s">
        <v>63</v>
      </c>
      <c r="E6963" s="4">
        <v>45.0</v>
      </c>
      <c r="F6963" s="4">
        <v>98.64</v>
      </c>
      <c r="G6963" s="4">
        <v>0.03</v>
      </c>
      <c r="H6963" s="4" t="s">
        <v>22</v>
      </c>
      <c r="I6963" s="6">
        <v>-9.361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ht="12.75" customHeight="1">
      <c r="A6964" s="4">
        <v>4064.0</v>
      </c>
      <c r="B6964" s="4">
        <v>28933.0</v>
      </c>
      <c r="C6964" s="5">
        <f t="shared" ref="C6964:C6965" si="2945">DATE(2012,12,31)-1271</f>
        <v>40003</v>
      </c>
      <c r="D6964" s="4" t="s">
        <v>78</v>
      </c>
      <c r="E6964" s="4">
        <v>1.0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6">C6964+1</f>
        <v>40004</v>
      </c>
    </row>
    <row r="6965" ht="12.75" customHeight="1">
      <c r="A6965" s="4">
        <v>4065.0</v>
      </c>
      <c r="B6965" s="4">
        <v>28933.0</v>
      </c>
      <c r="C6965" s="5">
        <f t="shared" si="2945"/>
        <v>40003</v>
      </c>
      <c r="D6965" s="4" t="s">
        <v>78</v>
      </c>
      <c r="E6965" s="4">
        <v>38.0</v>
      </c>
      <c r="F6965" s="4">
        <v>156.2</v>
      </c>
      <c r="G6965" s="4">
        <v>0.03</v>
      </c>
      <c r="H6965" s="4" t="s">
        <v>22</v>
      </c>
      <c r="I6965" s="6">
        <v>43.0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6"/>
        <v>40004</v>
      </c>
    </row>
    <row r="6966" ht="12.75" customHeight="1">
      <c r="A6966" s="4">
        <v>4080.0</v>
      </c>
      <c r="B6966" s="4">
        <v>29090.0</v>
      </c>
      <c r="C6966" s="5">
        <f t="shared" ref="C6966:C6967" si="2947">DATE(2012,12,31)-350</f>
        <v>40924</v>
      </c>
      <c r="D6966" s="4" t="s">
        <v>63</v>
      </c>
      <c r="E6966" s="4">
        <v>24.0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6"/>
        <v>40925</v>
      </c>
    </row>
    <row r="6967" ht="12.75" customHeight="1">
      <c r="A6967" s="4">
        <v>4081.0</v>
      </c>
      <c r="B6967" s="4">
        <v>29090.0</v>
      </c>
      <c r="C6967" s="5">
        <f t="shared" si="2947"/>
        <v>40924</v>
      </c>
      <c r="D6967" s="4" t="s">
        <v>63</v>
      </c>
      <c r="E6967" s="4">
        <v>36.0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0.58</v>
      </c>
      <c r="U6967" s="5">
        <f>C6967+0</f>
        <v>40924</v>
      </c>
    </row>
    <row r="6968" ht="12.75" customHeight="1">
      <c r="A6968" s="4">
        <v>4107.0</v>
      </c>
      <c r="B6968" s="4">
        <v>29221.0</v>
      </c>
      <c r="C6968" s="5">
        <f>DATE(2012,12,31)-216</f>
        <v>41058</v>
      </c>
      <c r="D6968" s="4" t="s">
        <v>30</v>
      </c>
      <c r="E6968" s="4">
        <v>41.0</v>
      </c>
      <c r="F6968" s="4">
        <v>325.33</v>
      </c>
      <c r="G6968" s="4">
        <v>0.0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ht="12.75" customHeight="1">
      <c r="A6969" s="4">
        <v>4116.0</v>
      </c>
      <c r="B6969" s="4">
        <v>29284.0</v>
      </c>
      <c r="C6969" s="5">
        <f>DATE(2012,12,31)-1361</f>
        <v>39913</v>
      </c>
      <c r="D6969" s="4" t="s">
        <v>63</v>
      </c>
      <c r="E6969" s="4">
        <v>20.0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ht="12.75" customHeight="1">
      <c r="A6970" s="4">
        <v>4159.0</v>
      </c>
      <c r="B6970" s="4">
        <v>29505.0</v>
      </c>
      <c r="C6970" s="5">
        <f>DATE(2012,12,31)-4</f>
        <v>41270</v>
      </c>
      <c r="D6970" s="4" t="s">
        <v>63</v>
      </c>
      <c r="E6970" s="4">
        <v>22.0</v>
      </c>
      <c r="F6970" s="4">
        <v>45.21</v>
      </c>
      <c r="G6970" s="4">
        <v>0.02</v>
      </c>
      <c r="H6970" s="4" t="s">
        <v>56</v>
      </c>
      <c r="I6970" s="6">
        <v>4.61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</v>
      </c>
      <c r="U6970" s="5">
        <f t="shared" ref="U6970:U6971" si="2948">C6970+1</f>
        <v>41271</v>
      </c>
    </row>
    <row r="6971" ht="12.75" customHeight="1">
      <c r="A6971" s="4">
        <v>4198.0</v>
      </c>
      <c r="B6971" s="4">
        <v>29831.0</v>
      </c>
      <c r="C6971" s="5">
        <f>DATE(2012,12,31)-277</f>
        <v>40997</v>
      </c>
      <c r="D6971" s="4" t="s">
        <v>78</v>
      </c>
      <c r="E6971" s="4">
        <v>29.0</v>
      </c>
      <c r="F6971" s="4">
        <v>2175.22</v>
      </c>
      <c r="G6971" s="4">
        <v>0.0</v>
      </c>
      <c r="H6971" s="4" t="s">
        <v>31</v>
      </c>
      <c r="I6971" s="6">
        <v>-520.55</v>
      </c>
      <c r="J6971" s="4">
        <v>68.81</v>
      </c>
      <c r="K6971" s="4">
        <v>60.0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8"/>
        <v>40998</v>
      </c>
    </row>
    <row r="6972" ht="12.75" customHeight="1">
      <c r="A6972" s="4">
        <v>4309.0</v>
      </c>
      <c r="B6972" s="4">
        <v>30720.0</v>
      </c>
      <c r="C6972" s="5">
        <f t="shared" ref="C6972:C6973" si="2949">DATE(2012,12,31)-95</f>
        <v>41179</v>
      </c>
      <c r="D6972" s="4" t="s">
        <v>21</v>
      </c>
      <c r="E6972" s="4">
        <v>5.0</v>
      </c>
      <c r="F6972" s="4">
        <v>32.77</v>
      </c>
      <c r="G6972" s="4">
        <v>0.07</v>
      </c>
      <c r="H6972" s="4" t="s">
        <v>22</v>
      </c>
      <c r="I6972" s="6">
        <v>-17.1925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50">C6972+7</f>
        <v>41186</v>
      </c>
    </row>
    <row r="6973" ht="12.75" customHeight="1">
      <c r="A6973" s="4">
        <v>4310.0</v>
      </c>
      <c r="B6973" s="4">
        <v>30720.0</v>
      </c>
      <c r="C6973" s="5">
        <f t="shared" si="2949"/>
        <v>41179</v>
      </c>
      <c r="D6973" s="4" t="s">
        <v>21</v>
      </c>
      <c r="E6973" s="4">
        <v>37.0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50"/>
        <v>41186</v>
      </c>
    </row>
    <row r="6974" ht="12.75" customHeight="1">
      <c r="A6974" s="4">
        <v>4318.0</v>
      </c>
      <c r="B6974" s="4">
        <v>30759.0</v>
      </c>
      <c r="C6974" s="5">
        <f>DATE(2012,12,31)-1333</f>
        <v>39941</v>
      </c>
      <c r="D6974" s="4" t="s">
        <v>45</v>
      </c>
      <c r="E6974" s="4">
        <v>2.0</v>
      </c>
      <c r="F6974" s="4">
        <v>64.79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1">C6974+2</f>
        <v>39943</v>
      </c>
    </row>
    <row r="6975" ht="12.75" customHeight="1">
      <c r="A6975" s="4">
        <v>4327.0</v>
      </c>
      <c r="B6975" s="4">
        <v>30848.0</v>
      </c>
      <c r="C6975" s="5">
        <f>DATE(2012,12,31)-610</f>
        <v>40664</v>
      </c>
      <c r="D6975" s="4" t="s">
        <v>63</v>
      </c>
      <c r="E6975" s="4">
        <v>13.0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1"/>
        <v>40666</v>
      </c>
    </row>
    <row r="6976" ht="12.75" customHeight="1">
      <c r="A6976" s="4">
        <v>4334.0</v>
      </c>
      <c r="B6976" s="4">
        <v>30885.0</v>
      </c>
      <c r="C6976" s="5">
        <f>DATE(2012,12,31)-924</f>
        <v>40350</v>
      </c>
      <c r="D6976" s="4" t="s">
        <v>30</v>
      </c>
      <c r="E6976" s="4">
        <v>24.0</v>
      </c>
      <c r="F6976" s="4">
        <v>234.24</v>
      </c>
      <c r="G6976" s="4">
        <v>0.09</v>
      </c>
      <c r="H6976" s="4" t="s">
        <v>22</v>
      </c>
      <c r="I6976" s="6">
        <v>-151.8</v>
      </c>
      <c r="J6976" s="4">
        <v>9.71</v>
      </c>
      <c r="K6976" s="4">
        <v>9.45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ht="12.75" customHeight="1">
      <c r="A6977" s="4">
        <v>4336.0</v>
      </c>
      <c r="B6977" s="4">
        <v>30887.0</v>
      </c>
      <c r="C6977" s="5">
        <f>DATE(2012,12,31)-908</f>
        <v>40366</v>
      </c>
      <c r="D6977" s="4" t="s">
        <v>78</v>
      </c>
      <c r="E6977" s="4">
        <v>44.0</v>
      </c>
      <c r="F6977" s="4">
        <v>4357.117</v>
      </c>
      <c r="G6977" s="4">
        <v>0.07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0.58</v>
      </c>
      <c r="U6977" s="5">
        <f>C6977+0</f>
        <v>40366</v>
      </c>
    </row>
    <row r="6978" ht="12.75" customHeight="1">
      <c r="A6978" s="4">
        <v>4382.0</v>
      </c>
      <c r="B6978" s="4">
        <v>31233.0</v>
      </c>
      <c r="C6978" s="5">
        <f t="shared" ref="C6978:C6981" si="2952">DATE(2012,12,31)-464</f>
        <v>40810</v>
      </c>
      <c r="D6978" s="4" t="s">
        <v>21</v>
      </c>
      <c r="E6978" s="4">
        <v>41.0</v>
      </c>
      <c r="F6978" s="4">
        <v>1298.29</v>
      </c>
      <c r="G6978" s="4">
        <v>0.06</v>
      </c>
      <c r="H6978" s="4" t="s">
        <v>22</v>
      </c>
      <c r="I6978" s="6">
        <v>542.33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ht="12.75" customHeight="1">
      <c r="A6979" s="4">
        <v>4383.0</v>
      </c>
      <c r="B6979" s="4">
        <v>31233.0</v>
      </c>
      <c r="C6979" s="5">
        <f t="shared" si="2952"/>
        <v>40810</v>
      </c>
      <c r="D6979" s="4" t="s">
        <v>21</v>
      </c>
      <c r="E6979" s="4">
        <v>3.0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</v>
      </c>
      <c r="K6979" s="4">
        <v>5.02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ht="12.75" customHeight="1">
      <c r="A6980" s="4">
        <v>4384.0</v>
      </c>
      <c r="B6980" s="4">
        <v>31233.0</v>
      </c>
      <c r="C6980" s="5">
        <f t="shared" si="2952"/>
        <v>40810</v>
      </c>
      <c r="D6980" s="4" t="s">
        <v>21</v>
      </c>
      <c r="E6980" s="4">
        <v>35.0</v>
      </c>
      <c r="F6980" s="4">
        <v>590.32</v>
      </c>
      <c r="G6980" s="4">
        <v>0.06</v>
      </c>
      <c r="H6980" s="4" t="s">
        <v>22</v>
      </c>
      <c r="I6980" s="6">
        <v>-91.31</v>
      </c>
      <c r="J6980" s="4">
        <v>16.99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</v>
      </c>
      <c r="U6980" s="5">
        <f>C6980+4</f>
        <v>40814</v>
      </c>
    </row>
    <row r="6981" ht="12.75" customHeight="1">
      <c r="A6981" s="4">
        <v>4385.0</v>
      </c>
      <c r="B6981" s="4">
        <v>31233.0</v>
      </c>
      <c r="C6981" s="5">
        <f t="shared" si="2952"/>
        <v>40810</v>
      </c>
      <c r="D6981" s="4" t="s">
        <v>21</v>
      </c>
      <c r="E6981" s="4">
        <v>19.0</v>
      </c>
      <c r="F6981" s="4">
        <v>4245.93</v>
      </c>
      <c r="G6981" s="4">
        <v>0.0</v>
      </c>
      <c r="H6981" s="4" t="s">
        <v>22</v>
      </c>
      <c r="I6981" s="6">
        <v>-626.45</v>
      </c>
      <c r="J6981" s="4">
        <v>209.37</v>
      </c>
      <c r="K6981" s="4">
        <v>69.0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ht="12.75" customHeight="1">
      <c r="A6982" s="4">
        <v>4410.0</v>
      </c>
      <c r="B6982" s="4">
        <v>31461.0</v>
      </c>
      <c r="C6982" s="5">
        <f>DATE(2012,12,31)-553</f>
        <v>40721</v>
      </c>
      <c r="D6982" s="4" t="s">
        <v>63</v>
      </c>
      <c r="E6982" s="4">
        <v>26.0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0.57</v>
      </c>
      <c r="U6982" s="5">
        <f t="shared" ref="U6982:U6983" si="2953">C6982+2</f>
        <v>40723</v>
      </c>
    </row>
    <row r="6983" ht="12.75" customHeight="1">
      <c r="A6983" s="4">
        <v>4422.0</v>
      </c>
      <c r="B6983" s="4">
        <v>31524.0</v>
      </c>
      <c r="C6983" s="5">
        <f>DATE(2012,12,31)-554</f>
        <v>40720</v>
      </c>
      <c r="D6983" s="4" t="s">
        <v>21</v>
      </c>
      <c r="E6983" s="4">
        <v>10.0</v>
      </c>
      <c r="F6983" s="4">
        <v>1025.88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42.0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3"/>
        <v>40722</v>
      </c>
    </row>
    <row r="6984" ht="12.75" customHeight="1">
      <c r="A6984" s="4">
        <v>4433.0</v>
      </c>
      <c r="B6984" s="4">
        <v>31590.0</v>
      </c>
      <c r="C6984" s="5">
        <f t="shared" ref="C6984:C6985" si="2954">DATE(2012,12,31)-940</f>
        <v>40334</v>
      </c>
      <c r="D6984" s="4" t="s">
        <v>78</v>
      </c>
      <c r="E6984" s="4">
        <v>5.0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ht="12.75" customHeight="1">
      <c r="A6985" s="4">
        <v>4434.0</v>
      </c>
      <c r="B6985" s="4">
        <v>31590.0</v>
      </c>
      <c r="C6985" s="5">
        <f t="shared" si="2954"/>
        <v>40334</v>
      </c>
      <c r="D6985" s="4" t="s">
        <v>78</v>
      </c>
      <c r="E6985" s="4">
        <v>27.0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ht="12.75" customHeight="1">
      <c r="A6986" s="4">
        <v>4438.0</v>
      </c>
      <c r="B6986" s="4">
        <v>31619.0</v>
      </c>
      <c r="C6986" s="5">
        <f t="shared" ref="C6986:C6987" si="2955">DATE(2012,12,31)-1201</f>
        <v>40073</v>
      </c>
      <c r="D6986" s="4" t="s">
        <v>21</v>
      </c>
      <c r="E6986" s="4">
        <v>11.0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0.58</v>
      </c>
      <c r="U6986" s="5">
        <f>C6986+7</f>
        <v>40080</v>
      </c>
    </row>
    <row r="6987" ht="12.75" customHeight="1">
      <c r="A6987" s="4">
        <v>4439.0</v>
      </c>
      <c r="B6987" s="4">
        <v>31619.0</v>
      </c>
      <c r="C6987" s="5">
        <f t="shared" si="2955"/>
        <v>40073</v>
      </c>
      <c r="D6987" s="4" t="s">
        <v>21</v>
      </c>
      <c r="E6987" s="4">
        <v>9.0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39.98</v>
      </c>
      <c r="K6987" s="4">
        <v>9.2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ht="12.75" customHeight="1">
      <c r="A6988" s="4">
        <v>4450.0</v>
      </c>
      <c r="B6988" s="4">
        <v>31715.0</v>
      </c>
      <c r="C6988" s="5">
        <f t="shared" ref="C6988:C6989" si="2956">DATE(2012,12,31)-1452</f>
        <v>39822</v>
      </c>
      <c r="D6988" s="4" t="s">
        <v>45</v>
      </c>
      <c r="E6988" s="4">
        <v>11.0</v>
      </c>
      <c r="F6988" s="4">
        <v>68.5</v>
      </c>
      <c r="G6988" s="4">
        <v>0.01</v>
      </c>
      <c r="H6988" s="4" t="s">
        <v>22</v>
      </c>
      <c r="I6988" s="6">
        <v>-53.8545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ht="12.75" customHeight="1">
      <c r="A6989" s="4">
        <v>4451.0</v>
      </c>
      <c r="B6989" s="4">
        <v>31715.0</v>
      </c>
      <c r="C6989" s="5">
        <f t="shared" si="2956"/>
        <v>39822</v>
      </c>
      <c r="D6989" s="4" t="s">
        <v>45</v>
      </c>
      <c r="E6989" s="4">
        <v>44.0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</v>
      </c>
      <c r="U6989" s="5">
        <f t="shared" ref="U6989:U6990" si="2957">C6989+0</f>
        <v>39822</v>
      </c>
    </row>
    <row r="6990" ht="12.75" customHeight="1">
      <c r="A6990" s="4">
        <v>4509.0</v>
      </c>
      <c r="B6990" s="4">
        <v>32099.0</v>
      </c>
      <c r="C6990" s="5">
        <f>DATE(2012,12,31)-971</f>
        <v>40303</v>
      </c>
      <c r="D6990" s="4" t="s">
        <v>45</v>
      </c>
      <c r="E6990" s="4">
        <v>41.0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7"/>
        <v>40303</v>
      </c>
    </row>
    <row r="6991" ht="12.75" customHeight="1">
      <c r="A6991" s="4">
        <v>4513.0</v>
      </c>
      <c r="B6991" s="4">
        <v>32129.0</v>
      </c>
      <c r="C6991" s="5">
        <f t="shared" ref="C6991:C6992" si="2958">DATE(2012,12,31)-548</f>
        <v>40726</v>
      </c>
      <c r="D6991" s="4" t="s">
        <v>78</v>
      </c>
      <c r="E6991" s="4">
        <v>20.0</v>
      </c>
      <c r="F6991" s="4">
        <v>129.27</v>
      </c>
      <c r="G6991" s="4">
        <v>0.07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ht="12.75" customHeight="1">
      <c r="A6992" s="4">
        <v>4514.0</v>
      </c>
      <c r="B6992" s="4">
        <v>32129.0</v>
      </c>
      <c r="C6992" s="5">
        <f t="shared" si="2958"/>
        <v>40726</v>
      </c>
      <c r="D6992" s="4" t="s">
        <v>78</v>
      </c>
      <c r="E6992" s="4">
        <v>4.0</v>
      </c>
      <c r="F6992" s="4">
        <v>8467.68</v>
      </c>
      <c r="G6992" s="4">
        <v>0.01</v>
      </c>
      <c r="H6992" s="4" t="s">
        <v>31</v>
      </c>
      <c r="I6992" s="6">
        <v>-3669.051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</v>
      </c>
      <c r="U6992" s="5">
        <f>C6992+2</f>
        <v>40728</v>
      </c>
    </row>
    <row r="6993" ht="12.75" customHeight="1">
      <c r="A6993" s="4">
        <v>4536.0</v>
      </c>
      <c r="B6993" s="4">
        <v>32291.0</v>
      </c>
      <c r="C6993" s="5">
        <f t="shared" ref="C6993:C6994" si="2959">DATE(2012,12,31)-1152</f>
        <v>40122</v>
      </c>
      <c r="D6993" s="4" t="s">
        <v>63</v>
      </c>
      <c r="E6993" s="4">
        <v>13.0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ht="12.75" customHeight="1">
      <c r="A6994" s="4">
        <v>4537.0</v>
      </c>
      <c r="B6994" s="4">
        <v>32291.0</v>
      </c>
      <c r="C6994" s="5">
        <f t="shared" si="2959"/>
        <v>40122</v>
      </c>
      <c r="D6994" s="4" t="s">
        <v>63</v>
      </c>
      <c r="E6994" s="4">
        <v>4.0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ht="12.75" customHeight="1">
      <c r="A6995" s="4">
        <v>4622.0</v>
      </c>
      <c r="B6995" s="4">
        <v>32902.0</v>
      </c>
      <c r="C6995" s="5">
        <f t="shared" ref="C6995:C6996" si="2960">DATE(2012,12,31)-303</f>
        <v>40971</v>
      </c>
      <c r="D6995" s="4" t="s">
        <v>30</v>
      </c>
      <c r="E6995" s="4">
        <v>23.0</v>
      </c>
      <c r="F6995" s="4">
        <v>1638.67</v>
      </c>
      <c r="G6995" s="4">
        <v>0.05</v>
      </c>
      <c r="H6995" s="4" t="s">
        <v>31</v>
      </c>
      <c r="I6995" s="6">
        <v>-527.83</v>
      </c>
      <c r="J6995" s="4">
        <v>68.81</v>
      </c>
      <c r="K6995" s="4">
        <v>60.0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1">C6995+2</f>
        <v>40973</v>
      </c>
    </row>
    <row r="6996" ht="12.75" customHeight="1">
      <c r="A6996" s="4">
        <v>4623.0</v>
      </c>
      <c r="B6996" s="4">
        <v>32902.0</v>
      </c>
      <c r="C6996" s="5">
        <f t="shared" si="2960"/>
        <v>40971</v>
      </c>
      <c r="D6996" s="4" t="s">
        <v>30</v>
      </c>
      <c r="E6996" s="4">
        <v>8.0</v>
      </c>
      <c r="F6996" s="4">
        <v>64.1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8.37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0.58</v>
      </c>
      <c r="U6996" s="5">
        <f t="shared" si="2961"/>
        <v>40973</v>
      </c>
    </row>
    <row r="6997" ht="12.75" customHeight="1">
      <c r="A6997" s="4">
        <v>4629.0</v>
      </c>
      <c r="B6997" s="4">
        <v>32932.0</v>
      </c>
      <c r="C6997" s="5">
        <f>DATE(2012,12,31)-1087</f>
        <v>40187</v>
      </c>
      <c r="D6997" s="4" t="s">
        <v>21</v>
      </c>
      <c r="E6997" s="4">
        <v>49.0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ht="12.75" customHeight="1">
      <c r="A6998" s="4">
        <v>4648.0</v>
      </c>
      <c r="B6998" s="4">
        <v>33095.0</v>
      </c>
      <c r="C6998" s="5">
        <f t="shared" ref="C6998:C6999" si="2962">DATE(2012,12,31)-1415</f>
        <v>39859</v>
      </c>
      <c r="D6998" s="4" t="s">
        <v>45</v>
      </c>
      <c r="E6998" s="4">
        <v>30.0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ht="12.75" customHeight="1">
      <c r="A6999" s="4">
        <v>4649.0</v>
      </c>
      <c r="B6999" s="4">
        <v>33095.0</v>
      </c>
      <c r="C6999" s="5">
        <f t="shared" si="2962"/>
        <v>39859</v>
      </c>
      <c r="D6999" s="4" t="s">
        <v>45</v>
      </c>
      <c r="E6999" s="4">
        <v>34.0</v>
      </c>
      <c r="F6999" s="4">
        <v>2548.3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19.99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3">C6999+1</f>
        <v>39860</v>
      </c>
    </row>
    <row r="7000" ht="12.75" customHeight="1">
      <c r="A7000" s="4">
        <v>4652.0</v>
      </c>
      <c r="B7000" s="4">
        <v>33126.0</v>
      </c>
      <c r="C7000" s="5">
        <f t="shared" ref="C7000:C7001" si="2964">DATE(2012,12,31)-415</f>
        <v>40859</v>
      </c>
      <c r="D7000" s="4" t="s">
        <v>78</v>
      </c>
      <c r="E7000" s="4">
        <v>46.0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3"/>
        <v>40860</v>
      </c>
    </row>
    <row r="7001" ht="12.75" customHeight="1">
      <c r="A7001" s="4">
        <v>4653.0</v>
      </c>
      <c r="B7001" s="4">
        <v>33126.0</v>
      </c>
      <c r="C7001" s="5">
        <f t="shared" si="2964"/>
        <v>40859</v>
      </c>
      <c r="D7001" s="4" t="s">
        <v>78</v>
      </c>
      <c r="E7001" s="4">
        <v>28.0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5">C7001+2</f>
        <v>40861</v>
      </c>
    </row>
    <row r="7002" ht="12.75" customHeight="1">
      <c r="A7002" s="4">
        <v>4669.0</v>
      </c>
      <c r="B7002" s="4">
        <v>33222.0</v>
      </c>
      <c r="C7002" s="5">
        <f t="shared" ref="C7002:C7004" si="2966">DATE(2012,12,31)-195</f>
        <v>41079</v>
      </c>
      <c r="D7002" s="4" t="s">
        <v>63</v>
      </c>
      <c r="E7002" s="4">
        <v>18.0</v>
      </c>
      <c r="F7002" s="4">
        <v>420.76</v>
      </c>
      <c r="G7002" s="4">
        <v>0.05</v>
      </c>
      <c r="H7002" s="4" t="s">
        <v>22</v>
      </c>
      <c r="I7002" s="6">
        <v>-56.212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5"/>
        <v>41081</v>
      </c>
    </row>
    <row r="7003" ht="12.75" customHeight="1">
      <c r="A7003" s="4">
        <v>4670.0</v>
      </c>
      <c r="B7003" s="4">
        <v>33222.0</v>
      </c>
      <c r="C7003" s="5">
        <f t="shared" si="2966"/>
        <v>41079</v>
      </c>
      <c r="D7003" s="4" t="s">
        <v>63</v>
      </c>
      <c r="E7003" s="4">
        <v>30.0</v>
      </c>
      <c r="F7003" s="4">
        <v>1676.46</v>
      </c>
      <c r="G7003" s="4">
        <v>0.1</v>
      </c>
      <c r="H7003" s="4" t="s">
        <v>31</v>
      </c>
      <c r="I7003" s="6">
        <v>-626.08</v>
      </c>
      <c r="J7003" s="4">
        <v>60.98</v>
      </c>
      <c r="K7003" s="4">
        <v>30.0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ht="12.75" customHeight="1">
      <c r="A7004" s="4">
        <v>4671.0</v>
      </c>
      <c r="B7004" s="4">
        <v>33222.0</v>
      </c>
      <c r="C7004" s="5">
        <f t="shared" si="2966"/>
        <v>41079</v>
      </c>
      <c r="D7004" s="4" t="s">
        <v>63</v>
      </c>
      <c r="E7004" s="4">
        <v>48.0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</v>
      </c>
      <c r="U7004" s="5">
        <f t="shared" ref="U7004:U7005" si="2967">C7004+2</f>
        <v>41081</v>
      </c>
    </row>
    <row r="7005" ht="12.75" customHeight="1">
      <c r="A7005" s="4">
        <v>4681.0</v>
      </c>
      <c r="B7005" s="4">
        <v>33317.0</v>
      </c>
      <c r="C7005" s="5">
        <f t="shared" ref="C7005:C7008" si="2968">DATE(2012,12,31)-1330</f>
        <v>39944</v>
      </c>
      <c r="D7005" s="4" t="s">
        <v>30</v>
      </c>
      <c r="E7005" s="4">
        <v>35.0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</v>
      </c>
      <c r="K7005" s="4">
        <v>49.0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7"/>
        <v>39946</v>
      </c>
    </row>
    <row r="7006" ht="12.75" customHeight="1">
      <c r="A7006" s="4">
        <v>4682.0</v>
      </c>
      <c r="B7006" s="4">
        <v>33317.0</v>
      </c>
      <c r="C7006" s="5">
        <f t="shared" si="2968"/>
        <v>39944</v>
      </c>
      <c r="D7006" s="4" t="s">
        <v>30</v>
      </c>
      <c r="E7006" s="4">
        <v>18.0</v>
      </c>
      <c r="F7006" s="4">
        <v>44.52</v>
      </c>
      <c r="G7006" s="4">
        <v>0.03</v>
      </c>
      <c r="H7006" s="4" t="s">
        <v>22</v>
      </c>
      <c r="I7006" s="6">
        <v>-90.5855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ht="12.75" customHeight="1">
      <c r="A7007" s="4">
        <v>4683.0</v>
      </c>
      <c r="B7007" s="4">
        <v>33317.0</v>
      </c>
      <c r="C7007" s="5">
        <f t="shared" si="2968"/>
        <v>39944</v>
      </c>
      <c r="D7007" s="4" t="s">
        <v>30</v>
      </c>
      <c r="E7007" s="4">
        <v>5.0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</v>
      </c>
      <c r="K7007" s="4">
        <v>9.45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ht="12.75" customHeight="1">
      <c r="A7008" s="4">
        <v>4684.0</v>
      </c>
      <c r="B7008" s="4">
        <v>33317.0</v>
      </c>
      <c r="C7008" s="5">
        <f t="shared" si="2968"/>
        <v>39944</v>
      </c>
      <c r="D7008" s="4" t="s">
        <v>30</v>
      </c>
      <c r="E7008" s="4">
        <v>13.0</v>
      </c>
      <c r="F7008" s="4">
        <v>602.4205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</v>
      </c>
      <c r="U7008" s="5">
        <f>C7008+2</f>
        <v>39946</v>
      </c>
    </row>
    <row r="7009" ht="12.75" customHeight="1">
      <c r="A7009" s="4">
        <v>4693.0</v>
      </c>
      <c r="B7009" s="4">
        <v>33445.0</v>
      </c>
      <c r="C7009" s="5">
        <f t="shared" ref="C7009:C7011" si="2969">DATE(2012,12,31)-151</f>
        <v>41123</v>
      </c>
      <c r="D7009" s="4" t="s">
        <v>21</v>
      </c>
      <c r="E7009" s="4">
        <v>18.0</v>
      </c>
      <c r="F7009" s="4">
        <v>1776.96</v>
      </c>
      <c r="G7009" s="4">
        <v>0.07</v>
      </c>
      <c r="H7009" s="4" t="s">
        <v>31</v>
      </c>
      <c r="I7009" s="6">
        <v>-197.06</v>
      </c>
      <c r="J7009" s="4">
        <v>100.98</v>
      </c>
      <c r="K7009" s="4">
        <v>35.84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70">C7009+5</f>
        <v>41128</v>
      </c>
    </row>
    <row r="7010" ht="12.75" customHeight="1">
      <c r="A7010" s="4">
        <v>4694.0</v>
      </c>
      <c r="B7010" s="4">
        <v>33445.0</v>
      </c>
      <c r="C7010" s="5">
        <f t="shared" si="2969"/>
        <v>41123</v>
      </c>
      <c r="D7010" s="4" t="s">
        <v>21</v>
      </c>
      <c r="E7010" s="4">
        <v>49.0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70"/>
        <v>41128</v>
      </c>
    </row>
    <row r="7011" ht="12.75" customHeight="1">
      <c r="A7011" s="4">
        <v>4695.0</v>
      </c>
      <c r="B7011" s="4">
        <v>33445.0</v>
      </c>
      <c r="C7011" s="5">
        <f t="shared" si="2969"/>
        <v>41123</v>
      </c>
      <c r="D7011" s="4" t="s">
        <v>21</v>
      </c>
      <c r="E7011" s="4">
        <v>16.0</v>
      </c>
      <c r="F7011" s="4">
        <v>2982.5</v>
      </c>
      <c r="G7011" s="4">
        <v>0.05</v>
      </c>
      <c r="H7011" s="4" t="s">
        <v>22</v>
      </c>
      <c r="I7011" s="6">
        <v>-589.58</v>
      </c>
      <c r="J7011" s="4">
        <v>182.55</v>
      </c>
      <c r="K7011" s="4">
        <v>69.0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1">C7011+2</f>
        <v>41125</v>
      </c>
    </row>
    <row r="7012" ht="12.75" customHeight="1">
      <c r="A7012" s="4">
        <v>4719.0</v>
      </c>
      <c r="B7012" s="4">
        <v>33604.0</v>
      </c>
      <c r="C7012" s="5">
        <f>DATE(2012,12,31)-501</f>
        <v>40773</v>
      </c>
      <c r="D7012" s="4" t="s">
        <v>30</v>
      </c>
      <c r="E7012" s="4">
        <v>10.0</v>
      </c>
      <c r="F7012" s="4">
        <v>59.62</v>
      </c>
      <c r="G7012" s="4">
        <v>0.04</v>
      </c>
      <c r="H7012" s="4" t="s">
        <v>22</v>
      </c>
      <c r="I7012" s="6">
        <v>-56.304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1"/>
        <v>40775</v>
      </c>
    </row>
    <row r="7013" ht="12.75" customHeight="1">
      <c r="A7013" s="4">
        <v>4731.0</v>
      </c>
      <c r="B7013" s="4">
        <v>33696.0</v>
      </c>
      <c r="C7013" s="5">
        <f>DATE(2012,12,31)-1334</f>
        <v>39940</v>
      </c>
      <c r="D7013" s="4" t="s">
        <v>30</v>
      </c>
      <c r="E7013" s="4">
        <v>2.0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4.0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1"/>
        <v>39942</v>
      </c>
    </row>
    <row r="7014" ht="12.75" customHeight="1">
      <c r="A7014" s="4">
        <v>4737.0</v>
      </c>
      <c r="B7014" s="4">
        <v>33702.0</v>
      </c>
      <c r="C7014" s="5">
        <f>DATE(2012,12,31)-120</f>
        <v>41154</v>
      </c>
      <c r="D7014" s="4" t="s">
        <v>45</v>
      </c>
      <c r="E7014" s="4">
        <v>14.0</v>
      </c>
      <c r="F7014" s="4">
        <v>56.26</v>
      </c>
      <c r="G7014" s="4">
        <v>0.0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ht="12.75" customHeight="1">
      <c r="A7015" s="4">
        <v>4778.0</v>
      </c>
      <c r="B7015" s="4">
        <v>33923.0</v>
      </c>
      <c r="C7015" s="5">
        <f>DATE(2012,12,31)-1454</f>
        <v>39820</v>
      </c>
      <c r="D7015" s="4" t="s">
        <v>21</v>
      </c>
      <c r="E7015" s="4">
        <v>34.0</v>
      </c>
      <c r="F7015" s="4">
        <v>1961.7914999999998</v>
      </c>
      <c r="G7015" s="4">
        <v>0.05</v>
      </c>
      <c r="H7015" s="4" t="s">
        <v>22</v>
      </c>
      <c r="I7015" s="6">
        <v>425.754</v>
      </c>
      <c r="J7015" s="4">
        <v>65.99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0.58</v>
      </c>
      <c r="U7015" s="5">
        <f>C7015+4</f>
        <v>39824</v>
      </c>
    </row>
    <row r="7016" ht="12.75" customHeight="1">
      <c r="A7016" s="4">
        <v>4779.0</v>
      </c>
      <c r="B7016" s="4">
        <v>33924.0</v>
      </c>
      <c r="C7016" s="5">
        <f>DATE(2012,12,31)-74</f>
        <v>41200</v>
      </c>
      <c r="D7016" s="4" t="s">
        <v>45</v>
      </c>
      <c r="E7016" s="4">
        <v>12.0</v>
      </c>
      <c r="F7016" s="4">
        <v>6168.07</v>
      </c>
      <c r="G7016" s="4">
        <v>0.05</v>
      </c>
      <c r="H7016" s="4" t="s">
        <v>31</v>
      </c>
      <c r="I7016" s="6">
        <v>1542.0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ht="12.75" customHeight="1">
      <c r="A7017" s="4">
        <v>4786.0</v>
      </c>
      <c r="B7017" s="4">
        <v>33987.0</v>
      </c>
      <c r="C7017" s="5">
        <f>DATE(2012,12,31)-433</f>
        <v>40841</v>
      </c>
      <c r="D7017" s="4" t="s">
        <v>30</v>
      </c>
      <c r="E7017" s="4">
        <v>27.0</v>
      </c>
      <c r="F7017" s="4">
        <v>1521.1345</v>
      </c>
      <c r="G7017" s="4">
        <v>0.07</v>
      </c>
      <c r="H7017" s="4" t="s">
        <v>22</v>
      </c>
      <c r="I7017" s="6">
        <v>270.603</v>
      </c>
      <c r="J7017" s="4">
        <v>65.99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ht="12.75" customHeight="1">
      <c r="A7018" s="4">
        <v>4814.0</v>
      </c>
      <c r="B7018" s="4">
        <v>34243.0</v>
      </c>
      <c r="C7018" s="5">
        <f t="shared" ref="C7018:C7020" si="2972">DATE(2012,12,31)-689</f>
        <v>40585</v>
      </c>
      <c r="D7018" s="4" t="s">
        <v>30</v>
      </c>
      <c r="E7018" s="4">
        <v>10.0</v>
      </c>
      <c r="F7018" s="4">
        <v>89.04</v>
      </c>
      <c r="G7018" s="4">
        <v>0.08</v>
      </c>
      <c r="H7018" s="4" t="s">
        <v>22</v>
      </c>
      <c r="I7018" s="6">
        <v>-16.49</v>
      </c>
      <c r="J7018" s="4">
        <v>8.75</v>
      </c>
      <c r="K7018" s="4">
        <v>8.54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ht="12.75" customHeight="1">
      <c r="A7019" s="4">
        <v>4815.0</v>
      </c>
      <c r="B7019" s="4">
        <v>34243.0</v>
      </c>
      <c r="C7019" s="5">
        <f t="shared" si="2972"/>
        <v>40585</v>
      </c>
      <c r="D7019" s="4" t="s">
        <v>30</v>
      </c>
      <c r="E7019" s="4">
        <v>40.0</v>
      </c>
      <c r="F7019" s="4">
        <v>297.34</v>
      </c>
      <c r="G7019" s="4">
        <v>0.04</v>
      </c>
      <c r="H7019" s="4" t="s">
        <v>56</v>
      </c>
      <c r="I7019" s="6">
        <v>-270.96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ht="12.75" customHeight="1">
      <c r="A7020" s="4">
        <v>4816.0</v>
      </c>
      <c r="B7020" s="4">
        <v>34243.0</v>
      </c>
      <c r="C7020" s="5">
        <f t="shared" si="2972"/>
        <v>40585</v>
      </c>
      <c r="D7020" s="4" t="s">
        <v>30</v>
      </c>
      <c r="E7020" s="4">
        <v>35.0</v>
      </c>
      <c r="F7020" s="4">
        <v>1264.13</v>
      </c>
      <c r="G7020" s="4">
        <v>0.02</v>
      </c>
      <c r="H7020" s="4" t="s">
        <v>22</v>
      </c>
      <c r="I7020" s="6">
        <v>-1087.36</v>
      </c>
      <c r="J7020" s="4">
        <v>35.48</v>
      </c>
      <c r="K7020" s="4">
        <v>35.0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3">C7020+2</f>
        <v>40587</v>
      </c>
    </row>
    <row r="7021" ht="12.75" customHeight="1">
      <c r="A7021" s="4">
        <v>4825.0</v>
      </c>
      <c r="B7021" s="4">
        <v>34279.0</v>
      </c>
      <c r="C7021" s="5">
        <f>DATE(2012,12,31)-278</f>
        <v>40996</v>
      </c>
      <c r="D7021" s="4" t="s">
        <v>45</v>
      </c>
      <c r="E7021" s="4">
        <v>3.0</v>
      </c>
      <c r="F7021" s="4">
        <v>840.5520000000001</v>
      </c>
      <c r="G7021" s="4">
        <v>0.1</v>
      </c>
      <c r="H7021" s="4" t="s">
        <v>31</v>
      </c>
      <c r="I7021" s="6">
        <v>7.550000000000011</v>
      </c>
      <c r="J7021" s="4">
        <v>349.45</v>
      </c>
      <c r="K7021" s="4">
        <v>60.0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3"/>
        <v>40998</v>
      </c>
    </row>
    <row r="7022" ht="12.75" customHeight="1">
      <c r="A7022" s="4">
        <v>4837.0</v>
      </c>
      <c r="B7022" s="4">
        <v>34406.0</v>
      </c>
      <c r="C7022" s="5">
        <f>DATE(2012,12,31)-94</f>
        <v>41180</v>
      </c>
      <c r="D7022" s="4" t="s">
        <v>63</v>
      </c>
      <c r="E7022" s="4">
        <v>29.0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ht="12.75" customHeight="1">
      <c r="A7023" s="4">
        <v>4861.0</v>
      </c>
      <c r="B7023" s="4">
        <v>34597.0</v>
      </c>
      <c r="C7023" s="5">
        <f>DATE(2012,12,31)-746</f>
        <v>40528</v>
      </c>
      <c r="D7023" s="4" t="s">
        <v>63</v>
      </c>
      <c r="E7023" s="4">
        <v>8.0</v>
      </c>
      <c r="F7023" s="4">
        <v>849.337</v>
      </c>
      <c r="G7023" s="4">
        <v>0.07</v>
      </c>
      <c r="H7023" s="4" t="s">
        <v>56</v>
      </c>
      <c r="I7023" s="6">
        <v>-258.852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0.58</v>
      </c>
      <c r="U7023" s="5">
        <f t="shared" ref="U7023:U7026" si="2974">C7023+2</f>
        <v>40530</v>
      </c>
    </row>
    <row r="7024" ht="12.75" customHeight="1">
      <c r="A7024" s="4">
        <v>4914.0</v>
      </c>
      <c r="B7024" s="4">
        <v>34980.0</v>
      </c>
      <c r="C7024" s="5">
        <f t="shared" ref="C7024:C7026" si="2975">DATE(2012,12,31)-882</f>
        <v>40392</v>
      </c>
      <c r="D7024" s="4" t="s">
        <v>45</v>
      </c>
      <c r="E7024" s="4">
        <v>7.0</v>
      </c>
      <c r="F7024" s="4">
        <v>140.77</v>
      </c>
      <c r="G7024" s="4">
        <v>0.01</v>
      </c>
      <c r="H7024" s="4" t="s">
        <v>22</v>
      </c>
      <c r="I7024" s="6">
        <v>100.77</v>
      </c>
      <c r="J7024" s="4">
        <v>18.65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4"/>
        <v>40394</v>
      </c>
    </row>
    <row r="7025" ht="12.75" customHeight="1">
      <c r="A7025" s="4">
        <v>4915.0</v>
      </c>
      <c r="B7025" s="4">
        <v>34980.0</v>
      </c>
      <c r="C7025" s="5">
        <f t="shared" si="2975"/>
        <v>40392</v>
      </c>
      <c r="D7025" s="4" t="s">
        <v>45</v>
      </c>
      <c r="E7025" s="4">
        <v>25.0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4"/>
        <v>40394</v>
      </c>
    </row>
    <row r="7026" ht="12.75" customHeight="1">
      <c r="A7026" s="4">
        <v>4916.0</v>
      </c>
      <c r="B7026" s="4">
        <v>34980.0</v>
      </c>
      <c r="C7026" s="5">
        <f t="shared" si="2975"/>
        <v>40392</v>
      </c>
      <c r="D7026" s="4" t="s">
        <v>45</v>
      </c>
      <c r="E7026" s="4">
        <v>12.0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5.1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4"/>
        <v>40394</v>
      </c>
    </row>
    <row r="7027" ht="12.75" customHeight="1">
      <c r="A7027" s="4">
        <v>4968.0</v>
      </c>
      <c r="B7027" s="4">
        <v>35361.0</v>
      </c>
      <c r="C7027" s="5">
        <f t="shared" ref="C7027:C7028" si="2976">DATE(2012,12,31)-1365</f>
        <v>39909</v>
      </c>
      <c r="D7027" s="4" t="s">
        <v>63</v>
      </c>
      <c r="E7027" s="4">
        <v>40.0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9.03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7">C7027+1</f>
        <v>39910</v>
      </c>
    </row>
    <row r="7028" ht="12.75" customHeight="1">
      <c r="A7028" s="4">
        <v>4969.0</v>
      </c>
      <c r="B7028" s="4">
        <v>35361.0</v>
      </c>
      <c r="C7028" s="5">
        <f t="shared" si="2976"/>
        <v>39909</v>
      </c>
      <c r="D7028" s="4" t="s">
        <v>63</v>
      </c>
      <c r="E7028" s="4">
        <v>37.0</v>
      </c>
      <c r="F7028" s="4">
        <v>313.4</v>
      </c>
      <c r="G7028" s="4">
        <v>0.0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7"/>
        <v>39910</v>
      </c>
    </row>
    <row r="7029" ht="12.75" customHeight="1">
      <c r="A7029" s="4">
        <v>4998.0</v>
      </c>
      <c r="B7029" s="4">
        <v>35587.0</v>
      </c>
      <c r="C7029" s="5">
        <f>DATE(2012,12,31)-417</f>
        <v>40857</v>
      </c>
      <c r="D7029" s="4" t="s">
        <v>78</v>
      </c>
      <c r="E7029" s="4">
        <v>43.0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7"/>
        <v>40858</v>
      </c>
    </row>
    <row r="7030" ht="12.75" customHeight="1">
      <c r="A7030" s="4">
        <v>5014.0</v>
      </c>
      <c r="B7030" s="4">
        <v>35780.0</v>
      </c>
      <c r="C7030" s="5">
        <f>DATE(2012,12,31)-714</f>
        <v>40560</v>
      </c>
      <c r="D7030" s="4" t="s">
        <v>63</v>
      </c>
      <c r="E7030" s="4">
        <v>6.0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0.58</v>
      </c>
      <c r="U7030" s="5">
        <f>C7030+2</f>
        <v>40562</v>
      </c>
    </row>
    <row r="7031" ht="12.75" customHeight="1">
      <c r="A7031" s="4">
        <v>5024.0</v>
      </c>
      <c r="B7031" s="4">
        <v>35814.0</v>
      </c>
      <c r="C7031" s="5">
        <f>DATE(2012,12,31)-279</f>
        <v>40995</v>
      </c>
      <c r="D7031" s="4" t="s">
        <v>30</v>
      </c>
      <c r="E7031" s="4">
        <v>11.0</v>
      </c>
      <c r="F7031" s="4">
        <v>324.52</v>
      </c>
      <c r="G7031" s="4">
        <v>0.08</v>
      </c>
      <c r="H7031" s="4" t="s">
        <v>22</v>
      </c>
      <c r="I7031" s="6">
        <v>154.02</v>
      </c>
      <c r="J7031" s="4">
        <v>29.18</v>
      </c>
      <c r="K7031" s="4">
        <v>8.55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ht="12.75" customHeight="1">
      <c r="A7032" s="4">
        <v>5044.0</v>
      </c>
      <c r="B7032" s="4">
        <v>35938.0</v>
      </c>
      <c r="C7032" s="5">
        <f t="shared" ref="C7032:C7033" si="2978">DATE(2012,12,31)-44</f>
        <v>41230</v>
      </c>
      <c r="D7032" s="4" t="s">
        <v>45</v>
      </c>
      <c r="E7032" s="4">
        <v>6.0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57.0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ht="12.75" customHeight="1">
      <c r="A7033" s="4">
        <v>5045.0</v>
      </c>
      <c r="B7033" s="4">
        <v>35938.0</v>
      </c>
      <c r="C7033" s="5">
        <f t="shared" si="2978"/>
        <v>41230</v>
      </c>
      <c r="D7033" s="4" t="s">
        <v>45</v>
      </c>
      <c r="E7033" s="4">
        <v>48.0</v>
      </c>
      <c r="F7033" s="4">
        <v>628.33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9.37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</v>
      </c>
      <c r="U7033" s="5">
        <f>C7033+1</f>
        <v>41231</v>
      </c>
    </row>
    <row r="7034" ht="12.75" customHeight="1">
      <c r="A7034" s="4">
        <v>5047.0</v>
      </c>
      <c r="B7034" s="4">
        <v>35968.0</v>
      </c>
      <c r="C7034" s="5">
        <f>DATE(2012,12,31)-303</f>
        <v>40971</v>
      </c>
      <c r="D7034" s="4" t="s">
        <v>45</v>
      </c>
      <c r="E7034" s="4">
        <v>21.0</v>
      </c>
      <c r="F7034" s="4">
        <v>141.2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ht="12.75" customHeight="1">
      <c r="A7035" s="4">
        <v>5053.0</v>
      </c>
      <c r="B7035" s="4">
        <v>36033.0</v>
      </c>
      <c r="C7035" s="5">
        <f>DATE(2012,12,31)-1108</f>
        <v>40166</v>
      </c>
      <c r="D7035" s="4" t="s">
        <v>45</v>
      </c>
      <c r="E7035" s="4">
        <v>15.0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ht="12.75" customHeight="1">
      <c r="A7036" s="4">
        <v>5057.0</v>
      </c>
      <c r="B7036" s="4">
        <v>36067.0</v>
      </c>
      <c r="C7036" s="5">
        <f>DATE(2012,12,31)-1276</f>
        <v>39998</v>
      </c>
      <c r="D7036" s="4" t="s">
        <v>30</v>
      </c>
      <c r="E7036" s="4">
        <v>37.0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19.99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ht="12.75" customHeight="1">
      <c r="A7037" s="4">
        <v>5071.0</v>
      </c>
      <c r="B7037" s="4">
        <v>36131.0</v>
      </c>
      <c r="C7037" s="5">
        <f>DATE(2012,12,31)-1324</f>
        <v>39950</v>
      </c>
      <c r="D7037" s="4" t="s">
        <v>30</v>
      </c>
      <c r="E7037" s="4">
        <v>26.0</v>
      </c>
      <c r="F7037" s="4">
        <v>493.43</v>
      </c>
      <c r="G7037" s="4">
        <v>0.07</v>
      </c>
      <c r="H7037" s="4" t="s">
        <v>22</v>
      </c>
      <c r="I7037" s="6">
        <v>120.18</v>
      </c>
      <c r="J7037" s="4">
        <v>19.84</v>
      </c>
      <c r="K7037" s="4">
        <v>4.1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ht="12.75" customHeight="1">
      <c r="A7038" s="4">
        <v>5076.0</v>
      </c>
      <c r="B7038" s="4">
        <v>36160.0</v>
      </c>
      <c r="C7038" s="5">
        <f>DATE(2012,12,31)-39</f>
        <v>41235</v>
      </c>
      <c r="D7038" s="4" t="s">
        <v>21</v>
      </c>
      <c r="E7038" s="4">
        <v>12.0</v>
      </c>
      <c r="F7038" s="4">
        <v>2218.891</v>
      </c>
      <c r="G7038" s="4">
        <v>0.0</v>
      </c>
      <c r="H7038" s="4" t="s">
        <v>56</v>
      </c>
      <c r="I7038" s="6">
        <v>79.542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</v>
      </c>
      <c r="U7038" s="5">
        <f>C7038+7</f>
        <v>41242</v>
      </c>
    </row>
    <row r="7039" ht="12.75" customHeight="1">
      <c r="A7039" s="4">
        <v>5079.0</v>
      </c>
      <c r="B7039" s="4">
        <v>36196.0</v>
      </c>
      <c r="C7039" s="5">
        <f>DATE(2012,12,31)-513</f>
        <v>40761</v>
      </c>
      <c r="D7039" s="4" t="s">
        <v>45</v>
      </c>
      <c r="E7039" s="4">
        <v>7.0</v>
      </c>
      <c r="F7039" s="4">
        <v>39.01</v>
      </c>
      <c r="G7039" s="4">
        <v>0.07</v>
      </c>
      <c r="H7039" s="4" t="s">
        <v>22</v>
      </c>
      <c r="I7039" s="6">
        <v>-38.44</v>
      </c>
      <c r="J7039" s="4">
        <v>4.98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9">C7039+2</f>
        <v>40763</v>
      </c>
    </row>
    <row r="7040" ht="12.75" customHeight="1">
      <c r="A7040" s="4">
        <v>5101.0</v>
      </c>
      <c r="B7040" s="4">
        <v>36356.0</v>
      </c>
      <c r="C7040" s="5">
        <f t="shared" ref="C7040:C7041" si="2980">DATE(2012,12,31)-372</f>
        <v>40902</v>
      </c>
      <c r="D7040" s="4" t="s">
        <v>63</v>
      </c>
      <c r="E7040" s="4">
        <v>45.0</v>
      </c>
      <c r="F7040" s="4">
        <v>4768.59</v>
      </c>
      <c r="G7040" s="4">
        <v>0.01</v>
      </c>
      <c r="H7040" s="4" t="s">
        <v>31</v>
      </c>
      <c r="I7040" s="6">
        <v>-593.8</v>
      </c>
      <c r="J7040" s="4">
        <v>100.98</v>
      </c>
      <c r="K7040" s="4">
        <v>45.0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9"/>
        <v>40904</v>
      </c>
    </row>
    <row r="7041" ht="12.75" customHeight="1">
      <c r="A7041" s="4">
        <v>5102.0</v>
      </c>
      <c r="B7041" s="4">
        <v>36356.0</v>
      </c>
      <c r="C7041" s="5">
        <f t="shared" si="2980"/>
        <v>40902</v>
      </c>
      <c r="D7041" s="4" t="s">
        <v>63</v>
      </c>
      <c r="E7041" s="4">
        <v>33.0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9"/>
        <v>40904</v>
      </c>
    </row>
    <row r="7042" ht="12.75" customHeight="1">
      <c r="A7042" s="4">
        <v>5140.0</v>
      </c>
      <c r="B7042" s="4">
        <v>36647.0</v>
      </c>
      <c r="C7042" s="5">
        <f t="shared" ref="C7042:C7044" si="2981">DATE(2012,12,31)-1280</f>
        <v>39994</v>
      </c>
      <c r="D7042" s="4" t="s">
        <v>30</v>
      </c>
      <c r="E7042" s="4">
        <v>21.0</v>
      </c>
      <c r="F7042" s="4">
        <v>179.98</v>
      </c>
      <c r="G7042" s="4">
        <v>0.01</v>
      </c>
      <c r="H7042" s="4" t="s">
        <v>22</v>
      </c>
      <c r="I7042" s="6">
        <v>38.7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2">C7042+1</f>
        <v>39995</v>
      </c>
    </row>
    <row r="7043" ht="12.75" customHeight="1">
      <c r="A7043" s="4">
        <v>5141.0</v>
      </c>
      <c r="B7043" s="4">
        <v>36647.0</v>
      </c>
      <c r="C7043" s="5">
        <f t="shared" si="2981"/>
        <v>39994</v>
      </c>
      <c r="D7043" s="4" t="s">
        <v>30</v>
      </c>
      <c r="E7043" s="4">
        <v>16.0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2"/>
        <v>39995</v>
      </c>
    </row>
    <row r="7044" ht="12.75" customHeight="1">
      <c r="A7044" s="4">
        <v>5142.0</v>
      </c>
      <c r="B7044" s="4">
        <v>36647.0</v>
      </c>
      <c r="C7044" s="5">
        <f t="shared" si="2981"/>
        <v>39994</v>
      </c>
      <c r="D7044" s="4" t="s">
        <v>30</v>
      </c>
      <c r="E7044" s="4">
        <v>18.0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</v>
      </c>
      <c r="K7044" s="4">
        <v>9.45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ht="12.75" customHeight="1">
      <c r="A7045" s="4">
        <v>5159.0</v>
      </c>
      <c r="B7045" s="4">
        <v>36737.0</v>
      </c>
      <c r="C7045" s="5">
        <f t="shared" ref="C7045:C7046" si="2983">DATE(2012,12,31)-1022</f>
        <v>40252</v>
      </c>
      <c r="D7045" s="4" t="s">
        <v>45</v>
      </c>
      <c r="E7045" s="4">
        <v>10.0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19.99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4">C7045+1</f>
        <v>40253</v>
      </c>
    </row>
    <row r="7046" ht="12.75" customHeight="1">
      <c r="A7046" s="4">
        <v>5160.0</v>
      </c>
      <c r="B7046" s="4">
        <v>36737.0</v>
      </c>
      <c r="C7046" s="5">
        <f t="shared" si="2983"/>
        <v>40252</v>
      </c>
      <c r="D7046" s="4" t="s">
        <v>45</v>
      </c>
      <c r="E7046" s="4">
        <v>10.0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</v>
      </c>
      <c r="U7046" s="5">
        <f t="shared" si="2984"/>
        <v>40253</v>
      </c>
    </row>
    <row r="7047" ht="12.75" customHeight="1">
      <c r="A7047" s="4">
        <v>5177.0</v>
      </c>
      <c r="B7047" s="4">
        <v>36832.0</v>
      </c>
      <c r="C7047" s="5">
        <f t="shared" ref="C7047:C7048" si="2985">DATE(2012,12,31)-213</f>
        <v>41061</v>
      </c>
      <c r="D7047" s="4" t="s">
        <v>21</v>
      </c>
      <c r="E7047" s="4">
        <v>43.0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ht="12.75" customHeight="1">
      <c r="A7048" s="4">
        <v>5178.0</v>
      </c>
      <c r="B7048" s="4">
        <v>36832.0</v>
      </c>
      <c r="C7048" s="5">
        <f t="shared" si="2985"/>
        <v>41061</v>
      </c>
      <c r="D7048" s="4" t="s">
        <v>21</v>
      </c>
      <c r="E7048" s="4">
        <v>24.0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</v>
      </c>
      <c r="U7048" s="5">
        <f>C7048+5</f>
        <v>41066</v>
      </c>
    </row>
    <row r="7049" ht="12.75" customHeight="1">
      <c r="A7049" s="4">
        <v>5184.0</v>
      </c>
      <c r="B7049" s="4">
        <v>36836.0</v>
      </c>
      <c r="C7049" s="5">
        <f>DATE(2012,12,31)-1039</f>
        <v>40235</v>
      </c>
      <c r="D7049" s="4" t="s">
        <v>63</v>
      </c>
      <c r="E7049" s="4">
        <v>43.0</v>
      </c>
      <c r="F7049" s="4">
        <v>16116.33</v>
      </c>
      <c r="G7049" s="4">
        <v>0.08</v>
      </c>
      <c r="H7049" s="4" t="s">
        <v>22</v>
      </c>
      <c r="I7049" s="6">
        <v>6919.867</v>
      </c>
      <c r="J7049" s="4">
        <v>387.99</v>
      </c>
      <c r="K7049" s="4">
        <v>19.99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ht="12.75" customHeight="1">
      <c r="A7050" s="4">
        <v>5188.0</v>
      </c>
      <c r="B7050" s="4">
        <v>36867.0</v>
      </c>
      <c r="C7050" s="5">
        <f t="shared" ref="C7050:C7051" si="2986">DATE(2012,12,31)-1213</f>
        <v>40061</v>
      </c>
      <c r="D7050" s="4" t="s">
        <v>30</v>
      </c>
      <c r="E7050" s="4">
        <v>21.0</v>
      </c>
      <c r="F7050" s="4">
        <v>5482.18</v>
      </c>
      <c r="G7050" s="4">
        <v>0.06</v>
      </c>
      <c r="H7050" s="4" t="s">
        <v>56</v>
      </c>
      <c r="I7050" s="6">
        <v>1167.38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7">C7050+2</f>
        <v>40063</v>
      </c>
    </row>
    <row r="7051" ht="12.75" customHeight="1">
      <c r="A7051" s="4">
        <v>5189.0</v>
      </c>
      <c r="B7051" s="4">
        <v>36867.0</v>
      </c>
      <c r="C7051" s="5">
        <f t="shared" si="2986"/>
        <v>40061</v>
      </c>
      <c r="D7051" s="4" t="s">
        <v>30</v>
      </c>
      <c r="E7051" s="4">
        <v>16.0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</v>
      </c>
      <c r="U7051" s="5">
        <f t="shared" si="2987"/>
        <v>40063</v>
      </c>
    </row>
    <row r="7052" ht="12.75" customHeight="1">
      <c r="A7052" s="4">
        <v>5231.0</v>
      </c>
      <c r="B7052" s="4">
        <v>37250.0</v>
      </c>
      <c r="C7052" s="5">
        <f>DATE(2012,12,31)-1082</f>
        <v>40192</v>
      </c>
      <c r="D7052" s="4" t="s">
        <v>30</v>
      </c>
      <c r="E7052" s="4">
        <v>13.0</v>
      </c>
      <c r="F7052" s="4">
        <v>473.46</v>
      </c>
      <c r="G7052" s="4">
        <v>0.03</v>
      </c>
      <c r="H7052" s="4" t="s">
        <v>22</v>
      </c>
      <c r="I7052" s="6">
        <v>128.11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ht="12.75" customHeight="1">
      <c r="A7053" s="4">
        <v>5266.0</v>
      </c>
      <c r="B7053" s="4">
        <v>37473.0</v>
      </c>
      <c r="C7053" s="5">
        <f>DATE(2012,12,31)-1187</f>
        <v>40087</v>
      </c>
      <c r="D7053" s="4" t="s">
        <v>21</v>
      </c>
      <c r="E7053" s="4">
        <v>42.0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</v>
      </c>
      <c r="K7053" s="4">
        <v>5.0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ht="12.75" customHeight="1">
      <c r="A7054" s="4">
        <v>5268.0</v>
      </c>
      <c r="B7054" s="4">
        <v>37505.0</v>
      </c>
      <c r="C7054" s="5">
        <f t="shared" ref="C7054:C7056" si="2988">DATE(2012,12,31)-577</f>
        <v>40697</v>
      </c>
      <c r="D7054" s="4" t="s">
        <v>21</v>
      </c>
      <c r="E7054" s="4">
        <v>1.0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9">C7054+2</f>
        <v>40699</v>
      </c>
    </row>
    <row r="7055" ht="12.75" customHeight="1">
      <c r="A7055" s="4">
        <v>5269.0</v>
      </c>
      <c r="B7055" s="4">
        <v>37505.0</v>
      </c>
      <c r="C7055" s="5">
        <f t="shared" si="2988"/>
        <v>40697</v>
      </c>
      <c r="D7055" s="4" t="s">
        <v>21</v>
      </c>
      <c r="E7055" s="4">
        <v>9.0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9"/>
        <v>40699</v>
      </c>
    </row>
    <row r="7056" ht="12.75" customHeight="1">
      <c r="A7056" s="4">
        <v>5270.0</v>
      </c>
      <c r="B7056" s="4">
        <v>37505.0</v>
      </c>
      <c r="C7056" s="5">
        <f t="shared" si="2988"/>
        <v>40697</v>
      </c>
      <c r="D7056" s="4" t="s">
        <v>21</v>
      </c>
      <c r="E7056" s="4">
        <v>42.0</v>
      </c>
      <c r="F7056" s="4">
        <v>384.41</v>
      </c>
      <c r="G7056" s="4">
        <v>0.05</v>
      </c>
      <c r="H7056" s="4" t="s">
        <v>22</v>
      </c>
      <c r="I7056" s="6">
        <v>-44.3004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ht="12.75" customHeight="1">
      <c r="A7057" s="4">
        <v>5272.0</v>
      </c>
      <c r="B7057" s="4">
        <v>37537.0</v>
      </c>
      <c r="C7057" s="5">
        <f t="shared" ref="C7057:C7059" si="2990">DATE(2012,12,31)-1459</f>
        <v>39815</v>
      </c>
      <c r="D7057" s="4" t="s">
        <v>21</v>
      </c>
      <c r="E7057" s="4">
        <v>4.0</v>
      </c>
      <c r="F7057" s="4">
        <v>1239.06</v>
      </c>
      <c r="G7057" s="4">
        <v>0.0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</v>
      </c>
      <c r="U7057" s="5">
        <f>C7057+0</f>
        <v>39815</v>
      </c>
    </row>
    <row r="7058" ht="12.75" customHeight="1">
      <c r="A7058" s="4">
        <v>5273.0</v>
      </c>
      <c r="B7058" s="4">
        <v>37537.0</v>
      </c>
      <c r="C7058" s="5">
        <f t="shared" si="2990"/>
        <v>39815</v>
      </c>
      <c r="D7058" s="4" t="s">
        <v>21</v>
      </c>
      <c r="E7058" s="4">
        <v>43.0</v>
      </c>
      <c r="F7058" s="4">
        <v>4083.19</v>
      </c>
      <c r="G7058" s="4">
        <v>0.07</v>
      </c>
      <c r="H7058" s="4" t="s">
        <v>31</v>
      </c>
      <c r="I7058" s="6">
        <v>-1049.85</v>
      </c>
      <c r="J7058" s="4">
        <v>100.98</v>
      </c>
      <c r="K7058" s="4">
        <v>45.0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ht="12.75" customHeight="1">
      <c r="A7059" s="4">
        <v>5274.0</v>
      </c>
      <c r="B7059" s="4">
        <v>37537.0</v>
      </c>
      <c r="C7059" s="5">
        <f t="shared" si="2990"/>
        <v>39815</v>
      </c>
      <c r="D7059" s="4" t="s">
        <v>21</v>
      </c>
      <c r="E7059" s="4">
        <v>32.0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ht="12.75" customHeight="1">
      <c r="A7060" s="4">
        <v>5283.0</v>
      </c>
      <c r="B7060" s="4">
        <v>37606.0</v>
      </c>
      <c r="C7060" s="5">
        <f t="shared" ref="C7060:C7062" si="2991">DATE(2012,12,31)-1043</f>
        <v>40231</v>
      </c>
      <c r="D7060" s="4" t="s">
        <v>78</v>
      </c>
      <c r="E7060" s="4">
        <v>1.0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</v>
      </c>
      <c r="K7060" s="4">
        <v>4.86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ht="12.75" customHeight="1">
      <c r="A7061" s="4">
        <v>5284.0</v>
      </c>
      <c r="B7061" s="4">
        <v>37606.0</v>
      </c>
      <c r="C7061" s="5">
        <f t="shared" si="2991"/>
        <v>40231</v>
      </c>
      <c r="D7061" s="4" t="s">
        <v>78</v>
      </c>
      <c r="E7061" s="4">
        <v>41.0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2">C7061+2</f>
        <v>40233</v>
      </c>
    </row>
    <row r="7062" ht="12.75" customHeight="1">
      <c r="A7062" s="4">
        <v>5285.0</v>
      </c>
      <c r="B7062" s="4">
        <v>37606.0</v>
      </c>
      <c r="C7062" s="5">
        <f t="shared" si="2991"/>
        <v>40231</v>
      </c>
      <c r="D7062" s="4" t="s">
        <v>78</v>
      </c>
      <c r="E7062" s="4">
        <v>21.0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</v>
      </c>
      <c r="U7062" s="5">
        <f t="shared" si="2992"/>
        <v>40233</v>
      </c>
    </row>
    <row r="7063" ht="12.75" customHeight="1">
      <c r="A7063" s="4">
        <v>5289.0</v>
      </c>
      <c r="B7063" s="4">
        <v>37668.0</v>
      </c>
      <c r="C7063" s="5">
        <f>DATE(2012,12,31)-1088</f>
        <v>40186</v>
      </c>
      <c r="D7063" s="4" t="s">
        <v>21</v>
      </c>
      <c r="E7063" s="4">
        <v>33.0</v>
      </c>
      <c r="F7063" s="4">
        <v>478.27</v>
      </c>
      <c r="G7063" s="4">
        <v>0.01</v>
      </c>
      <c r="H7063" s="4" t="s">
        <v>22</v>
      </c>
      <c r="I7063" s="6">
        <v>-4.8459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ht="12.75" customHeight="1">
      <c r="A7064" s="4">
        <v>5322.0</v>
      </c>
      <c r="B7064" s="4">
        <v>37830.0</v>
      </c>
      <c r="C7064" s="5">
        <f>DATE(2012,12,31)-1233</f>
        <v>40041</v>
      </c>
      <c r="D7064" s="4" t="s">
        <v>45</v>
      </c>
      <c r="E7064" s="4">
        <v>39.0</v>
      </c>
      <c r="F7064" s="4">
        <v>977.92</v>
      </c>
      <c r="G7064" s="4">
        <v>0.05</v>
      </c>
      <c r="H7064" s="4" t="s">
        <v>56</v>
      </c>
      <c r="I7064" s="6">
        <v>148.89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</v>
      </c>
      <c r="U7064" s="5">
        <f>C7064+2</f>
        <v>40043</v>
      </c>
    </row>
    <row r="7065" ht="12.75" customHeight="1">
      <c r="A7065" s="4">
        <v>5343.0</v>
      </c>
      <c r="B7065" s="4">
        <v>37957.0</v>
      </c>
      <c r="C7065" s="5">
        <f>DATE(2012,12,31)-787</f>
        <v>40487</v>
      </c>
      <c r="D7065" s="4" t="s">
        <v>45</v>
      </c>
      <c r="E7065" s="4">
        <v>31.0</v>
      </c>
      <c r="F7065" s="4">
        <v>229.26</v>
      </c>
      <c r="G7065" s="4">
        <v>0.0</v>
      </c>
      <c r="H7065" s="4" t="s">
        <v>22</v>
      </c>
      <c r="I7065" s="6">
        <v>-37.2025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3">C7065+1</f>
        <v>40488</v>
      </c>
    </row>
    <row r="7066" ht="12.75" customHeight="1">
      <c r="A7066" s="4">
        <v>5404.0</v>
      </c>
      <c r="B7066" s="4">
        <v>38406.0</v>
      </c>
      <c r="C7066" s="5">
        <f>DATE(2012,12,31)-760</f>
        <v>40514</v>
      </c>
      <c r="D7066" s="4" t="s">
        <v>63</v>
      </c>
      <c r="E7066" s="4">
        <v>12.0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3"/>
        <v>40515</v>
      </c>
    </row>
    <row r="7067" ht="12.75" customHeight="1">
      <c r="A7067" s="4">
        <v>5431.0</v>
      </c>
      <c r="B7067" s="4">
        <v>38594.0</v>
      </c>
      <c r="C7067" s="5">
        <f>DATE(2012,12,31)-1126</f>
        <v>40148</v>
      </c>
      <c r="D7067" s="4" t="s">
        <v>63</v>
      </c>
      <c r="E7067" s="4">
        <v>26.0</v>
      </c>
      <c r="F7067" s="4">
        <v>1011.9</v>
      </c>
      <c r="G7067" s="4">
        <v>0.07</v>
      </c>
      <c r="H7067" s="4" t="s">
        <v>22</v>
      </c>
      <c r="I7067" s="6">
        <v>247.94</v>
      </c>
      <c r="J7067" s="4">
        <v>39.48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3"/>
        <v>40149</v>
      </c>
    </row>
    <row r="7068" ht="12.75" customHeight="1">
      <c r="A7068" s="4">
        <v>5444.0</v>
      </c>
      <c r="B7068" s="4">
        <v>38657.0</v>
      </c>
      <c r="C7068" s="5">
        <f>DATE(2012,12,31)-948</f>
        <v>40326</v>
      </c>
      <c r="D7068" s="4" t="s">
        <v>45</v>
      </c>
      <c r="E7068" s="4">
        <v>38.0</v>
      </c>
      <c r="F7068" s="4">
        <v>1279.25</v>
      </c>
      <c r="G7068" s="4">
        <v>0.01</v>
      </c>
      <c r="H7068" s="4" t="s">
        <v>22</v>
      </c>
      <c r="I7068" s="6">
        <v>569.3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3"/>
        <v>40327</v>
      </c>
    </row>
    <row r="7069" ht="12.75" customHeight="1">
      <c r="A7069" s="4">
        <v>5466.0</v>
      </c>
      <c r="B7069" s="4">
        <v>38850.0</v>
      </c>
      <c r="C7069" s="5">
        <f>DATE(2012,12,31)-977</f>
        <v>40297</v>
      </c>
      <c r="D7069" s="4" t="s">
        <v>63</v>
      </c>
      <c r="E7069" s="4">
        <v>34.0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ht="12.75" customHeight="1">
      <c r="A7070" s="4">
        <v>5479.0</v>
      </c>
      <c r="B7070" s="4">
        <v>38913.0</v>
      </c>
      <c r="C7070" s="5">
        <f>DATE(2012,12,31)-1212</f>
        <v>40062</v>
      </c>
      <c r="D7070" s="4" t="s">
        <v>45</v>
      </c>
      <c r="E7070" s="4">
        <v>7.0</v>
      </c>
      <c r="F7070" s="4">
        <v>230.29</v>
      </c>
      <c r="G7070" s="4">
        <v>0.03</v>
      </c>
      <c r="H7070" s="4" t="s">
        <v>22</v>
      </c>
      <c r="I7070" s="6">
        <v>-4.300999999999994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ht="12.75" customHeight="1">
      <c r="A7071" s="4">
        <v>5488.0</v>
      </c>
      <c r="B7071" s="4">
        <v>38948.0</v>
      </c>
      <c r="C7071" s="5">
        <f t="shared" ref="C7071:C7072" si="2994">DATE(2012,12,31)-575</f>
        <v>40699</v>
      </c>
      <c r="D7071" s="4" t="s">
        <v>45</v>
      </c>
      <c r="E7071" s="4">
        <v>9.0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5">C7071+1</f>
        <v>40700</v>
      </c>
    </row>
    <row r="7072" ht="12.75" customHeight="1">
      <c r="A7072" s="4">
        <v>5489.0</v>
      </c>
      <c r="B7072" s="4">
        <v>38948.0</v>
      </c>
      <c r="C7072" s="5">
        <f t="shared" si="2994"/>
        <v>40699</v>
      </c>
      <c r="D7072" s="4" t="s">
        <v>45</v>
      </c>
      <c r="E7072" s="4">
        <v>44.0</v>
      </c>
      <c r="F7072" s="4">
        <v>6862.237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0.57</v>
      </c>
      <c r="U7072" s="5">
        <f t="shared" si="2995"/>
        <v>40700</v>
      </c>
    </row>
    <row r="7073" ht="12.75" customHeight="1">
      <c r="A7073" s="4">
        <v>5505.0</v>
      </c>
      <c r="B7073" s="4">
        <v>39041.0</v>
      </c>
      <c r="C7073" s="5">
        <f t="shared" ref="C7073:C7074" si="2996">DATE(2012,12,31)-432</f>
        <v>40842</v>
      </c>
      <c r="D7073" s="4" t="s">
        <v>78</v>
      </c>
      <c r="E7073" s="4">
        <v>47.0</v>
      </c>
      <c r="F7073" s="4">
        <v>418.03</v>
      </c>
      <c r="G7073" s="4">
        <v>0.0</v>
      </c>
      <c r="H7073" s="4" t="s">
        <v>56</v>
      </c>
      <c r="I7073" s="6">
        <v>-158.58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ht="12.75" customHeight="1">
      <c r="A7074" s="4">
        <v>5506.0</v>
      </c>
      <c r="B7074" s="4">
        <v>39041.0</v>
      </c>
      <c r="C7074" s="5">
        <f t="shared" si="2996"/>
        <v>40842</v>
      </c>
      <c r="D7074" s="4" t="s">
        <v>78</v>
      </c>
      <c r="E7074" s="4">
        <v>23.0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7">C7074+2</f>
        <v>40844</v>
      </c>
    </row>
    <row r="7075" ht="12.75" customHeight="1">
      <c r="A7075" s="4">
        <v>5519.0</v>
      </c>
      <c r="B7075" s="4">
        <v>39136.0</v>
      </c>
      <c r="C7075" s="5">
        <f>DATE(2012,12,31)-1286</f>
        <v>39988</v>
      </c>
      <c r="D7075" s="4" t="s">
        <v>30</v>
      </c>
      <c r="E7075" s="4">
        <v>49.0</v>
      </c>
      <c r="F7075" s="4">
        <v>2693.514</v>
      </c>
      <c r="G7075" s="4">
        <v>0.02</v>
      </c>
      <c r="H7075" s="4" t="s">
        <v>22</v>
      </c>
      <c r="I7075" s="6">
        <v>662.049</v>
      </c>
      <c r="J7075" s="4">
        <v>65.99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7"/>
        <v>39990</v>
      </c>
    </row>
    <row r="7076" ht="12.75" customHeight="1">
      <c r="A7076" s="4">
        <v>5535.0</v>
      </c>
      <c r="B7076" s="4">
        <v>39232.0</v>
      </c>
      <c r="C7076" s="5">
        <f t="shared" ref="C7076:C7077" si="2998">DATE(2012,12,31)-538</f>
        <v>40736</v>
      </c>
      <c r="D7076" s="4" t="s">
        <v>21</v>
      </c>
      <c r="E7076" s="4">
        <v>11.0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19.99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7"/>
        <v>40738</v>
      </c>
    </row>
    <row r="7077" ht="12.75" customHeight="1">
      <c r="A7077" s="4">
        <v>5536.0</v>
      </c>
      <c r="B7077" s="4">
        <v>39232.0</v>
      </c>
      <c r="C7077" s="5">
        <f t="shared" si="2998"/>
        <v>40736</v>
      </c>
      <c r="D7077" s="4" t="s">
        <v>21</v>
      </c>
      <c r="E7077" s="4">
        <v>26.0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ht="12.75" customHeight="1">
      <c r="A7078" s="4">
        <v>5586.0</v>
      </c>
      <c r="B7078" s="4">
        <v>39617.0</v>
      </c>
      <c r="C7078" s="5">
        <f t="shared" ref="C7078:C7079" si="2999">DATE(2012,12,31)-380</f>
        <v>40894</v>
      </c>
      <c r="D7078" s="4" t="s">
        <v>45</v>
      </c>
      <c r="E7078" s="4">
        <v>33.0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39.98</v>
      </c>
      <c r="K7078" s="4">
        <v>9.2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3000">C7078+2</f>
        <v>40896</v>
      </c>
    </row>
    <row r="7079" ht="12.75" customHeight="1">
      <c r="A7079" s="4">
        <v>5587.0</v>
      </c>
      <c r="B7079" s="4">
        <v>39617.0</v>
      </c>
      <c r="C7079" s="5">
        <f t="shared" si="2999"/>
        <v>40894</v>
      </c>
      <c r="D7079" s="4" t="s">
        <v>45</v>
      </c>
      <c r="E7079" s="4">
        <v>28.0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</v>
      </c>
      <c r="U7079" s="5">
        <f t="shared" si="3000"/>
        <v>40896</v>
      </c>
    </row>
    <row r="7080" ht="12.75" customHeight="1">
      <c r="A7080" s="4">
        <v>5589.0</v>
      </c>
      <c r="B7080" s="4">
        <v>39649.0</v>
      </c>
      <c r="C7080" s="5">
        <f t="shared" ref="C7080:C7081" si="3001">DATE(2012,12,31)-1169</f>
        <v>40105</v>
      </c>
      <c r="D7080" s="4" t="s">
        <v>30</v>
      </c>
      <c r="E7080" s="4">
        <v>10.0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0.58</v>
      </c>
      <c r="U7080" s="5">
        <f>C7080+1</f>
        <v>40106</v>
      </c>
    </row>
    <row r="7081" ht="12.75" customHeight="1">
      <c r="A7081" s="4">
        <v>5590.0</v>
      </c>
      <c r="B7081" s="4">
        <v>39649.0</v>
      </c>
      <c r="C7081" s="5">
        <f t="shared" si="3001"/>
        <v>40105</v>
      </c>
      <c r="D7081" s="4" t="s">
        <v>30</v>
      </c>
      <c r="E7081" s="4">
        <v>9.0</v>
      </c>
      <c r="F7081" s="4">
        <v>63.0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ht="12.75" customHeight="1">
      <c r="A7082" s="4">
        <v>5595.0</v>
      </c>
      <c r="B7082" s="4">
        <v>39654.0</v>
      </c>
      <c r="C7082" s="5">
        <f>DATE(2012,12,31)-92</f>
        <v>41182</v>
      </c>
      <c r="D7082" s="4" t="s">
        <v>63</v>
      </c>
      <c r="E7082" s="4">
        <v>39.0</v>
      </c>
      <c r="F7082" s="4">
        <v>856.15</v>
      </c>
      <c r="G7082" s="4">
        <v>0.03</v>
      </c>
      <c r="H7082" s="4" t="s">
        <v>56</v>
      </c>
      <c r="I7082" s="6">
        <v>330.0295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ht="12.75" customHeight="1">
      <c r="A7083" s="4">
        <v>5618.0</v>
      </c>
      <c r="B7083" s="4">
        <v>39808.0</v>
      </c>
      <c r="C7083" s="5">
        <f t="shared" ref="C7083:C7084" si="3002">DATE(2012,12,31)-120</f>
        <v>41154</v>
      </c>
      <c r="D7083" s="4" t="s">
        <v>21</v>
      </c>
      <c r="E7083" s="4">
        <v>50.0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39.98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ht="12.75" customHeight="1">
      <c r="A7084" s="4">
        <v>5619.0</v>
      </c>
      <c r="B7084" s="4">
        <v>39808.0</v>
      </c>
      <c r="C7084" s="5">
        <f t="shared" si="3002"/>
        <v>41154</v>
      </c>
      <c r="D7084" s="4" t="s">
        <v>21</v>
      </c>
      <c r="E7084" s="4">
        <v>31.0</v>
      </c>
      <c r="F7084" s="4">
        <v>3413.4555</v>
      </c>
      <c r="G7084" s="4">
        <v>0.03</v>
      </c>
      <c r="H7084" s="4" t="s">
        <v>22</v>
      </c>
      <c r="I7084" s="6">
        <v>868.473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ht="12.75" customHeight="1">
      <c r="A7085" s="4">
        <v>5623.0</v>
      </c>
      <c r="B7085" s="4">
        <v>39841.0</v>
      </c>
      <c r="C7085" s="5">
        <f>DATE(2012,12,31)-1095</f>
        <v>40179</v>
      </c>
      <c r="D7085" s="4" t="s">
        <v>63</v>
      </c>
      <c r="E7085" s="4">
        <v>43.0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ht="12.75" customHeight="1">
      <c r="A7086" s="4">
        <v>5630.0</v>
      </c>
      <c r="B7086" s="4">
        <v>39847.0</v>
      </c>
      <c r="C7086" s="5">
        <f t="shared" ref="C7086:C7088" si="3003">DATE(2012,12,31)-1002</f>
        <v>40272</v>
      </c>
      <c r="D7086" s="4" t="s">
        <v>45</v>
      </c>
      <c r="E7086" s="4">
        <v>29.0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4">C7086+1</f>
        <v>40273</v>
      </c>
    </row>
    <row r="7087" ht="12.75" customHeight="1">
      <c r="A7087" s="4">
        <v>5631.0</v>
      </c>
      <c r="B7087" s="4">
        <v>39847.0</v>
      </c>
      <c r="C7087" s="5">
        <f t="shared" si="3003"/>
        <v>40272</v>
      </c>
      <c r="D7087" s="4" t="s">
        <v>45</v>
      </c>
      <c r="E7087" s="4">
        <v>49.0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4"/>
        <v>40273</v>
      </c>
    </row>
    <row r="7088" ht="12.75" customHeight="1">
      <c r="A7088" s="4">
        <v>5632.0</v>
      </c>
      <c r="B7088" s="4">
        <v>39847.0</v>
      </c>
      <c r="C7088" s="5">
        <f t="shared" si="3003"/>
        <v>40272</v>
      </c>
      <c r="D7088" s="4" t="s">
        <v>45</v>
      </c>
      <c r="E7088" s="4">
        <v>20.0</v>
      </c>
      <c r="F7088" s="4">
        <v>2488.477</v>
      </c>
      <c r="G7088" s="4">
        <v>0.08</v>
      </c>
      <c r="H7088" s="4" t="s">
        <v>22</v>
      </c>
      <c r="I7088" s="6">
        <v>142.551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0.58</v>
      </c>
      <c r="U7088" s="5">
        <f>C7088+2</f>
        <v>40274</v>
      </c>
    </row>
    <row r="7089" ht="12.75" customHeight="1">
      <c r="A7089" s="4">
        <v>5641.0</v>
      </c>
      <c r="B7089" s="4">
        <v>39907.0</v>
      </c>
      <c r="C7089" s="5">
        <f>DATE(2012,12,31)-855</f>
        <v>40419</v>
      </c>
      <c r="D7089" s="4" t="s">
        <v>21</v>
      </c>
      <c r="E7089" s="4">
        <v>12.0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4.0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ht="12.75" customHeight="1">
      <c r="A7090" s="4">
        <v>5663.0</v>
      </c>
      <c r="B7090" s="4">
        <v>40068.0</v>
      </c>
      <c r="C7090" s="5">
        <f t="shared" ref="C7090:C7092" si="3005">DATE(2012,12,31)-986</f>
        <v>40288</v>
      </c>
      <c r="D7090" s="4" t="s">
        <v>21</v>
      </c>
      <c r="E7090" s="4">
        <v>1.0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160.98</v>
      </c>
      <c r="K7090" s="4">
        <v>30.0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ht="12.75" customHeight="1">
      <c r="A7091" s="4">
        <v>5664.0</v>
      </c>
      <c r="B7091" s="4">
        <v>40068.0</v>
      </c>
      <c r="C7091" s="5">
        <f t="shared" si="3005"/>
        <v>40288</v>
      </c>
      <c r="D7091" s="4" t="s">
        <v>21</v>
      </c>
      <c r="E7091" s="4">
        <v>2.0</v>
      </c>
      <c r="F7091" s="4">
        <v>128.52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ht="12.75" customHeight="1">
      <c r="A7092" s="4">
        <v>5665.0</v>
      </c>
      <c r="B7092" s="4">
        <v>40068.0</v>
      </c>
      <c r="C7092" s="5">
        <f t="shared" si="3005"/>
        <v>40288</v>
      </c>
      <c r="D7092" s="4" t="s">
        <v>21</v>
      </c>
      <c r="E7092" s="4">
        <v>24.0</v>
      </c>
      <c r="F7092" s="4">
        <v>6717.784</v>
      </c>
      <c r="G7092" s="4">
        <v>0.0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ht="12.75" customHeight="1">
      <c r="A7093" s="4">
        <v>5710.0</v>
      </c>
      <c r="B7093" s="4">
        <v>40420.0</v>
      </c>
      <c r="C7093" s="5">
        <f t="shared" ref="C7093:C7094" si="3006">DATE(2012,12,31)-721</f>
        <v>40553</v>
      </c>
      <c r="D7093" s="4" t="s">
        <v>30</v>
      </c>
      <c r="E7093" s="4">
        <v>22.0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7">C7093+2</f>
        <v>40555</v>
      </c>
    </row>
    <row r="7094" ht="12.75" customHeight="1">
      <c r="A7094" s="4">
        <v>5711.0</v>
      </c>
      <c r="B7094" s="4">
        <v>40420.0</v>
      </c>
      <c r="C7094" s="5">
        <f t="shared" si="3006"/>
        <v>40553</v>
      </c>
      <c r="D7094" s="4" t="s">
        <v>30</v>
      </c>
      <c r="E7094" s="4">
        <v>50.0</v>
      </c>
      <c r="F7094" s="4">
        <v>886.3629999999999</v>
      </c>
      <c r="G7094" s="4">
        <v>0.08</v>
      </c>
      <c r="H7094" s="4" t="s">
        <v>22</v>
      </c>
      <c r="I7094" s="6">
        <v>450.018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7"/>
        <v>40555</v>
      </c>
    </row>
    <row r="7095" ht="12.75" customHeight="1">
      <c r="A7095" s="4">
        <v>5716.0</v>
      </c>
      <c r="B7095" s="4">
        <v>40485.0</v>
      </c>
      <c r="C7095" s="5">
        <f t="shared" ref="C7095:C7096" si="3008">DATE(2012,12,31)-1100</f>
        <v>40174</v>
      </c>
      <c r="D7095" s="4" t="s">
        <v>45</v>
      </c>
      <c r="E7095" s="4">
        <v>36.0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ht="12.75" customHeight="1">
      <c r="A7096" s="4">
        <v>5717.0</v>
      </c>
      <c r="B7096" s="4">
        <v>40485.0</v>
      </c>
      <c r="C7096" s="5">
        <f t="shared" si="3008"/>
        <v>40174</v>
      </c>
      <c r="D7096" s="4" t="s">
        <v>45</v>
      </c>
      <c r="E7096" s="4">
        <v>7.0</v>
      </c>
      <c r="F7096" s="4">
        <v>388.7135</v>
      </c>
      <c r="G7096" s="4">
        <v>0.01</v>
      </c>
      <c r="H7096" s="4" t="s">
        <v>22</v>
      </c>
      <c r="I7096" s="6">
        <v>-190.42100000000002</v>
      </c>
      <c r="J7096" s="4">
        <v>65.99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9">C7096+1</f>
        <v>40175</v>
      </c>
    </row>
    <row r="7097" ht="12.75" customHeight="1">
      <c r="A7097" s="4">
        <v>5781.0</v>
      </c>
      <c r="B7097" s="4">
        <v>40998.0</v>
      </c>
      <c r="C7097" s="5">
        <f t="shared" ref="C7097:C7098" si="3010">DATE(2012,12,31)-1339</f>
        <v>39935</v>
      </c>
      <c r="D7097" s="4" t="s">
        <v>63</v>
      </c>
      <c r="E7097" s="4">
        <v>43.0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9"/>
        <v>39936</v>
      </c>
    </row>
    <row r="7098" ht="12.75" customHeight="1">
      <c r="A7098" s="4">
        <v>5782.0</v>
      </c>
      <c r="B7098" s="4">
        <v>40998.0</v>
      </c>
      <c r="C7098" s="5">
        <f t="shared" si="3010"/>
        <v>39935</v>
      </c>
      <c r="D7098" s="4" t="s">
        <v>63</v>
      </c>
      <c r="E7098" s="4">
        <v>39.0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4.0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ht="12.75" customHeight="1">
      <c r="A7099" s="4">
        <v>5793.0</v>
      </c>
      <c r="B7099" s="4">
        <v>41091.0</v>
      </c>
      <c r="C7099" s="5">
        <f>DATE(2012,12,31)-1317</f>
        <v>39957</v>
      </c>
      <c r="D7099" s="4" t="s">
        <v>63</v>
      </c>
      <c r="E7099" s="4">
        <v>32.0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18.06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0.57</v>
      </c>
      <c r="U7099" s="5">
        <f t="shared" ref="U7099:U7100" si="3011">C7099+1</f>
        <v>39958</v>
      </c>
    </row>
    <row r="7100" ht="12.75" customHeight="1">
      <c r="A7100" s="4">
        <v>5800.0</v>
      </c>
      <c r="B7100" s="4">
        <v>41152.0</v>
      </c>
      <c r="C7100" s="5">
        <f t="shared" ref="C7100:C7101" si="3012">DATE(2012,12,31)-485</f>
        <v>40789</v>
      </c>
      <c r="D7100" s="4" t="s">
        <v>30</v>
      </c>
      <c r="E7100" s="4">
        <v>49.0</v>
      </c>
      <c r="F7100" s="4">
        <v>3702.92</v>
      </c>
      <c r="G7100" s="4">
        <v>0.03</v>
      </c>
      <c r="H7100" s="4" t="s">
        <v>22</v>
      </c>
      <c r="I7100" s="6">
        <v>541.92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1"/>
        <v>40790</v>
      </c>
    </row>
    <row r="7101" ht="12.75" customHeight="1">
      <c r="A7101" s="4">
        <v>5801.0</v>
      </c>
      <c r="B7101" s="4">
        <v>41152.0</v>
      </c>
      <c r="C7101" s="5">
        <f t="shared" si="3012"/>
        <v>40789</v>
      </c>
      <c r="D7101" s="4" t="s">
        <v>30</v>
      </c>
      <c r="E7101" s="4">
        <v>29.0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3">C7101+2</f>
        <v>40791</v>
      </c>
    </row>
    <row r="7102" ht="12.75" customHeight="1">
      <c r="A7102" s="4">
        <v>5804.0</v>
      </c>
      <c r="B7102" s="4">
        <v>41157.0</v>
      </c>
      <c r="C7102" s="5">
        <f>DATE(2012,12,31)-625</f>
        <v>40649</v>
      </c>
      <c r="D7102" s="4" t="s">
        <v>63</v>
      </c>
      <c r="E7102" s="4">
        <v>39.0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3"/>
        <v>40651</v>
      </c>
    </row>
    <row r="7103" ht="12.75" customHeight="1">
      <c r="A7103" s="4">
        <v>5826.0</v>
      </c>
      <c r="B7103" s="4">
        <v>41349.0</v>
      </c>
      <c r="C7103" s="5">
        <f t="shared" ref="C7103:C7105" si="3014">DATE(2012,12,31)-380</f>
        <v>40894</v>
      </c>
      <c r="D7103" s="4" t="s">
        <v>78</v>
      </c>
      <c r="E7103" s="4">
        <v>44.0</v>
      </c>
      <c r="F7103" s="4">
        <v>346.2</v>
      </c>
      <c r="G7103" s="4">
        <v>0.0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ht="12.75" customHeight="1">
      <c r="A7104" s="4">
        <v>5827.0</v>
      </c>
      <c r="B7104" s="4">
        <v>41349.0</v>
      </c>
      <c r="C7104" s="5">
        <f t="shared" si="3014"/>
        <v>40894</v>
      </c>
      <c r="D7104" s="4" t="s">
        <v>78</v>
      </c>
      <c r="E7104" s="4">
        <v>4.0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20.24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5">C7104+2</f>
        <v>40896</v>
      </c>
    </row>
    <row r="7105" ht="12.75" customHeight="1">
      <c r="A7105" s="4">
        <v>5828.0</v>
      </c>
      <c r="B7105" s="4">
        <v>41349.0</v>
      </c>
      <c r="C7105" s="5">
        <f t="shared" si="3014"/>
        <v>40894</v>
      </c>
      <c r="D7105" s="4" t="s">
        <v>78</v>
      </c>
      <c r="E7105" s="4">
        <v>39.0</v>
      </c>
      <c r="F7105" s="4">
        <v>475.52</v>
      </c>
      <c r="G7105" s="4">
        <v>0.07</v>
      </c>
      <c r="H7105" s="4" t="s">
        <v>22</v>
      </c>
      <c r="I7105" s="6">
        <v>-70.43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0.57</v>
      </c>
      <c r="U7105" s="5">
        <f t="shared" si="3015"/>
        <v>40896</v>
      </c>
    </row>
    <row r="7106" ht="12.75" customHeight="1">
      <c r="A7106" s="4">
        <v>5841.0</v>
      </c>
      <c r="B7106" s="4">
        <v>41440.0</v>
      </c>
      <c r="C7106" s="5">
        <f t="shared" ref="C7106:C7107" si="3016">DATE(2012,12,31)-1196</f>
        <v>40078</v>
      </c>
      <c r="D7106" s="4" t="s">
        <v>30</v>
      </c>
      <c r="E7106" s="4">
        <v>20.0</v>
      </c>
      <c r="F7106" s="4">
        <v>92.94</v>
      </c>
      <c r="G7106" s="4">
        <v>0.09</v>
      </c>
      <c r="H7106" s="4" t="s">
        <v>22</v>
      </c>
      <c r="I7106" s="6">
        <v>37.77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ht="12.75" customHeight="1">
      <c r="A7107" s="4">
        <v>5842.0</v>
      </c>
      <c r="B7107" s="4">
        <v>41440.0</v>
      </c>
      <c r="C7107" s="5">
        <f t="shared" si="3016"/>
        <v>40078</v>
      </c>
      <c r="D7107" s="4" t="s">
        <v>30</v>
      </c>
      <c r="E7107" s="4">
        <v>19.0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ht="12.75" customHeight="1">
      <c r="A7108" s="4">
        <v>5850.0</v>
      </c>
      <c r="B7108" s="4">
        <v>41539.0</v>
      </c>
      <c r="C7108" s="5">
        <f t="shared" ref="C7108:C7109" si="3017">DATE(2012,12,31)-608</f>
        <v>40666</v>
      </c>
      <c r="D7108" s="4" t="s">
        <v>30</v>
      </c>
      <c r="E7108" s="4">
        <v>24.0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ht="12.75" customHeight="1">
      <c r="A7109" s="4">
        <v>5851.0</v>
      </c>
      <c r="B7109" s="4">
        <v>41539.0</v>
      </c>
      <c r="C7109" s="5">
        <f t="shared" si="3017"/>
        <v>40666</v>
      </c>
      <c r="D7109" s="4" t="s">
        <v>30</v>
      </c>
      <c r="E7109" s="4">
        <v>41.0</v>
      </c>
      <c r="F7109" s="4">
        <v>2303.7125</v>
      </c>
      <c r="G7109" s="4">
        <v>0.04</v>
      </c>
      <c r="H7109" s="4" t="s">
        <v>22</v>
      </c>
      <c r="I7109" s="6">
        <v>398.223</v>
      </c>
      <c r="J7109" s="4">
        <v>65.99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0.58</v>
      </c>
      <c r="U7109" s="5">
        <f>C7109+1</f>
        <v>40667</v>
      </c>
    </row>
    <row r="7110" ht="12.75" customHeight="1">
      <c r="A7110" s="4">
        <v>5859.0</v>
      </c>
      <c r="B7110" s="4">
        <v>41574.0</v>
      </c>
      <c r="C7110" s="5">
        <f>DATE(2012,12,31)-833</f>
        <v>40441</v>
      </c>
      <c r="D7110" s="4" t="s">
        <v>30</v>
      </c>
      <c r="E7110" s="4">
        <v>23.0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8">C7110+2</f>
        <v>40443</v>
      </c>
    </row>
    <row r="7111" ht="12.75" customHeight="1">
      <c r="A7111" s="4">
        <v>5902.0</v>
      </c>
      <c r="B7111" s="4">
        <v>41831.0</v>
      </c>
      <c r="C7111" s="5">
        <f t="shared" ref="C7111:C7112" si="3019">DATE(2012,12,31)-163</f>
        <v>41111</v>
      </c>
      <c r="D7111" s="4" t="s">
        <v>45</v>
      </c>
      <c r="E7111" s="4">
        <v>43.0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8"/>
        <v>41113</v>
      </c>
    </row>
    <row r="7112" ht="12.75" customHeight="1">
      <c r="A7112" s="4">
        <v>5903.0</v>
      </c>
      <c r="B7112" s="4">
        <v>41831.0</v>
      </c>
      <c r="C7112" s="5">
        <f t="shared" si="3019"/>
        <v>41111</v>
      </c>
      <c r="D7112" s="4" t="s">
        <v>45</v>
      </c>
      <c r="E7112" s="4">
        <v>38.0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ht="12.75" customHeight="1">
      <c r="A7113" s="4">
        <v>5906.0</v>
      </c>
      <c r="B7113" s="4">
        <v>41888.0</v>
      </c>
      <c r="C7113" s="5">
        <f t="shared" ref="C7113:C7115" si="3020">DATE(2012,12,31)-1402</f>
        <v>39872</v>
      </c>
      <c r="D7113" s="4" t="s">
        <v>21</v>
      </c>
      <c r="E7113" s="4">
        <v>18.0</v>
      </c>
      <c r="F7113" s="4">
        <v>1979.47</v>
      </c>
      <c r="G7113" s="4">
        <v>0.1</v>
      </c>
      <c r="H7113" s="4" t="s">
        <v>22</v>
      </c>
      <c r="I7113" s="6">
        <v>690.268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ht="12.75" customHeight="1">
      <c r="A7114" s="4">
        <v>5907.0</v>
      </c>
      <c r="B7114" s="4">
        <v>41888.0</v>
      </c>
      <c r="C7114" s="5">
        <f t="shared" si="3020"/>
        <v>39872</v>
      </c>
      <c r="D7114" s="4" t="s">
        <v>21</v>
      </c>
      <c r="E7114" s="4">
        <v>23.0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ht="12.75" customHeight="1">
      <c r="A7115" s="4">
        <v>5908.0</v>
      </c>
      <c r="B7115" s="4">
        <v>41888.0</v>
      </c>
      <c r="C7115" s="5">
        <f t="shared" si="3020"/>
        <v>39872</v>
      </c>
      <c r="D7115" s="4" t="s">
        <v>21</v>
      </c>
      <c r="E7115" s="4">
        <v>29.0</v>
      </c>
      <c r="F7115" s="4">
        <v>2823.037</v>
      </c>
      <c r="G7115" s="4">
        <v>0.1</v>
      </c>
      <c r="H7115" s="4" t="s">
        <v>22</v>
      </c>
      <c r="I7115" s="6">
        <v>372.402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ht="12.75" customHeight="1">
      <c r="A7116" s="4">
        <v>5927.0</v>
      </c>
      <c r="B7116" s="4">
        <v>42054.0</v>
      </c>
      <c r="C7116" s="5">
        <f>DATE(2012,12,31)-108</f>
        <v>41166</v>
      </c>
      <c r="D7116" s="4" t="s">
        <v>63</v>
      </c>
      <c r="E7116" s="4">
        <v>32.0</v>
      </c>
      <c r="F7116" s="4">
        <v>94.55</v>
      </c>
      <c r="G7116" s="4">
        <v>0.01</v>
      </c>
      <c r="H7116" s="4" t="s">
        <v>22</v>
      </c>
      <c r="I7116" s="6">
        <v>6.7405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ht="12.75" customHeight="1">
      <c r="A7117" s="4">
        <v>5940.0</v>
      </c>
      <c r="B7117" s="4">
        <v>42148.0</v>
      </c>
      <c r="C7117" s="5">
        <f>DATE(2012,12,31)-438</f>
        <v>40836</v>
      </c>
      <c r="D7117" s="4" t="s">
        <v>78</v>
      </c>
      <c r="E7117" s="4">
        <v>11.0</v>
      </c>
      <c r="F7117" s="4">
        <v>45.31</v>
      </c>
      <c r="G7117" s="4">
        <v>0.07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ht="12.75" customHeight="1">
      <c r="A7118" s="4">
        <v>5959.0</v>
      </c>
      <c r="B7118" s="4">
        <v>42306.0</v>
      </c>
      <c r="C7118" s="5">
        <f>DATE(2012,12,31)-108</f>
        <v>41166</v>
      </c>
      <c r="D7118" s="4" t="s">
        <v>30</v>
      </c>
      <c r="E7118" s="4">
        <v>4.0</v>
      </c>
      <c r="F7118" s="4">
        <v>36.46</v>
      </c>
      <c r="G7118" s="4">
        <v>0.1</v>
      </c>
      <c r="H7118" s="4" t="s">
        <v>22</v>
      </c>
      <c r="I7118" s="6">
        <v>-7.406000000000001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1">C7118+2</f>
        <v>41168</v>
      </c>
    </row>
    <row r="7119" ht="12.75" customHeight="1">
      <c r="A7119" s="4">
        <v>5967.0</v>
      </c>
      <c r="B7119" s="4">
        <v>42338.0</v>
      </c>
      <c r="C7119" s="5">
        <f t="shared" ref="C7119:C7120" si="3022">DATE(2012,12,31)-1155</f>
        <v>40119</v>
      </c>
      <c r="D7119" s="4" t="s">
        <v>45</v>
      </c>
      <c r="E7119" s="4">
        <v>14.0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4.14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1"/>
        <v>40121</v>
      </c>
    </row>
    <row r="7120" ht="12.75" customHeight="1">
      <c r="A7120" s="4">
        <v>5968.0</v>
      </c>
      <c r="B7120" s="4">
        <v>42338.0</v>
      </c>
      <c r="C7120" s="5">
        <f t="shared" si="3022"/>
        <v>40119</v>
      </c>
      <c r="D7120" s="4" t="s">
        <v>45</v>
      </c>
      <c r="E7120" s="4">
        <v>32.0</v>
      </c>
      <c r="F7120" s="4">
        <v>1909.0064999999997</v>
      </c>
      <c r="G7120" s="4">
        <v>0.01</v>
      </c>
      <c r="H7120" s="4" t="s">
        <v>22</v>
      </c>
      <c r="I7120" s="6">
        <v>344.133</v>
      </c>
      <c r="J7120" s="4">
        <v>65.99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1"/>
        <v>40121</v>
      </c>
    </row>
    <row r="7121" ht="12.75" customHeight="1">
      <c r="A7121" s="4">
        <v>5972.0</v>
      </c>
      <c r="B7121" s="4">
        <v>42343.0</v>
      </c>
      <c r="C7121" s="5">
        <f t="shared" ref="C7121:C7122" si="3023">DATE(2012,12,31)-1235</f>
        <v>40039</v>
      </c>
      <c r="D7121" s="4" t="s">
        <v>78</v>
      </c>
      <c r="E7121" s="4">
        <v>46.0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1"/>
        <v>40041</v>
      </c>
    </row>
    <row r="7122" ht="12.75" customHeight="1">
      <c r="A7122" s="4">
        <v>5973.0</v>
      </c>
      <c r="B7122" s="4">
        <v>42343.0</v>
      </c>
      <c r="C7122" s="5">
        <f t="shared" si="3023"/>
        <v>40039</v>
      </c>
      <c r="D7122" s="4" t="s">
        <v>78</v>
      </c>
      <c r="E7122" s="4">
        <v>31.0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ht="12.75" customHeight="1">
      <c r="A7123" s="4">
        <v>5991.0</v>
      </c>
      <c r="B7123" s="4">
        <v>42467.0</v>
      </c>
      <c r="C7123" s="5">
        <f t="shared" ref="C7123:C7125" si="3024">DATE(2012,12,31)-809</f>
        <v>40465</v>
      </c>
      <c r="D7123" s="4" t="s">
        <v>30</v>
      </c>
      <c r="E7123" s="4">
        <v>10.0</v>
      </c>
      <c r="F7123" s="4">
        <v>238.88</v>
      </c>
      <c r="G7123" s="4">
        <v>0.01</v>
      </c>
      <c r="H7123" s="4" t="s">
        <v>22</v>
      </c>
      <c r="I7123" s="6">
        <v>-48.208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ht="12.75" customHeight="1">
      <c r="A7124" s="4">
        <v>5992.0</v>
      </c>
      <c r="B7124" s="4">
        <v>42467.0</v>
      </c>
      <c r="C7124" s="5">
        <f t="shared" si="3024"/>
        <v>40465</v>
      </c>
      <c r="D7124" s="4" t="s">
        <v>30</v>
      </c>
      <c r="E7124" s="4">
        <v>39.0</v>
      </c>
      <c r="F7124" s="4">
        <v>1235.29</v>
      </c>
      <c r="G7124" s="4">
        <v>0.0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5">C7124+2</f>
        <v>40467</v>
      </c>
    </row>
    <row r="7125" ht="12.75" customHeight="1">
      <c r="A7125" s="4">
        <v>5993.0</v>
      </c>
      <c r="B7125" s="4">
        <v>42467.0</v>
      </c>
      <c r="C7125" s="5">
        <f t="shared" si="3024"/>
        <v>40465</v>
      </c>
      <c r="D7125" s="4" t="s">
        <v>30</v>
      </c>
      <c r="E7125" s="4">
        <v>12.0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5"/>
        <v>40467</v>
      </c>
    </row>
    <row r="7126" ht="12.75" customHeight="1">
      <c r="A7126" s="4">
        <v>6005.0</v>
      </c>
      <c r="B7126" s="4">
        <v>42529.0</v>
      </c>
      <c r="C7126" s="5">
        <f>DATE(2012,12,31)-813</f>
        <v>40461</v>
      </c>
      <c r="D7126" s="4" t="s">
        <v>21</v>
      </c>
      <c r="E7126" s="4">
        <v>8.0</v>
      </c>
      <c r="F7126" s="4">
        <v>57.15</v>
      </c>
      <c r="G7126" s="4">
        <v>0.03</v>
      </c>
      <c r="H7126" s="4" t="s">
        <v>22</v>
      </c>
      <c r="I7126" s="6">
        <v>-33.95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ht="12.75" customHeight="1">
      <c r="A7127" s="4">
        <v>6008.0</v>
      </c>
      <c r="B7127" s="4">
        <v>42563.0</v>
      </c>
      <c r="C7127" s="5">
        <f>DATE(2012,12,31)-872</f>
        <v>40402</v>
      </c>
      <c r="D7127" s="4" t="s">
        <v>63</v>
      </c>
      <c r="E7127" s="4">
        <v>7.0</v>
      </c>
      <c r="F7127" s="4">
        <v>44.25</v>
      </c>
      <c r="G7127" s="4">
        <v>0.07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ht="12.75" customHeight="1">
      <c r="A7128" s="4">
        <v>6011.0</v>
      </c>
      <c r="B7128" s="4">
        <v>42567.0</v>
      </c>
      <c r="C7128" s="5">
        <f>DATE(2012,12,31)-1085</f>
        <v>40189</v>
      </c>
      <c r="D7128" s="4" t="s">
        <v>78</v>
      </c>
      <c r="E7128" s="4">
        <v>12.0</v>
      </c>
      <c r="F7128" s="4">
        <v>1940.32</v>
      </c>
      <c r="G7128" s="4">
        <v>0.0</v>
      </c>
      <c r="H7128" s="4" t="s">
        <v>31</v>
      </c>
      <c r="I7128" s="6">
        <v>-18.81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ht="12.75" customHeight="1">
      <c r="A7129" s="4">
        <v>6024.0</v>
      </c>
      <c r="B7129" s="4">
        <v>42691.0</v>
      </c>
      <c r="C7129" s="5">
        <f t="shared" ref="C7129:C7130" si="3026">DATE(2012,12,31)-952</f>
        <v>40322</v>
      </c>
      <c r="D7129" s="4" t="s">
        <v>21</v>
      </c>
      <c r="E7129" s="4">
        <v>50.0</v>
      </c>
      <c r="F7129" s="4">
        <v>2447.65</v>
      </c>
      <c r="G7129" s="4">
        <v>0.0</v>
      </c>
      <c r="H7129" s="4" t="s">
        <v>22</v>
      </c>
      <c r="I7129" s="6">
        <v>1170.35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ht="12.75" customHeight="1">
      <c r="A7130" s="4">
        <v>6025.0</v>
      </c>
      <c r="B7130" s="4">
        <v>42691.0</v>
      </c>
      <c r="C7130" s="5">
        <f t="shared" si="3026"/>
        <v>40322</v>
      </c>
      <c r="D7130" s="4" t="s">
        <v>21</v>
      </c>
      <c r="E7130" s="4">
        <v>7.0</v>
      </c>
      <c r="F7130" s="4">
        <v>1069.64</v>
      </c>
      <c r="G7130" s="4">
        <v>0.09</v>
      </c>
      <c r="H7130" s="4" t="s">
        <v>22</v>
      </c>
      <c r="I7130" s="6">
        <v>-139.75</v>
      </c>
      <c r="J7130" s="4">
        <v>161.55</v>
      </c>
      <c r="K7130" s="4">
        <v>19.99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ht="12.75" customHeight="1">
      <c r="A7131" s="4">
        <v>6058.0</v>
      </c>
      <c r="B7131" s="4">
        <v>42919.0</v>
      </c>
      <c r="C7131" s="5">
        <f>DATE(2012,12,31)-452</f>
        <v>40822</v>
      </c>
      <c r="D7131" s="4" t="s">
        <v>63</v>
      </c>
      <c r="E7131" s="4">
        <v>7.0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</v>
      </c>
      <c r="U7131" s="5">
        <f>C7131+1</f>
        <v>40823</v>
      </c>
    </row>
    <row r="7132" ht="12.75" customHeight="1">
      <c r="A7132" s="4">
        <v>6070.0</v>
      </c>
      <c r="B7132" s="4">
        <v>43010.0</v>
      </c>
      <c r="C7132" s="5">
        <f t="shared" ref="C7132:C7133" si="3027">DATE(2012,12,31)-83</f>
        <v>41191</v>
      </c>
      <c r="D7132" s="4" t="s">
        <v>78</v>
      </c>
      <c r="E7132" s="4">
        <v>40.0</v>
      </c>
      <c r="F7132" s="4">
        <v>233.2</v>
      </c>
      <c r="G7132" s="4">
        <v>0.0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ht="12.75" customHeight="1">
      <c r="A7133" s="4">
        <v>6071.0</v>
      </c>
      <c r="B7133" s="4">
        <v>43010.0</v>
      </c>
      <c r="C7133" s="5">
        <f t="shared" si="3027"/>
        <v>41191</v>
      </c>
      <c r="D7133" s="4" t="s">
        <v>78</v>
      </c>
      <c r="E7133" s="4">
        <v>24.0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8">C7133+2</f>
        <v>41193</v>
      </c>
    </row>
    <row r="7134" ht="12.75" customHeight="1">
      <c r="A7134" s="4">
        <v>6074.0</v>
      </c>
      <c r="B7134" s="4">
        <v>43043.0</v>
      </c>
      <c r="C7134" s="5">
        <f>DATE(2012,12,31)-261</f>
        <v>41013</v>
      </c>
      <c r="D7134" s="4" t="s">
        <v>78</v>
      </c>
      <c r="E7134" s="4">
        <v>4.0</v>
      </c>
      <c r="F7134" s="4">
        <v>904.12</v>
      </c>
      <c r="G7134" s="4">
        <v>0.07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8"/>
        <v>41015</v>
      </c>
    </row>
    <row r="7135" ht="12.75" customHeight="1">
      <c r="A7135" s="4">
        <v>6092.0</v>
      </c>
      <c r="B7135" s="4">
        <v>43170.0</v>
      </c>
      <c r="C7135" s="5">
        <f t="shared" ref="C7135:C7136" si="3029">DATE(2012,12,31)-963</f>
        <v>40311</v>
      </c>
      <c r="D7135" s="4" t="s">
        <v>21</v>
      </c>
      <c r="E7135" s="4">
        <v>25.0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</v>
      </c>
      <c r="U7135" s="5">
        <f>C7135+7</f>
        <v>40318</v>
      </c>
    </row>
    <row r="7136" ht="12.75" customHeight="1">
      <c r="A7136" s="4">
        <v>6093.0</v>
      </c>
      <c r="B7136" s="4">
        <v>43170.0</v>
      </c>
      <c r="C7136" s="5">
        <f t="shared" si="3029"/>
        <v>40311</v>
      </c>
      <c r="D7136" s="4" t="s">
        <v>21</v>
      </c>
      <c r="E7136" s="4">
        <v>40.0</v>
      </c>
      <c r="F7136" s="4">
        <v>1305.85</v>
      </c>
      <c r="G7136" s="4">
        <v>0.0</v>
      </c>
      <c r="H7136" s="4" t="s">
        <v>22</v>
      </c>
      <c r="I7136" s="6">
        <v>65.01</v>
      </c>
      <c r="J7136" s="4">
        <v>30.98</v>
      </c>
      <c r="K7136" s="4">
        <v>17.08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ht="12.75" customHeight="1">
      <c r="A7137" s="4">
        <v>6130.0</v>
      </c>
      <c r="B7137" s="4">
        <v>43397.0</v>
      </c>
      <c r="C7137" s="5">
        <f>DATE(2012,12,31)-599</f>
        <v>40675</v>
      </c>
      <c r="D7137" s="4" t="s">
        <v>78</v>
      </c>
      <c r="E7137" s="4">
        <v>35.0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32.41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</v>
      </c>
      <c r="U7137" s="5">
        <f t="shared" ref="U7137:U7138" si="3030">C7137+1</f>
        <v>40676</v>
      </c>
    </row>
    <row r="7138" ht="12.75" customHeight="1">
      <c r="A7138" s="4">
        <v>6146.0</v>
      </c>
      <c r="B7138" s="4">
        <v>43494.0</v>
      </c>
      <c r="C7138" s="5">
        <f>DATE(2012,12,31)-363</f>
        <v>40911</v>
      </c>
      <c r="D7138" s="4" t="s">
        <v>63</v>
      </c>
      <c r="E7138" s="4">
        <v>2.0</v>
      </c>
      <c r="F7138" s="4">
        <v>3668.28</v>
      </c>
      <c r="G7138" s="4">
        <v>0.09</v>
      </c>
      <c r="H7138" s="4" t="s">
        <v>22</v>
      </c>
      <c r="I7138" s="6">
        <v>-4858.671600000001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30"/>
        <v>40912</v>
      </c>
    </row>
    <row r="7139" ht="12.75" customHeight="1">
      <c r="A7139" s="4">
        <v>6165.0</v>
      </c>
      <c r="B7139" s="4">
        <v>43682.0</v>
      </c>
      <c r="C7139" s="5">
        <f>DATE(2012,12,31)-126</f>
        <v>41148</v>
      </c>
      <c r="D7139" s="4" t="s">
        <v>63</v>
      </c>
      <c r="E7139" s="4">
        <v>14.0</v>
      </c>
      <c r="F7139" s="4">
        <v>1849.6</v>
      </c>
      <c r="G7139" s="4">
        <v>0.06</v>
      </c>
      <c r="H7139" s="4" t="s">
        <v>22</v>
      </c>
      <c r="I7139" s="6">
        <v>62.163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</v>
      </c>
      <c r="U7139" s="5">
        <f>C7139+2</f>
        <v>41150</v>
      </c>
    </row>
    <row r="7140" ht="12.75" customHeight="1">
      <c r="A7140" s="4">
        <v>6181.0</v>
      </c>
      <c r="B7140" s="4">
        <v>43814.0</v>
      </c>
      <c r="C7140" s="5">
        <f t="shared" ref="C7140:C7141" si="3031">DATE(2012,12,31)-722</f>
        <v>40552</v>
      </c>
      <c r="D7140" s="4" t="s">
        <v>63</v>
      </c>
      <c r="E7140" s="4">
        <v>40.0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2">C7140+1</f>
        <v>40553</v>
      </c>
    </row>
    <row r="7141" ht="12.75" customHeight="1">
      <c r="A7141" s="4">
        <v>6182.0</v>
      </c>
      <c r="B7141" s="4">
        <v>43814.0</v>
      </c>
      <c r="C7141" s="5">
        <f t="shared" si="3031"/>
        <v>40552</v>
      </c>
      <c r="D7141" s="4" t="s">
        <v>63</v>
      </c>
      <c r="E7141" s="4">
        <v>47.0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2.26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2"/>
        <v>40553</v>
      </c>
    </row>
    <row r="7142" ht="12.75" customHeight="1">
      <c r="A7142" s="4">
        <v>6183.0</v>
      </c>
      <c r="B7142" s="4">
        <v>43815.0</v>
      </c>
      <c r="C7142" s="5">
        <f t="shared" ref="C7142:C7144" si="3033">DATE(2012,12,31)-201</f>
        <v>41073</v>
      </c>
      <c r="D7142" s="4" t="s">
        <v>45</v>
      </c>
      <c r="E7142" s="4">
        <v>40.0</v>
      </c>
      <c r="F7142" s="4">
        <v>635.59</v>
      </c>
      <c r="G7142" s="4">
        <v>0.07</v>
      </c>
      <c r="H7142" s="4" t="s">
        <v>22</v>
      </c>
      <c r="I7142" s="6">
        <v>202.827</v>
      </c>
      <c r="J7142" s="4">
        <v>16.51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2"/>
        <v>41074</v>
      </c>
    </row>
    <row r="7143" ht="12.75" customHeight="1">
      <c r="A7143" s="4">
        <v>6184.0</v>
      </c>
      <c r="B7143" s="4">
        <v>43815.0</v>
      </c>
      <c r="C7143" s="5">
        <f t="shared" si="3033"/>
        <v>41073</v>
      </c>
      <c r="D7143" s="4" t="s">
        <v>45</v>
      </c>
      <c r="E7143" s="4">
        <v>22.0</v>
      </c>
      <c r="F7143" s="4">
        <v>1251.4</v>
      </c>
      <c r="G7143" s="4">
        <v>0.01</v>
      </c>
      <c r="H7143" s="4" t="s">
        <v>22</v>
      </c>
      <c r="I7143" s="6">
        <v>539.45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2"/>
        <v>41074</v>
      </c>
    </row>
    <row r="7144" ht="12.75" customHeight="1">
      <c r="A7144" s="4">
        <v>6185.0</v>
      </c>
      <c r="B7144" s="4">
        <v>43815.0</v>
      </c>
      <c r="C7144" s="5">
        <f t="shared" si="3033"/>
        <v>41073</v>
      </c>
      <c r="D7144" s="4" t="s">
        <v>45</v>
      </c>
      <c r="E7144" s="4">
        <v>45.0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35.0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2"/>
        <v>41074</v>
      </c>
    </row>
    <row r="7145" ht="12.75" customHeight="1">
      <c r="A7145" s="4">
        <v>6186.0</v>
      </c>
      <c r="B7145" s="4">
        <v>43844.0</v>
      </c>
      <c r="C7145" s="5">
        <f>DATE(2012,12,31)-792</f>
        <v>40482</v>
      </c>
      <c r="D7145" s="4" t="s">
        <v>30</v>
      </c>
      <c r="E7145" s="4">
        <v>25.0</v>
      </c>
      <c r="F7145" s="4">
        <v>1009.8679999999999</v>
      </c>
      <c r="G7145" s="4">
        <v>0.02</v>
      </c>
      <c r="H7145" s="4" t="s">
        <v>22</v>
      </c>
      <c r="I7145" s="6">
        <v>170.568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</v>
      </c>
      <c r="U7145" s="5">
        <f>C7145+0</f>
        <v>40482</v>
      </c>
    </row>
    <row r="7146" ht="12.75" customHeight="1">
      <c r="A7146" s="4">
        <v>6187.0</v>
      </c>
      <c r="B7146" s="4">
        <v>43846.0</v>
      </c>
      <c r="C7146" s="5">
        <f>DATE(2012,12,31)-1404</f>
        <v>39870</v>
      </c>
      <c r="D7146" s="4" t="s">
        <v>30</v>
      </c>
      <c r="E7146" s="4">
        <v>9.0</v>
      </c>
      <c r="F7146" s="4">
        <v>31.36</v>
      </c>
      <c r="G7146" s="4">
        <v>0.1</v>
      </c>
      <c r="H7146" s="4" t="s">
        <v>22</v>
      </c>
      <c r="I7146" s="6">
        <v>-8.28</v>
      </c>
      <c r="J7146" s="4">
        <v>3.6</v>
      </c>
      <c r="K7146" s="4">
        <v>2.2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4">C7146+1</f>
        <v>39871</v>
      </c>
    </row>
    <row r="7147" ht="12.75" customHeight="1">
      <c r="A7147" s="4">
        <v>6207.0</v>
      </c>
      <c r="B7147" s="4">
        <v>43974.0</v>
      </c>
      <c r="C7147" s="5">
        <f>DATE(2012,12,31)-1202</f>
        <v>40072</v>
      </c>
      <c r="D7147" s="4" t="s">
        <v>45</v>
      </c>
      <c r="E7147" s="4">
        <v>8.0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4"/>
        <v>40073</v>
      </c>
    </row>
    <row r="7148" ht="12.75" customHeight="1">
      <c r="A7148" s="4">
        <v>6209.0</v>
      </c>
      <c r="B7148" s="4">
        <v>44000.0</v>
      </c>
      <c r="C7148" s="5">
        <f t="shared" ref="C7148:C7149" si="3035">DATE(2012,12,31)-88</f>
        <v>41186</v>
      </c>
      <c r="D7148" s="4" t="s">
        <v>45</v>
      </c>
      <c r="E7148" s="4">
        <v>17.0</v>
      </c>
      <c r="F7148" s="4">
        <v>119.51</v>
      </c>
      <c r="G7148" s="4">
        <v>0.06</v>
      </c>
      <c r="H7148" s="4" t="s">
        <v>22</v>
      </c>
      <c r="I7148" s="6">
        <v>-51.3015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ht="12.75" customHeight="1">
      <c r="A7149" s="4">
        <v>6210.0</v>
      </c>
      <c r="B7149" s="4">
        <v>44000.0</v>
      </c>
      <c r="C7149" s="5">
        <f t="shared" si="3035"/>
        <v>41186</v>
      </c>
      <c r="D7149" s="4" t="s">
        <v>45</v>
      </c>
      <c r="E7149" s="4">
        <v>19.0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ht="12.75" customHeight="1">
      <c r="A7150" s="4">
        <v>6214.0</v>
      </c>
      <c r="B7150" s="4">
        <v>44003.0</v>
      </c>
      <c r="C7150" s="5">
        <f>DATE(2012,12,31)-410</f>
        <v>40864</v>
      </c>
      <c r="D7150" s="4" t="s">
        <v>21</v>
      </c>
      <c r="E7150" s="4">
        <v>38.0</v>
      </c>
      <c r="F7150" s="4">
        <v>202.42</v>
      </c>
      <c r="G7150" s="4">
        <v>0.09</v>
      </c>
      <c r="H7150" s="4" t="s">
        <v>22</v>
      </c>
      <c r="I7150" s="6">
        <v>0.8585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ht="12.75" customHeight="1">
      <c r="A7151" s="4">
        <v>6224.0</v>
      </c>
      <c r="B7151" s="4">
        <v>44069.0</v>
      </c>
      <c r="C7151" s="5">
        <f t="shared" ref="C7151:C7152" si="3036">DATE(2012,12,31)-1459</f>
        <v>39815</v>
      </c>
      <c r="D7151" s="4" t="s">
        <v>78</v>
      </c>
      <c r="E7151" s="4">
        <v>16.0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ht="12.75" customHeight="1">
      <c r="A7152" s="4">
        <v>6225.0</v>
      </c>
      <c r="B7152" s="4">
        <v>44069.0</v>
      </c>
      <c r="C7152" s="5">
        <f t="shared" si="3036"/>
        <v>39815</v>
      </c>
      <c r="D7152" s="4" t="s">
        <v>78</v>
      </c>
      <c r="E7152" s="4">
        <v>43.0</v>
      </c>
      <c r="F7152" s="4">
        <v>614.8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ht="12.75" customHeight="1">
      <c r="A7153" s="4">
        <v>6229.0</v>
      </c>
      <c r="B7153" s="4">
        <v>44099.0</v>
      </c>
      <c r="C7153" s="5">
        <f t="shared" ref="C7153:C7154" si="3037">DATE(2012,12,31)-294</f>
        <v>40980</v>
      </c>
      <c r="D7153" s="4" t="s">
        <v>63</v>
      </c>
      <c r="E7153" s="4">
        <v>34.0</v>
      </c>
      <c r="F7153" s="4">
        <v>11823.52</v>
      </c>
      <c r="G7153" s="4">
        <v>0.1</v>
      </c>
      <c r="H7153" s="4" t="s">
        <v>22</v>
      </c>
      <c r="I7153" s="6">
        <v>4592.737</v>
      </c>
      <c r="J7153" s="4">
        <v>367.99</v>
      </c>
      <c r="K7153" s="4">
        <v>19.99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8">C7153+2</f>
        <v>40982</v>
      </c>
    </row>
    <row r="7154" ht="12.75" customHeight="1">
      <c r="A7154" s="4">
        <v>6230.0</v>
      </c>
      <c r="B7154" s="4">
        <v>44099.0</v>
      </c>
      <c r="C7154" s="5">
        <f t="shared" si="3037"/>
        <v>40980</v>
      </c>
      <c r="D7154" s="4" t="s">
        <v>63</v>
      </c>
      <c r="E7154" s="4">
        <v>19.0</v>
      </c>
      <c r="F7154" s="4">
        <v>80.81</v>
      </c>
      <c r="G7154" s="4">
        <v>0.1</v>
      </c>
      <c r="H7154" s="4" t="s">
        <v>22</v>
      </c>
      <c r="I7154" s="6">
        <v>-67.459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8"/>
        <v>40982</v>
      </c>
    </row>
    <row r="7155" ht="12.75" customHeight="1">
      <c r="A7155" s="4">
        <v>6231.0</v>
      </c>
      <c r="B7155" s="4">
        <v>44133.0</v>
      </c>
      <c r="C7155" s="5">
        <f>DATE(2012,12,31)-1090</f>
        <v>40184</v>
      </c>
      <c r="D7155" s="4" t="s">
        <v>30</v>
      </c>
      <c r="E7155" s="4">
        <v>35.0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ht="12.75" customHeight="1">
      <c r="A7156" s="4">
        <v>6249.0</v>
      </c>
      <c r="B7156" s="4">
        <v>44261.0</v>
      </c>
      <c r="C7156" s="5">
        <f t="shared" ref="C7156:C7159" si="3039">DATE(2012,12,31)-283</f>
        <v>40991</v>
      </c>
      <c r="D7156" s="4" t="s">
        <v>30</v>
      </c>
      <c r="E7156" s="4">
        <v>31.0</v>
      </c>
      <c r="F7156" s="4">
        <v>13064.06</v>
      </c>
      <c r="G7156" s="4">
        <v>0.01</v>
      </c>
      <c r="H7156" s="4" t="s">
        <v>56</v>
      </c>
      <c r="I7156" s="6">
        <v>5979.563</v>
      </c>
      <c r="J7156" s="4">
        <v>420.98</v>
      </c>
      <c r="K7156" s="4">
        <v>19.99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40">C7156+2</f>
        <v>40993</v>
      </c>
    </row>
    <row r="7157" ht="12.75" customHeight="1">
      <c r="A7157" s="4">
        <v>6250.0</v>
      </c>
      <c r="B7157" s="4">
        <v>44261.0</v>
      </c>
      <c r="C7157" s="5">
        <f t="shared" si="3039"/>
        <v>40991</v>
      </c>
      <c r="D7157" s="4" t="s">
        <v>30</v>
      </c>
      <c r="E7157" s="4">
        <v>34.0</v>
      </c>
      <c r="F7157" s="4">
        <v>4771.89</v>
      </c>
      <c r="G7157" s="4">
        <v>0.05</v>
      </c>
      <c r="H7157" s="4" t="s">
        <v>31</v>
      </c>
      <c r="I7157" s="6">
        <v>-427.99</v>
      </c>
      <c r="J7157" s="4">
        <v>140.98</v>
      </c>
      <c r="K7157" s="4">
        <v>36.09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40"/>
        <v>40993</v>
      </c>
    </row>
    <row r="7158" ht="12.75" customHeight="1">
      <c r="A7158" s="4">
        <v>6251.0</v>
      </c>
      <c r="B7158" s="4">
        <v>44261.0</v>
      </c>
      <c r="C7158" s="5">
        <f t="shared" si="3039"/>
        <v>40991</v>
      </c>
      <c r="D7158" s="4" t="s">
        <v>30</v>
      </c>
      <c r="E7158" s="4">
        <v>1.0</v>
      </c>
      <c r="F7158" s="4">
        <v>3360.3</v>
      </c>
      <c r="G7158" s="4">
        <v>0.05</v>
      </c>
      <c r="H7158" s="4" t="s">
        <v>31</v>
      </c>
      <c r="I7158" s="6">
        <v>-7961.430899999999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0.57</v>
      </c>
      <c r="U7158" s="5">
        <f>C7158+1</f>
        <v>40992</v>
      </c>
    </row>
    <row r="7159" ht="12.75" customHeight="1">
      <c r="A7159" s="4">
        <v>6252.0</v>
      </c>
      <c r="B7159" s="4">
        <v>44261.0</v>
      </c>
      <c r="C7159" s="5">
        <f t="shared" si="3039"/>
        <v>40991</v>
      </c>
      <c r="D7159" s="4" t="s">
        <v>30</v>
      </c>
      <c r="E7159" s="4">
        <v>10.0</v>
      </c>
      <c r="F7159" s="4">
        <v>306.66299999999995</v>
      </c>
      <c r="G7159" s="4">
        <v>0.07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ht="12.75" customHeight="1">
      <c r="A7160" s="4">
        <v>6263.0</v>
      </c>
      <c r="B7160" s="4">
        <v>44323.0</v>
      </c>
      <c r="C7160" s="5">
        <f>DATE(2012,12,31)-146</f>
        <v>41128</v>
      </c>
      <c r="D7160" s="4" t="s">
        <v>63</v>
      </c>
      <c r="E7160" s="4">
        <v>27.0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16.06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</v>
      </c>
      <c r="U7160" s="5">
        <f>C7160+2</f>
        <v>41130</v>
      </c>
    </row>
    <row r="7161" ht="12.75" customHeight="1">
      <c r="A7161" s="4">
        <v>6289.0</v>
      </c>
      <c r="B7161" s="4">
        <v>44517.0</v>
      </c>
      <c r="C7161" s="5">
        <f>DATE(2012,12,31)-1348</f>
        <v>39926</v>
      </c>
      <c r="D7161" s="4" t="s">
        <v>63</v>
      </c>
      <c r="E7161" s="4">
        <v>5.0</v>
      </c>
      <c r="F7161" s="4">
        <v>32.5</v>
      </c>
      <c r="G7161" s="4">
        <v>0.03</v>
      </c>
      <c r="H7161" s="4" t="s">
        <v>22</v>
      </c>
      <c r="I7161" s="6">
        <v>-16.67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1">C7161+1</f>
        <v>39927</v>
      </c>
    </row>
    <row r="7162" ht="12.75" customHeight="1">
      <c r="A7162" s="4">
        <v>6294.0</v>
      </c>
      <c r="B7162" s="4">
        <v>44549.0</v>
      </c>
      <c r="C7162" s="5">
        <f>DATE(2012,12,31)-344</f>
        <v>40930</v>
      </c>
      <c r="D7162" s="4" t="s">
        <v>63</v>
      </c>
      <c r="E7162" s="4">
        <v>5.0</v>
      </c>
      <c r="F7162" s="4">
        <v>11.25</v>
      </c>
      <c r="G7162" s="4">
        <v>0.08</v>
      </c>
      <c r="H7162" s="4" t="s">
        <v>22</v>
      </c>
      <c r="I7162" s="6">
        <v>-4.956499999999999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1"/>
        <v>40931</v>
      </c>
    </row>
    <row r="7163" ht="12.75" customHeight="1">
      <c r="A7163" s="4">
        <v>6315.0</v>
      </c>
      <c r="B7163" s="4">
        <v>44679.0</v>
      </c>
      <c r="C7163" s="5">
        <f t="shared" ref="C7163:C7164" si="3042">DATE(2012,12,31)-211</f>
        <v>41063</v>
      </c>
      <c r="D7163" s="4" t="s">
        <v>63</v>
      </c>
      <c r="E7163" s="4">
        <v>22.0</v>
      </c>
      <c r="F7163" s="4">
        <v>127.51</v>
      </c>
      <c r="G7163" s="4">
        <v>0.07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1"/>
        <v>41064</v>
      </c>
    </row>
    <row r="7164" ht="12.75" customHeight="1">
      <c r="A7164" s="4">
        <v>6316.0</v>
      </c>
      <c r="B7164" s="4">
        <v>44679.0</v>
      </c>
      <c r="C7164" s="5">
        <f t="shared" si="3042"/>
        <v>41063</v>
      </c>
      <c r="D7164" s="4" t="s">
        <v>63</v>
      </c>
      <c r="E7164" s="4">
        <v>35.0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ht="12.75" customHeight="1">
      <c r="A7165" s="4">
        <v>6329.0</v>
      </c>
      <c r="B7165" s="4">
        <v>44836.0</v>
      </c>
      <c r="C7165" s="5">
        <f>DATE(2012,12,31)-1207</f>
        <v>40067</v>
      </c>
      <c r="D7165" s="4" t="s">
        <v>63</v>
      </c>
      <c r="E7165" s="4">
        <v>21.0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3">C7165+1</f>
        <v>40068</v>
      </c>
    </row>
    <row r="7166" ht="12.75" customHeight="1">
      <c r="A7166" s="4">
        <v>6358.0</v>
      </c>
      <c r="B7166" s="4">
        <v>45120.0</v>
      </c>
      <c r="C7166" s="5">
        <f>DATE(2012,12,31)-1362</f>
        <v>39912</v>
      </c>
      <c r="D7166" s="4" t="s">
        <v>78</v>
      </c>
      <c r="E7166" s="4">
        <v>39.0</v>
      </c>
      <c r="F7166" s="4">
        <v>14591.44</v>
      </c>
      <c r="G7166" s="4">
        <v>0.07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3"/>
        <v>39913</v>
      </c>
    </row>
    <row r="7167" ht="12.75" customHeight="1">
      <c r="A7167" s="4">
        <v>6367.0</v>
      </c>
      <c r="B7167" s="4">
        <v>45158.0</v>
      </c>
      <c r="C7167" s="5">
        <f t="shared" ref="C7167:C7168" si="3044">DATE(2012,12,31)-996</f>
        <v>40278</v>
      </c>
      <c r="D7167" s="4" t="s">
        <v>21</v>
      </c>
      <c r="E7167" s="4">
        <v>40.0</v>
      </c>
      <c r="F7167" s="4">
        <v>375.52</v>
      </c>
      <c r="G7167" s="4">
        <v>0.09</v>
      </c>
      <c r="H7167" s="4" t="s">
        <v>22</v>
      </c>
      <c r="I7167" s="6">
        <v>131.7</v>
      </c>
      <c r="J7167" s="4">
        <v>9.68</v>
      </c>
      <c r="K7167" s="4">
        <v>2.03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ht="12.75" customHeight="1">
      <c r="A7168" s="4">
        <v>6368.0</v>
      </c>
      <c r="B7168" s="4">
        <v>45158.0</v>
      </c>
      <c r="C7168" s="5">
        <f t="shared" si="3044"/>
        <v>40278</v>
      </c>
      <c r="D7168" s="4" t="s">
        <v>21</v>
      </c>
      <c r="E7168" s="4">
        <v>15.0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ht="12.75" customHeight="1">
      <c r="A7169" s="4">
        <v>6377.0</v>
      </c>
      <c r="B7169" s="4">
        <v>45254.0</v>
      </c>
      <c r="C7169" s="5">
        <f>DATE(2012,12,31)-889</f>
        <v>40385</v>
      </c>
      <c r="D7169" s="4" t="s">
        <v>30</v>
      </c>
      <c r="E7169" s="4">
        <v>45.0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5">C7169+1</f>
        <v>40386</v>
      </c>
    </row>
    <row r="7170" ht="12.75" customHeight="1">
      <c r="A7170" s="4">
        <v>6379.0</v>
      </c>
      <c r="B7170" s="4">
        <v>45315.0</v>
      </c>
      <c r="C7170" s="5">
        <f>DATE(2012,12,31)-255</f>
        <v>41019</v>
      </c>
      <c r="D7170" s="4" t="s">
        <v>63</v>
      </c>
      <c r="E7170" s="4">
        <v>32.0</v>
      </c>
      <c r="F7170" s="4">
        <v>1141.9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0.57</v>
      </c>
      <c r="U7170" s="5">
        <f t="shared" si="3045"/>
        <v>41020</v>
      </c>
    </row>
    <row r="7171" ht="12.75" customHeight="1">
      <c r="A7171" s="4">
        <v>6387.0</v>
      </c>
      <c r="B7171" s="4">
        <v>45380.0</v>
      </c>
      <c r="C7171" s="5">
        <f t="shared" ref="C7171:C7172" si="3046">DATE(2012,12,31)-1341</f>
        <v>39933</v>
      </c>
      <c r="D7171" s="4" t="s">
        <v>78</v>
      </c>
      <c r="E7171" s="4">
        <v>34.0</v>
      </c>
      <c r="F7171" s="4">
        <v>1912.9845</v>
      </c>
      <c r="G7171" s="4">
        <v>0.06</v>
      </c>
      <c r="H7171" s="4" t="s">
        <v>56</v>
      </c>
      <c r="I7171" s="6">
        <v>288.09</v>
      </c>
      <c r="J7171" s="4">
        <v>65.99</v>
      </c>
      <c r="K7171" s="4">
        <v>8.8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0.58</v>
      </c>
      <c r="U7171" s="5">
        <f t="shared" si="3045"/>
        <v>39934</v>
      </c>
    </row>
    <row r="7172" ht="12.75" customHeight="1">
      <c r="A7172" s="4">
        <v>6388.0</v>
      </c>
      <c r="B7172" s="4">
        <v>45380.0</v>
      </c>
      <c r="C7172" s="5">
        <f t="shared" si="3046"/>
        <v>39933</v>
      </c>
      <c r="D7172" s="4" t="s">
        <v>78</v>
      </c>
      <c r="E7172" s="4">
        <v>24.0</v>
      </c>
      <c r="F7172" s="4">
        <v>4170.865</v>
      </c>
      <c r="G7172" s="4">
        <v>0.0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0.57</v>
      </c>
      <c r="U7172" s="5">
        <f>C7172+2</f>
        <v>39935</v>
      </c>
    </row>
    <row r="7173" ht="12.75" customHeight="1">
      <c r="A7173" s="4">
        <v>6393.0</v>
      </c>
      <c r="B7173" s="4">
        <v>45409.0</v>
      </c>
      <c r="C7173" s="5">
        <f t="shared" ref="C7173:C7175" si="3047">DATE(2012,12,31)-994</f>
        <v>40280</v>
      </c>
      <c r="D7173" s="4" t="s">
        <v>78</v>
      </c>
      <c r="E7173" s="4">
        <v>11.0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0.57</v>
      </c>
      <c r="U7173" s="5">
        <f>C7173+3</f>
        <v>40283</v>
      </c>
    </row>
    <row r="7174" ht="12.75" customHeight="1">
      <c r="A7174" s="4">
        <v>6394.0</v>
      </c>
      <c r="B7174" s="4">
        <v>45409.0</v>
      </c>
      <c r="C7174" s="5">
        <f t="shared" si="3047"/>
        <v>40280</v>
      </c>
      <c r="D7174" s="4" t="s">
        <v>78</v>
      </c>
      <c r="E7174" s="4">
        <v>10.0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</v>
      </c>
      <c r="U7174" s="5">
        <f>C7174+1</f>
        <v>40281</v>
      </c>
    </row>
    <row r="7175" ht="12.75" customHeight="1">
      <c r="A7175" s="4">
        <v>6395.0</v>
      </c>
      <c r="B7175" s="4">
        <v>45409.0</v>
      </c>
      <c r="C7175" s="5">
        <f t="shared" si="3047"/>
        <v>40280</v>
      </c>
      <c r="D7175" s="4" t="s">
        <v>78</v>
      </c>
      <c r="E7175" s="4">
        <v>50.0</v>
      </c>
      <c r="F7175" s="4">
        <v>893.1375</v>
      </c>
      <c r="G7175" s="4">
        <v>0.0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ht="12.75" customHeight="1">
      <c r="A7176" s="4">
        <v>6406.0</v>
      </c>
      <c r="B7176" s="4">
        <v>45539.0</v>
      </c>
      <c r="C7176" s="5">
        <f t="shared" ref="C7176:C7177" si="3048">DATE(2012,12,31)-1247</f>
        <v>40027</v>
      </c>
      <c r="D7176" s="4" t="s">
        <v>45</v>
      </c>
      <c r="E7176" s="4">
        <v>15.0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9">C7176+2</f>
        <v>40029</v>
      </c>
    </row>
    <row r="7177" ht="12.75" customHeight="1">
      <c r="A7177" s="4">
        <v>6407.0</v>
      </c>
      <c r="B7177" s="4">
        <v>45539.0</v>
      </c>
      <c r="C7177" s="5">
        <f t="shared" si="3048"/>
        <v>40027</v>
      </c>
      <c r="D7177" s="4" t="s">
        <v>45</v>
      </c>
      <c r="E7177" s="4">
        <v>27.0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9"/>
        <v>40029</v>
      </c>
    </row>
    <row r="7178" ht="12.75" customHeight="1">
      <c r="A7178" s="4">
        <v>6418.0</v>
      </c>
      <c r="B7178" s="4">
        <v>45605.0</v>
      </c>
      <c r="C7178" s="5">
        <f>DATE(2012,12,31)-996</f>
        <v>40278</v>
      </c>
      <c r="D7178" s="4" t="s">
        <v>63</v>
      </c>
      <c r="E7178" s="4">
        <v>7.0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9"/>
        <v>40280</v>
      </c>
    </row>
    <row r="7179" ht="12.75" customHeight="1">
      <c r="A7179" s="4">
        <v>6423.0</v>
      </c>
      <c r="B7179" s="4">
        <v>45664.0</v>
      </c>
      <c r="C7179" s="5">
        <f>DATE(2012,12,31)-205</f>
        <v>41069</v>
      </c>
      <c r="D7179" s="4" t="s">
        <v>45</v>
      </c>
      <c r="E7179" s="4">
        <v>24.0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ht="12.75" customHeight="1">
      <c r="A7180" s="4">
        <v>6426.0</v>
      </c>
      <c r="B7180" s="4">
        <v>45671.0</v>
      </c>
      <c r="C7180" s="5">
        <f>DATE(2012,12,31)-568</f>
        <v>40706</v>
      </c>
      <c r="D7180" s="4" t="s">
        <v>21</v>
      </c>
      <c r="E7180" s="4">
        <v>13.0</v>
      </c>
      <c r="F7180" s="4">
        <v>126.68</v>
      </c>
      <c r="G7180" s="4">
        <v>0.05</v>
      </c>
      <c r="H7180" s="4" t="s">
        <v>22</v>
      </c>
      <c r="I7180" s="6">
        <v>7.0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ht="12.75" customHeight="1">
      <c r="A7181" s="4">
        <v>6430.0</v>
      </c>
      <c r="B7181" s="4">
        <v>45728.0</v>
      </c>
      <c r="C7181" s="5">
        <f>DATE(2012,12,31)-924</f>
        <v>40350</v>
      </c>
      <c r="D7181" s="4" t="s">
        <v>30</v>
      </c>
      <c r="E7181" s="4">
        <v>49.0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ht="12.75" customHeight="1">
      <c r="A7182" s="4">
        <v>6437.0</v>
      </c>
      <c r="B7182" s="4">
        <v>45762.0</v>
      </c>
      <c r="C7182" s="5">
        <f>DATE(2012,12,31)-894</f>
        <v>40380</v>
      </c>
      <c r="D7182" s="4" t="s">
        <v>21</v>
      </c>
      <c r="E7182" s="4">
        <v>21.0</v>
      </c>
      <c r="F7182" s="4">
        <v>793.85</v>
      </c>
      <c r="G7182" s="4">
        <v>0.01</v>
      </c>
      <c r="H7182" s="4" t="s">
        <v>22</v>
      </c>
      <c r="I7182" s="6">
        <v>308.53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ht="12.75" customHeight="1">
      <c r="A7183" s="4">
        <v>6486.0</v>
      </c>
      <c r="B7183" s="4">
        <v>46151.0</v>
      </c>
      <c r="C7183" s="5">
        <f>DATE(2012,12,31)-1149</f>
        <v>40125</v>
      </c>
      <c r="D7183" s="4" t="s">
        <v>78</v>
      </c>
      <c r="E7183" s="4">
        <v>23.0</v>
      </c>
      <c r="F7183" s="4">
        <v>203.91</v>
      </c>
      <c r="G7183" s="4">
        <v>0.02</v>
      </c>
      <c r="H7183" s="4" t="s">
        <v>22</v>
      </c>
      <c r="I7183" s="6">
        <v>-35.443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50">C7183+2</f>
        <v>40127</v>
      </c>
    </row>
    <row r="7184" ht="12.75" customHeight="1">
      <c r="A7184" s="4">
        <v>6523.0</v>
      </c>
      <c r="B7184" s="4">
        <v>46407.0</v>
      </c>
      <c r="C7184" s="5">
        <f>DATE(2012,12,31)-1376</f>
        <v>39898</v>
      </c>
      <c r="D7184" s="4" t="s">
        <v>45</v>
      </c>
      <c r="E7184" s="4">
        <v>7.0</v>
      </c>
      <c r="F7184" s="4">
        <v>38.37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50"/>
        <v>39900</v>
      </c>
    </row>
    <row r="7185" ht="12.75" customHeight="1">
      <c r="A7185" s="4">
        <v>6534.0</v>
      </c>
      <c r="B7185" s="4">
        <v>46499.0</v>
      </c>
      <c r="C7185" s="5">
        <f t="shared" ref="C7185:C7187" si="3051">DATE(2012,12,31)-1303</f>
        <v>39971</v>
      </c>
      <c r="D7185" s="4" t="s">
        <v>78</v>
      </c>
      <c r="E7185" s="4">
        <v>1.0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ht="12.75" customHeight="1">
      <c r="A7186" s="4">
        <v>6535.0</v>
      </c>
      <c r="B7186" s="4">
        <v>46499.0</v>
      </c>
      <c r="C7186" s="5">
        <f t="shared" si="3051"/>
        <v>39971</v>
      </c>
      <c r="D7186" s="4" t="s">
        <v>78</v>
      </c>
      <c r="E7186" s="4">
        <v>22.0</v>
      </c>
      <c r="F7186" s="4">
        <v>89.96</v>
      </c>
      <c r="G7186" s="4">
        <v>0.07</v>
      </c>
      <c r="H7186" s="4" t="s">
        <v>22</v>
      </c>
      <c r="I7186" s="6">
        <v>-115.21</v>
      </c>
      <c r="J7186" s="4">
        <v>4.06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ht="12.75" customHeight="1">
      <c r="A7187" s="4">
        <v>6536.0</v>
      </c>
      <c r="B7187" s="4">
        <v>46499.0</v>
      </c>
      <c r="C7187" s="5">
        <f t="shared" si="3051"/>
        <v>39971</v>
      </c>
      <c r="D7187" s="4" t="s">
        <v>78</v>
      </c>
      <c r="E7187" s="4">
        <v>10.0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ht="12.75" customHeight="1">
      <c r="A7188" s="4">
        <v>6561.0</v>
      </c>
      <c r="B7188" s="4">
        <v>46631.0</v>
      </c>
      <c r="C7188" s="5">
        <f>DATE(2012,12,31)-295</f>
        <v>40979</v>
      </c>
      <c r="D7188" s="4" t="s">
        <v>45</v>
      </c>
      <c r="E7188" s="4">
        <v>39.0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2">C7188+2</f>
        <v>40981</v>
      </c>
    </row>
    <row r="7189" ht="12.75" customHeight="1">
      <c r="A7189" s="4">
        <v>6563.0</v>
      </c>
      <c r="B7189" s="4">
        <v>46662.0</v>
      </c>
      <c r="C7189" s="5">
        <f t="shared" ref="C7189:C7191" si="3053">DATE(2012,12,31)-368</f>
        <v>40906</v>
      </c>
      <c r="D7189" s="4" t="s">
        <v>78</v>
      </c>
      <c r="E7189" s="4">
        <v>8.0</v>
      </c>
      <c r="F7189" s="4">
        <v>57.22</v>
      </c>
      <c r="G7189" s="4">
        <v>0.07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2"/>
        <v>40908</v>
      </c>
    </row>
    <row r="7190" ht="12.75" customHeight="1">
      <c r="A7190" s="4">
        <v>6564.0</v>
      </c>
      <c r="B7190" s="4">
        <v>46662.0</v>
      </c>
      <c r="C7190" s="5">
        <f t="shared" si="3053"/>
        <v>40906</v>
      </c>
      <c r="D7190" s="4" t="s">
        <v>78</v>
      </c>
      <c r="E7190" s="4">
        <v>33.0</v>
      </c>
      <c r="F7190" s="4">
        <v>162.0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2"/>
        <v>40908</v>
      </c>
    </row>
    <row r="7191" ht="12.75" customHeight="1">
      <c r="A7191" s="4">
        <v>6565.0</v>
      </c>
      <c r="B7191" s="4">
        <v>46662.0</v>
      </c>
      <c r="C7191" s="5">
        <f t="shared" si="3053"/>
        <v>40906</v>
      </c>
      <c r="D7191" s="4" t="s">
        <v>78</v>
      </c>
      <c r="E7191" s="4">
        <v>48.0</v>
      </c>
      <c r="F7191" s="4">
        <v>3410.1575</v>
      </c>
      <c r="G7191" s="4">
        <v>0.1</v>
      </c>
      <c r="H7191" s="4" t="s">
        <v>22</v>
      </c>
      <c r="I7191" s="6">
        <v>1137.906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</v>
      </c>
      <c r="U7191" s="5">
        <f t="shared" si="3052"/>
        <v>40908</v>
      </c>
    </row>
    <row r="7192" ht="12.75" customHeight="1">
      <c r="A7192" s="4">
        <v>6566.0</v>
      </c>
      <c r="B7192" s="4">
        <v>46691.0</v>
      </c>
      <c r="C7192" s="5">
        <f>DATE(2012,12,31)-190</f>
        <v>41084</v>
      </c>
      <c r="D7192" s="4" t="s">
        <v>78</v>
      </c>
      <c r="E7192" s="4">
        <v>47.0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0.58</v>
      </c>
      <c r="U7192" s="5">
        <f t="shared" si="3052"/>
        <v>41086</v>
      </c>
    </row>
    <row r="7193" ht="12.75" customHeight="1">
      <c r="A7193" s="4">
        <v>6583.0</v>
      </c>
      <c r="B7193" s="4">
        <v>46880.0</v>
      </c>
      <c r="C7193" s="5">
        <f>DATE(2012,12,31)-912</f>
        <v>40362</v>
      </c>
      <c r="D7193" s="4" t="s">
        <v>78</v>
      </c>
      <c r="E7193" s="4">
        <v>1.0</v>
      </c>
      <c r="F7193" s="4">
        <v>29.99</v>
      </c>
      <c r="G7193" s="4">
        <v>0.07</v>
      </c>
      <c r="H7193" s="4" t="s">
        <v>22</v>
      </c>
      <c r="I7193" s="6">
        <v>-8.88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2"/>
        <v>40364</v>
      </c>
    </row>
    <row r="7194" ht="12.75" customHeight="1">
      <c r="A7194" s="4">
        <v>6607.0</v>
      </c>
      <c r="B7194" s="4">
        <v>47011.0</v>
      </c>
      <c r="C7194" s="5">
        <f>DATE(2012,12,31)-1411</f>
        <v>39863</v>
      </c>
      <c r="D7194" s="4" t="s">
        <v>30</v>
      </c>
      <c r="E7194" s="4">
        <v>33.0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2"/>
        <v>39865</v>
      </c>
    </row>
    <row r="7195" ht="12.75" customHeight="1">
      <c r="A7195" s="4">
        <v>6637.0</v>
      </c>
      <c r="B7195" s="4">
        <v>47201.0</v>
      </c>
      <c r="C7195" s="5">
        <f>DATE(2012,12,31)-1099</f>
        <v>40175</v>
      </c>
      <c r="D7195" s="4" t="s">
        <v>78</v>
      </c>
      <c r="E7195" s="4">
        <v>18.0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ht="12.75" customHeight="1">
      <c r="A7196" s="4">
        <v>6663.0</v>
      </c>
      <c r="B7196" s="4">
        <v>47457.0</v>
      </c>
      <c r="C7196" s="5">
        <f>DATE(2012,12,31)-1307</f>
        <v>39967</v>
      </c>
      <c r="D7196" s="4" t="s">
        <v>21</v>
      </c>
      <c r="E7196" s="4">
        <v>50.0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</v>
      </c>
      <c r="K7196" s="4">
        <v>19.99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ht="12.75" customHeight="1">
      <c r="A7197" s="4">
        <v>6679.0</v>
      </c>
      <c r="B7197" s="4">
        <v>47522.0</v>
      </c>
      <c r="C7197" s="5">
        <f>DATE(2012,12,31)-69</f>
        <v>41205</v>
      </c>
      <c r="D7197" s="4" t="s">
        <v>30</v>
      </c>
      <c r="E7197" s="4">
        <v>5.0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4">C7197+1</f>
        <v>41206</v>
      </c>
    </row>
    <row r="7198" ht="12.75" customHeight="1">
      <c r="A7198" s="4">
        <v>6684.0</v>
      </c>
      <c r="B7198" s="4">
        <v>47553.0</v>
      </c>
      <c r="C7198" s="5">
        <f>DATE(2012,12,31)-589</f>
        <v>40685</v>
      </c>
      <c r="D7198" s="4" t="s">
        <v>63</v>
      </c>
      <c r="E7198" s="4">
        <v>49.0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4"/>
        <v>40686</v>
      </c>
    </row>
    <row r="7199" ht="12.75" customHeight="1">
      <c r="A7199" s="4">
        <v>6688.0</v>
      </c>
      <c r="B7199" s="4">
        <v>47584.0</v>
      </c>
      <c r="C7199" s="5">
        <f t="shared" ref="C7199:C7200" si="3055">DATE(2012,12,31)-888</f>
        <v>40386</v>
      </c>
      <c r="D7199" s="4" t="s">
        <v>78</v>
      </c>
      <c r="E7199" s="4">
        <v>4.0</v>
      </c>
      <c r="F7199" s="4">
        <v>20.19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ht="12.75" customHeight="1">
      <c r="A7200" s="4">
        <v>6689.0</v>
      </c>
      <c r="B7200" s="4">
        <v>47584.0</v>
      </c>
      <c r="C7200" s="5">
        <f t="shared" si="3055"/>
        <v>40386</v>
      </c>
      <c r="D7200" s="4" t="s">
        <v>78</v>
      </c>
      <c r="E7200" s="4">
        <v>43.0</v>
      </c>
      <c r="F7200" s="4">
        <v>74.99</v>
      </c>
      <c r="G7200" s="4">
        <v>0.08</v>
      </c>
      <c r="H7200" s="4" t="s">
        <v>22</v>
      </c>
      <c r="I7200" s="6">
        <v>-8.95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0.57</v>
      </c>
      <c r="U7200" s="5">
        <f>C7200+1</f>
        <v>40387</v>
      </c>
    </row>
    <row r="7201" ht="12.75" customHeight="1">
      <c r="A7201" s="4">
        <v>6696.0</v>
      </c>
      <c r="B7201" s="4">
        <v>47683.0</v>
      </c>
      <c r="C7201" s="5">
        <f>DATE(2012,12,31)-852</f>
        <v>40422</v>
      </c>
      <c r="D7201" s="4" t="s">
        <v>21</v>
      </c>
      <c r="E7201" s="4">
        <v>38.0</v>
      </c>
      <c r="F7201" s="4">
        <v>81.97</v>
      </c>
      <c r="G7201" s="4">
        <v>0.05</v>
      </c>
      <c r="H7201" s="4" t="s">
        <v>22</v>
      </c>
      <c r="I7201" s="6">
        <v>-148.7985</v>
      </c>
      <c r="J7201" s="4">
        <v>1.98</v>
      </c>
      <c r="K7201" s="4">
        <v>4.77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ht="12.75" customHeight="1">
      <c r="A7202" s="4">
        <v>6719.0</v>
      </c>
      <c r="B7202" s="4">
        <v>47872.0</v>
      </c>
      <c r="C7202" s="5">
        <f t="shared" ref="C7202:C7203" si="3056">DATE(2012,12,31)-1298</f>
        <v>39976</v>
      </c>
      <c r="D7202" s="4" t="s">
        <v>78</v>
      </c>
      <c r="E7202" s="4">
        <v>38.0</v>
      </c>
      <c r="F7202" s="4">
        <v>1756.27</v>
      </c>
      <c r="G7202" s="4">
        <v>0.09</v>
      </c>
      <c r="H7202" s="4" t="s">
        <v>22</v>
      </c>
      <c r="I7202" s="6">
        <v>649.05</v>
      </c>
      <c r="J7202" s="4">
        <v>46.89</v>
      </c>
      <c r="K7202" s="4">
        <v>5.1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ht="12.75" customHeight="1">
      <c r="A7203" s="4">
        <v>6720.0</v>
      </c>
      <c r="B7203" s="4">
        <v>47872.0</v>
      </c>
      <c r="C7203" s="5">
        <f t="shared" si="3056"/>
        <v>39976</v>
      </c>
      <c r="D7203" s="4" t="s">
        <v>78</v>
      </c>
      <c r="E7203" s="4">
        <v>50.0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ht="12.75" customHeight="1">
      <c r="A7204" s="4">
        <v>6723.0</v>
      </c>
      <c r="B7204" s="4">
        <v>47877.0</v>
      </c>
      <c r="C7204" s="5">
        <f t="shared" ref="C7204:C7206" si="3057">DATE(2012,12,31)-1221</f>
        <v>40053</v>
      </c>
      <c r="D7204" s="4" t="s">
        <v>63</v>
      </c>
      <c r="E7204" s="4">
        <v>16.0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17.24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</v>
      </c>
      <c r="U7204" s="5">
        <f>C7204+3</f>
        <v>40056</v>
      </c>
    </row>
    <row r="7205" ht="12.75" customHeight="1">
      <c r="A7205" s="4">
        <v>6724.0</v>
      </c>
      <c r="B7205" s="4">
        <v>47877.0</v>
      </c>
      <c r="C7205" s="5">
        <f t="shared" si="3057"/>
        <v>40053</v>
      </c>
      <c r="D7205" s="4" t="s">
        <v>63</v>
      </c>
      <c r="E7205" s="4">
        <v>19.0</v>
      </c>
      <c r="F7205" s="4">
        <v>3240.728</v>
      </c>
      <c r="G7205" s="4">
        <v>0.07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8">C7205+2</f>
        <v>40055</v>
      </c>
    </row>
    <row r="7206" ht="12.75" customHeight="1">
      <c r="A7206" s="4">
        <v>6725.0</v>
      </c>
      <c r="B7206" s="4">
        <v>47877.0</v>
      </c>
      <c r="C7206" s="5">
        <f t="shared" si="3057"/>
        <v>40053</v>
      </c>
      <c r="D7206" s="4" t="s">
        <v>63</v>
      </c>
      <c r="E7206" s="4">
        <v>49.0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69.0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8"/>
        <v>40055</v>
      </c>
    </row>
    <row r="7207" ht="12.75" customHeight="1">
      <c r="A7207" s="4">
        <v>6726.0</v>
      </c>
      <c r="B7207" s="4">
        <v>47879.0</v>
      </c>
      <c r="C7207" s="5">
        <f>DATE(2012,12,31)-355</f>
        <v>40919</v>
      </c>
      <c r="D7207" s="4" t="s">
        <v>78</v>
      </c>
      <c r="E7207" s="4">
        <v>19.0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9">C7207+1</f>
        <v>40920</v>
      </c>
    </row>
    <row r="7208" ht="12.75" customHeight="1">
      <c r="A7208" s="4">
        <v>6730.0</v>
      </c>
      <c r="B7208" s="4">
        <v>47910.0</v>
      </c>
      <c r="C7208" s="5">
        <f>DATE(2012,12,31)-1234</f>
        <v>40040</v>
      </c>
      <c r="D7208" s="4" t="s">
        <v>30</v>
      </c>
      <c r="E7208" s="4">
        <v>30.0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19.99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</v>
      </c>
      <c r="U7208" s="5">
        <f t="shared" si="3059"/>
        <v>40041</v>
      </c>
    </row>
    <row r="7209" ht="12.75" customHeight="1">
      <c r="A7209" s="4">
        <v>6739.0</v>
      </c>
      <c r="B7209" s="4">
        <v>47972.0</v>
      </c>
      <c r="C7209" s="5">
        <f>DATE(2012,12,31)-812</f>
        <v>40462</v>
      </c>
      <c r="D7209" s="4" t="s">
        <v>63</v>
      </c>
      <c r="E7209" s="4">
        <v>46.0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19.99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ht="12.75" customHeight="1">
      <c r="A7210" s="4">
        <v>6765.0</v>
      </c>
      <c r="B7210" s="4">
        <v>48192.0</v>
      </c>
      <c r="C7210" s="5">
        <f>DATE(2012,12,31)-1111</f>
        <v>40163</v>
      </c>
      <c r="D7210" s="4" t="s">
        <v>78</v>
      </c>
      <c r="E7210" s="4">
        <v>15.0</v>
      </c>
      <c r="F7210" s="4">
        <v>2277.67</v>
      </c>
      <c r="G7210" s="4">
        <v>0.0</v>
      </c>
      <c r="H7210" s="4" t="s">
        <v>31</v>
      </c>
      <c r="I7210" s="6">
        <v>-173.96</v>
      </c>
      <c r="J7210" s="4">
        <v>140.98</v>
      </c>
      <c r="K7210" s="4">
        <v>36.09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ht="12.75" customHeight="1">
      <c r="A7211" s="4">
        <v>6780.0</v>
      </c>
      <c r="B7211" s="4">
        <v>48288.0</v>
      </c>
      <c r="C7211" s="5">
        <f>DATE(2012,12,31)-528</f>
        <v>40746</v>
      </c>
      <c r="D7211" s="4" t="s">
        <v>63</v>
      </c>
      <c r="E7211" s="4">
        <v>25.0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130.98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ht="12.75" customHeight="1">
      <c r="A7212" s="4">
        <v>6781.0</v>
      </c>
      <c r="B7212" s="4">
        <v>48293.0</v>
      </c>
      <c r="C7212" s="5">
        <f>DATE(2012,12,31)-266</f>
        <v>41008</v>
      </c>
      <c r="D7212" s="4" t="s">
        <v>78</v>
      </c>
      <c r="E7212" s="4">
        <v>47.0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ht="12.75" customHeight="1">
      <c r="A7213" s="4">
        <v>6782.0</v>
      </c>
      <c r="B7213" s="4">
        <v>48294.0</v>
      </c>
      <c r="C7213" s="5">
        <f>DATE(2012,12,31)-950</f>
        <v>40324</v>
      </c>
      <c r="D7213" s="4" t="s">
        <v>30</v>
      </c>
      <c r="E7213" s="4">
        <v>43.0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</v>
      </c>
      <c r="U7213" s="5">
        <f>C7213+0</f>
        <v>40324</v>
      </c>
    </row>
    <row r="7214" ht="12.75" customHeight="1">
      <c r="A7214" s="4">
        <v>6785.0</v>
      </c>
      <c r="B7214" s="4">
        <v>48322.0</v>
      </c>
      <c r="C7214" s="5">
        <f>DATE(2012,12,31)-302</f>
        <v>40972</v>
      </c>
      <c r="D7214" s="4" t="s">
        <v>63</v>
      </c>
      <c r="E7214" s="4">
        <v>14.0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0.58</v>
      </c>
      <c r="U7214" s="5">
        <f>C7214+1</f>
        <v>40973</v>
      </c>
    </row>
    <row r="7215" ht="12.75" customHeight="1">
      <c r="A7215" s="4">
        <v>6787.0</v>
      </c>
      <c r="B7215" s="4">
        <v>48353.0</v>
      </c>
      <c r="C7215" s="5">
        <f>DATE(2012,12,31)-16</f>
        <v>41258</v>
      </c>
      <c r="D7215" s="4" t="s">
        <v>45</v>
      </c>
      <c r="E7215" s="4">
        <v>18.0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60">C7215+2</f>
        <v>41260</v>
      </c>
    </row>
    <row r="7216" ht="12.75" customHeight="1">
      <c r="A7216" s="4">
        <v>6794.0</v>
      </c>
      <c r="B7216" s="4">
        <v>48420.0</v>
      </c>
      <c r="C7216" s="5">
        <f>DATE(2012,12,31)-1177</f>
        <v>40097</v>
      </c>
      <c r="D7216" s="4" t="s">
        <v>21</v>
      </c>
      <c r="E7216" s="4">
        <v>46.0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60"/>
        <v>40099</v>
      </c>
    </row>
    <row r="7217" ht="12.75" customHeight="1">
      <c r="A7217" s="4">
        <v>6814.0</v>
      </c>
      <c r="B7217" s="4">
        <v>48512.0</v>
      </c>
      <c r="C7217" s="5">
        <f t="shared" ref="C7217:C7218" si="3061">DATE(2012,12,31)-516</f>
        <v>40758</v>
      </c>
      <c r="D7217" s="4" t="s">
        <v>45</v>
      </c>
      <c r="E7217" s="4">
        <v>48.0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ht="12.75" customHeight="1">
      <c r="A7218" s="4">
        <v>6815.0</v>
      </c>
      <c r="B7218" s="4">
        <v>48512.0</v>
      </c>
      <c r="C7218" s="5">
        <f t="shared" si="3061"/>
        <v>40758</v>
      </c>
      <c r="D7218" s="4" t="s">
        <v>45</v>
      </c>
      <c r="E7218" s="4">
        <v>47.0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ht="12.75" customHeight="1">
      <c r="A7219" s="4">
        <v>6828.0</v>
      </c>
      <c r="B7219" s="4">
        <v>48641.0</v>
      </c>
      <c r="C7219" s="5">
        <f>DATE(2012,12,31)-392</f>
        <v>40882</v>
      </c>
      <c r="D7219" s="4" t="s">
        <v>30</v>
      </c>
      <c r="E7219" s="4">
        <v>13.0</v>
      </c>
      <c r="F7219" s="4">
        <v>66.83</v>
      </c>
      <c r="G7219" s="4">
        <v>0.0</v>
      </c>
      <c r="H7219" s="4" t="s">
        <v>22</v>
      </c>
      <c r="I7219" s="6">
        <v>23.16</v>
      </c>
      <c r="J7219" s="4">
        <v>4.98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ht="12.75" customHeight="1">
      <c r="A7220" s="4">
        <v>6836.0</v>
      </c>
      <c r="B7220" s="4">
        <v>48672.0</v>
      </c>
      <c r="C7220" s="5">
        <f>DATE(2012,12,31)-5</f>
        <v>41269</v>
      </c>
      <c r="D7220" s="4" t="s">
        <v>30</v>
      </c>
      <c r="E7220" s="4">
        <v>43.0</v>
      </c>
      <c r="F7220" s="4">
        <v>255.7</v>
      </c>
      <c r="G7220" s="4">
        <v>0.0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ht="12.75" customHeight="1">
      <c r="A7221" s="4">
        <v>6841.0</v>
      </c>
      <c r="B7221" s="4">
        <v>48709.0</v>
      </c>
      <c r="C7221" s="5">
        <f>DATE(2012,12,31)-491</f>
        <v>40783</v>
      </c>
      <c r="D7221" s="4" t="s">
        <v>30</v>
      </c>
      <c r="E7221" s="4">
        <v>17.0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ht="12.75" customHeight="1">
      <c r="A7222" s="4">
        <v>6855.0</v>
      </c>
      <c r="B7222" s="4">
        <v>48832.0</v>
      </c>
      <c r="C7222" s="5">
        <f>DATE(2012,12,31)-971</f>
        <v>40303</v>
      </c>
      <c r="D7222" s="4" t="s">
        <v>30</v>
      </c>
      <c r="E7222" s="4">
        <v>48.0</v>
      </c>
      <c r="F7222" s="4">
        <v>4480.89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30.0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ht="12.75" customHeight="1">
      <c r="A7223" s="4">
        <v>6856.0</v>
      </c>
      <c r="B7223" s="4">
        <v>48836.0</v>
      </c>
      <c r="C7223" s="5">
        <f>DATE(2012,12,31)-1416</f>
        <v>39858</v>
      </c>
      <c r="D7223" s="4" t="s">
        <v>78</v>
      </c>
      <c r="E7223" s="4">
        <v>8.0</v>
      </c>
      <c r="F7223" s="4">
        <v>2651.21</v>
      </c>
      <c r="G7223" s="4">
        <v>0.09</v>
      </c>
      <c r="H7223" s="4" t="s">
        <v>31</v>
      </c>
      <c r="I7223" s="6">
        <v>-93.84999999999991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2">C7223+2</f>
        <v>39860</v>
      </c>
    </row>
    <row r="7224" ht="12.75" customHeight="1">
      <c r="A7224" s="4">
        <v>6870.0</v>
      </c>
      <c r="B7224" s="4">
        <v>48935.0</v>
      </c>
      <c r="C7224" s="5">
        <f>DATE(2012,12,31)-1089</f>
        <v>40185</v>
      </c>
      <c r="D7224" s="4" t="s">
        <v>21</v>
      </c>
      <c r="E7224" s="4">
        <v>21.0</v>
      </c>
      <c r="F7224" s="4">
        <v>106.2</v>
      </c>
      <c r="G7224" s="4">
        <v>0.0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2"/>
        <v>40187</v>
      </c>
    </row>
    <row r="7225" ht="12.75" customHeight="1">
      <c r="A7225" s="4">
        <v>6877.0</v>
      </c>
      <c r="B7225" s="4">
        <v>49026.0</v>
      </c>
      <c r="C7225" s="5">
        <f>DATE(2012,12,31)-665</f>
        <v>40609</v>
      </c>
      <c r="D7225" s="4" t="s">
        <v>21</v>
      </c>
      <c r="E7225" s="4">
        <v>36.0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ht="12.75" customHeight="1">
      <c r="A7226" s="4">
        <v>6987.0</v>
      </c>
      <c r="B7226" s="4">
        <v>49925.0</v>
      </c>
      <c r="C7226" s="5">
        <f>DATE(2012,12,31)-1074</f>
        <v>40200</v>
      </c>
      <c r="D7226" s="4" t="s">
        <v>30</v>
      </c>
      <c r="E7226" s="4">
        <v>1.0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</v>
      </c>
      <c r="U7226" s="5">
        <f t="shared" ref="U7226:U7227" si="3063">C7226+1</f>
        <v>40201</v>
      </c>
    </row>
    <row r="7227" ht="12.75" customHeight="1">
      <c r="A7227" s="4">
        <v>7055.0</v>
      </c>
      <c r="B7227" s="4">
        <v>50337.0</v>
      </c>
      <c r="C7227" s="5">
        <f t="shared" ref="C7227:C7228" si="3064">DATE(2012,12,31)-1355</f>
        <v>39919</v>
      </c>
      <c r="D7227" s="4" t="s">
        <v>45</v>
      </c>
      <c r="E7227" s="4">
        <v>37.0</v>
      </c>
      <c r="F7227" s="4">
        <v>122.99</v>
      </c>
      <c r="G7227" s="4">
        <v>0.0</v>
      </c>
      <c r="H7227" s="4" t="s">
        <v>56</v>
      </c>
      <c r="I7227" s="6">
        <v>21.4795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3"/>
        <v>39920</v>
      </c>
    </row>
    <row r="7228" ht="12.75" customHeight="1">
      <c r="A7228" s="4">
        <v>7056.0</v>
      </c>
      <c r="B7228" s="4">
        <v>50337.0</v>
      </c>
      <c r="C7228" s="5">
        <f t="shared" si="3064"/>
        <v>39919</v>
      </c>
      <c r="D7228" s="4" t="s">
        <v>45</v>
      </c>
      <c r="E7228" s="4">
        <v>6.0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0.57</v>
      </c>
      <c r="U7228" s="5">
        <f t="shared" ref="U7228:U7230" si="3065">C7228+2</f>
        <v>39921</v>
      </c>
    </row>
    <row r="7229" ht="12.75" customHeight="1">
      <c r="A7229" s="4">
        <v>7062.0</v>
      </c>
      <c r="B7229" s="4">
        <v>50403.0</v>
      </c>
      <c r="C7229" s="5">
        <f>DATE(2012,12,31)-233</f>
        <v>41041</v>
      </c>
      <c r="D7229" s="4" t="s">
        <v>45</v>
      </c>
      <c r="E7229" s="4">
        <v>38.0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5"/>
        <v>41043</v>
      </c>
    </row>
    <row r="7230" ht="12.75" customHeight="1">
      <c r="A7230" s="4">
        <v>7095.0</v>
      </c>
      <c r="B7230" s="4">
        <v>50656.0</v>
      </c>
      <c r="C7230" s="5">
        <f t="shared" ref="C7230:C7233" si="3066">DATE(2012,12,31)-1163</f>
        <v>40111</v>
      </c>
      <c r="D7230" s="4" t="s">
        <v>78</v>
      </c>
      <c r="E7230" s="4">
        <v>42.0</v>
      </c>
      <c r="F7230" s="4">
        <v>194.2</v>
      </c>
      <c r="G7230" s="4">
        <v>0.0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5"/>
        <v>40113</v>
      </c>
    </row>
    <row r="7231" ht="12.75" customHeight="1">
      <c r="A7231" s="4">
        <v>7096.0</v>
      </c>
      <c r="B7231" s="4">
        <v>50656.0</v>
      </c>
      <c r="C7231" s="5">
        <f t="shared" si="3066"/>
        <v>40111</v>
      </c>
      <c r="D7231" s="4" t="s">
        <v>78</v>
      </c>
      <c r="E7231" s="4">
        <v>31.0</v>
      </c>
      <c r="F7231" s="4">
        <v>16451.33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56.0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ht="12.75" customHeight="1">
      <c r="A7232" s="4">
        <v>7097.0</v>
      </c>
      <c r="B7232" s="4">
        <v>50656.0</v>
      </c>
      <c r="C7232" s="5">
        <f t="shared" si="3066"/>
        <v>40111</v>
      </c>
      <c r="D7232" s="4" t="s">
        <v>78</v>
      </c>
      <c r="E7232" s="4">
        <v>39.0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ht="12.75" customHeight="1">
      <c r="A7233" s="4">
        <v>7098.0</v>
      </c>
      <c r="B7233" s="4">
        <v>50656.0</v>
      </c>
      <c r="C7233" s="5">
        <f t="shared" si="3066"/>
        <v>40111</v>
      </c>
      <c r="D7233" s="4" t="s">
        <v>78</v>
      </c>
      <c r="E7233" s="4">
        <v>15.0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ht="12.75" customHeight="1">
      <c r="A7234" s="4">
        <v>7141.0</v>
      </c>
      <c r="B7234" s="4">
        <v>50950.0</v>
      </c>
      <c r="C7234" s="5">
        <f t="shared" ref="C7234:C7235" si="3067">DATE(2012,12,31)-1</f>
        <v>41273</v>
      </c>
      <c r="D7234" s="4" t="s">
        <v>45</v>
      </c>
      <c r="E7234" s="4">
        <v>6.0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30.0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8">C7234+0</f>
        <v>41273</v>
      </c>
    </row>
    <row r="7235" ht="12.75" customHeight="1">
      <c r="A7235" s="4">
        <v>7142.0</v>
      </c>
      <c r="B7235" s="4">
        <v>50950.0</v>
      </c>
      <c r="C7235" s="5">
        <f t="shared" si="3067"/>
        <v>41273</v>
      </c>
      <c r="D7235" s="4" t="s">
        <v>45</v>
      </c>
      <c r="E7235" s="4">
        <v>35.0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8"/>
        <v>41273</v>
      </c>
    </row>
    <row r="7236" ht="12.75" customHeight="1">
      <c r="A7236" s="4">
        <v>7143.0</v>
      </c>
      <c r="B7236" s="4">
        <v>50977.0</v>
      </c>
      <c r="C7236" s="5">
        <f>DATE(2012,12,31)-203</f>
        <v>41071</v>
      </c>
      <c r="D7236" s="4" t="s">
        <v>21</v>
      </c>
      <c r="E7236" s="4">
        <v>1.0</v>
      </c>
      <c r="F7236" s="4">
        <v>34.09</v>
      </c>
      <c r="G7236" s="4">
        <v>0.05</v>
      </c>
      <c r="H7236" s="4" t="s">
        <v>56</v>
      </c>
      <c r="I7236" s="6">
        <v>-19.9</v>
      </c>
      <c r="J7236" s="4">
        <v>18.97</v>
      </c>
      <c r="K7236" s="4">
        <v>9.03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8"/>
        <v>41071</v>
      </c>
    </row>
    <row r="7237" ht="12.75" customHeight="1">
      <c r="A7237" s="4">
        <v>7151.0</v>
      </c>
      <c r="B7237" s="4">
        <v>51011.0</v>
      </c>
      <c r="C7237" s="5">
        <f>DATE(2012,12,31)-939</f>
        <v>40335</v>
      </c>
      <c r="D7237" s="4" t="s">
        <v>21</v>
      </c>
      <c r="E7237" s="4">
        <v>41.0</v>
      </c>
      <c r="F7237" s="4">
        <v>5144.8715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</v>
      </c>
      <c r="U7237" s="5">
        <f t="shared" ref="U7237:U7238" si="3069">C7237+2</f>
        <v>40337</v>
      </c>
    </row>
    <row r="7238" ht="12.75" customHeight="1">
      <c r="A7238" s="4">
        <v>7169.0</v>
      </c>
      <c r="B7238" s="4">
        <v>51171.0</v>
      </c>
      <c r="C7238" s="5">
        <f>DATE(2012,12,31)-924</f>
        <v>40350</v>
      </c>
      <c r="D7238" s="4" t="s">
        <v>30</v>
      </c>
      <c r="E7238" s="4">
        <v>34.0</v>
      </c>
      <c r="F7238" s="4">
        <v>783.48</v>
      </c>
      <c r="G7238" s="4">
        <v>0.01</v>
      </c>
      <c r="H7238" s="4" t="s">
        <v>22</v>
      </c>
      <c r="I7238" s="6">
        <v>-73.4045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9"/>
        <v>40352</v>
      </c>
    </row>
    <row r="7239" ht="12.75" customHeight="1">
      <c r="A7239" s="4">
        <v>7186.0</v>
      </c>
      <c r="B7239" s="4">
        <v>51267.0</v>
      </c>
      <c r="C7239" s="5">
        <f>DATE(2012,12,31)-242</f>
        <v>41032</v>
      </c>
      <c r="D7239" s="4" t="s">
        <v>21</v>
      </c>
      <c r="E7239" s="4">
        <v>46.0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ht="12.75" customHeight="1">
      <c r="A7240" s="4">
        <v>7200.0</v>
      </c>
      <c r="B7240" s="4">
        <v>51362.0</v>
      </c>
      <c r="C7240" s="5">
        <f>DATE(2012,12,31)-1043</f>
        <v>40231</v>
      </c>
      <c r="D7240" s="4" t="s">
        <v>63</v>
      </c>
      <c r="E7240" s="4">
        <v>47.0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4.0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70">C7240+2</f>
        <v>40233</v>
      </c>
    </row>
    <row r="7241" ht="12.75" customHeight="1">
      <c r="A7241" s="4">
        <v>7214.0</v>
      </c>
      <c r="B7241" s="4">
        <v>51489.0</v>
      </c>
      <c r="C7241" s="5">
        <f t="shared" ref="C7241:C7243" si="3071">DATE(2012,12,31)-303</f>
        <v>40971</v>
      </c>
      <c r="D7241" s="4" t="s">
        <v>78</v>
      </c>
      <c r="E7241" s="4">
        <v>42.0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70"/>
        <v>40973</v>
      </c>
    </row>
    <row r="7242" ht="12.75" customHeight="1">
      <c r="A7242" s="4">
        <v>7215.0</v>
      </c>
      <c r="B7242" s="4">
        <v>51489.0</v>
      </c>
      <c r="C7242" s="5">
        <f t="shared" si="3071"/>
        <v>40971</v>
      </c>
      <c r="D7242" s="4" t="s">
        <v>78</v>
      </c>
      <c r="E7242" s="4">
        <v>5.0</v>
      </c>
      <c r="F7242" s="4">
        <v>32.69</v>
      </c>
      <c r="G7242" s="4">
        <v>0.0</v>
      </c>
      <c r="H7242" s="4" t="s">
        <v>22</v>
      </c>
      <c r="I7242" s="6">
        <v>-24.43</v>
      </c>
      <c r="J7242" s="4">
        <v>4.98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70"/>
        <v>40973</v>
      </c>
    </row>
    <row r="7243" ht="12.75" customHeight="1">
      <c r="A7243" s="4">
        <v>7216.0</v>
      </c>
      <c r="B7243" s="4">
        <v>51489.0</v>
      </c>
      <c r="C7243" s="5">
        <f t="shared" si="3071"/>
        <v>40971</v>
      </c>
      <c r="D7243" s="4" t="s">
        <v>78</v>
      </c>
      <c r="E7243" s="4">
        <v>22.0</v>
      </c>
      <c r="F7243" s="4">
        <v>38.88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ht="12.75" customHeight="1">
      <c r="A7244" s="4">
        <v>7217.0</v>
      </c>
      <c r="B7244" s="4">
        <v>51493.0</v>
      </c>
      <c r="C7244" s="5">
        <f>DATE(2012,12,31)-544</f>
        <v>40730</v>
      </c>
      <c r="D7244" s="4" t="s">
        <v>21</v>
      </c>
      <c r="E7244" s="4">
        <v>31.0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ht="12.75" customHeight="1">
      <c r="A7245" s="4">
        <v>7283.0</v>
      </c>
      <c r="B7245" s="4">
        <v>51969.0</v>
      </c>
      <c r="C7245" s="5">
        <f t="shared" ref="C7245:C7246" si="3072">DATE(2012,12,31)-484</f>
        <v>40790</v>
      </c>
      <c r="D7245" s="4" t="s">
        <v>30</v>
      </c>
      <c r="E7245" s="4">
        <v>16.0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ht="12.75" customHeight="1">
      <c r="A7246" s="4">
        <v>7284.0</v>
      </c>
      <c r="B7246" s="4">
        <v>51969.0</v>
      </c>
      <c r="C7246" s="5">
        <f t="shared" si="3072"/>
        <v>40790</v>
      </c>
      <c r="D7246" s="4" t="s">
        <v>30</v>
      </c>
      <c r="E7246" s="4">
        <v>33.0</v>
      </c>
      <c r="F7246" s="4">
        <v>1756.695</v>
      </c>
      <c r="G7246" s="4">
        <v>0.1</v>
      </c>
      <c r="H7246" s="4" t="s">
        <v>22</v>
      </c>
      <c r="I7246" s="6">
        <v>164.97</v>
      </c>
      <c r="J7246" s="4">
        <v>65.99</v>
      </c>
      <c r="K7246" s="4">
        <v>8.8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0.58</v>
      </c>
      <c r="U7246" s="5">
        <f>C7246+3</f>
        <v>40793</v>
      </c>
    </row>
    <row r="7247" ht="12.75" customHeight="1">
      <c r="A7247" s="4">
        <v>7292.0</v>
      </c>
      <c r="B7247" s="4">
        <v>52003.0</v>
      </c>
      <c r="C7247" s="5">
        <f t="shared" ref="C7247:C7248" si="3073">DATE(2012,12,31)-317</f>
        <v>40957</v>
      </c>
      <c r="D7247" s="4" t="s">
        <v>21</v>
      </c>
      <c r="E7247" s="4">
        <v>11.0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ht="12.75" customHeight="1">
      <c r="A7248" s="4">
        <v>7293.0</v>
      </c>
      <c r="B7248" s="4">
        <v>52003.0</v>
      </c>
      <c r="C7248" s="5">
        <f t="shared" si="3073"/>
        <v>40957</v>
      </c>
      <c r="D7248" s="4" t="s">
        <v>21</v>
      </c>
      <c r="E7248" s="4">
        <v>2.0</v>
      </c>
      <c r="F7248" s="4">
        <v>93.3385</v>
      </c>
      <c r="G7248" s="4">
        <v>0.1</v>
      </c>
      <c r="H7248" s="4" t="s">
        <v>22</v>
      </c>
      <c r="I7248" s="6">
        <v>-300.388</v>
      </c>
      <c r="J7248" s="4">
        <v>55.99</v>
      </c>
      <c r="K7248" s="4">
        <v>5.0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ht="12.75" customHeight="1">
      <c r="A7249" s="4">
        <v>7323.0</v>
      </c>
      <c r="B7249" s="4">
        <v>52196.0</v>
      </c>
      <c r="C7249" s="5">
        <f t="shared" ref="C7249:C7250" si="3074">DATE(2012,12,31)-1066</f>
        <v>40208</v>
      </c>
      <c r="D7249" s="4" t="s">
        <v>45</v>
      </c>
      <c r="E7249" s="4">
        <v>1.0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ht="12.75" customHeight="1">
      <c r="A7250" s="4">
        <v>7324.0</v>
      </c>
      <c r="B7250" s="4">
        <v>52196.0</v>
      </c>
      <c r="C7250" s="5">
        <f t="shared" si="3074"/>
        <v>40208</v>
      </c>
      <c r="D7250" s="4" t="s">
        <v>45</v>
      </c>
      <c r="E7250" s="4">
        <v>10.0</v>
      </c>
      <c r="F7250" s="4">
        <v>547.0005</v>
      </c>
      <c r="G7250" s="4">
        <v>0.08</v>
      </c>
      <c r="H7250" s="4" t="s">
        <v>22</v>
      </c>
      <c r="I7250" s="6">
        <v>-97.196</v>
      </c>
      <c r="J7250" s="4">
        <v>65.99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</v>
      </c>
      <c r="U7250" s="5">
        <f>C7250+2</f>
        <v>40210</v>
      </c>
    </row>
    <row r="7251" ht="12.75" customHeight="1">
      <c r="A7251" s="4">
        <v>7340.0</v>
      </c>
      <c r="B7251" s="4">
        <v>52292.0</v>
      </c>
      <c r="C7251" s="5">
        <f>DATE(2012,12,31)-820</f>
        <v>40454</v>
      </c>
      <c r="D7251" s="4" t="s">
        <v>45</v>
      </c>
      <c r="E7251" s="4">
        <v>18.0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130.98</v>
      </c>
      <c r="K7251" s="4">
        <v>30.0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ht="12.75" customHeight="1">
      <c r="A7252" s="4">
        <v>7359.0</v>
      </c>
      <c r="B7252" s="4">
        <v>52423.0</v>
      </c>
      <c r="C7252" s="5">
        <f t="shared" ref="C7252:C7253" si="3075">DATE(2012,12,31)-630</f>
        <v>40644</v>
      </c>
      <c r="D7252" s="4" t="s">
        <v>78</v>
      </c>
      <c r="E7252" s="4">
        <v>49.0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35.41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ht="12.75" customHeight="1">
      <c r="A7253" s="4">
        <v>7360.0</v>
      </c>
      <c r="B7253" s="4">
        <v>52423.0</v>
      </c>
      <c r="C7253" s="5">
        <f t="shared" si="3075"/>
        <v>40644</v>
      </c>
      <c r="D7253" s="4" t="s">
        <v>78</v>
      </c>
      <c r="E7253" s="4">
        <v>25.0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6">C7253+1</f>
        <v>40645</v>
      </c>
    </row>
    <row r="7254" ht="12.75" customHeight="1">
      <c r="A7254" s="4">
        <v>7361.0</v>
      </c>
      <c r="B7254" s="4">
        <v>52448.0</v>
      </c>
      <c r="C7254" s="5">
        <f>DATE(2012,12,31)-843</f>
        <v>40431</v>
      </c>
      <c r="D7254" s="4" t="s">
        <v>45</v>
      </c>
      <c r="E7254" s="4">
        <v>22.0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0.57</v>
      </c>
      <c r="U7254" s="5">
        <f t="shared" si="3076"/>
        <v>40432</v>
      </c>
    </row>
    <row r="7255" ht="12.75" customHeight="1">
      <c r="A7255" s="4">
        <v>7376.0</v>
      </c>
      <c r="B7255" s="4">
        <v>52580.0</v>
      </c>
      <c r="C7255" s="5">
        <f t="shared" ref="C7255:C7256" si="3077">DATE(2012,12,31)-125</f>
        <v>41149</v>
      </c>
      <c r="D7255" s="4" t="s">
        <v>30</v>
      </c>
      <c r="E7255" s="4">
        <v>16.0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8">C7255+2</f>
        <v>41151</v>
      </c>
    </row>
    <row r="7256" ht="12.75" customHeight="1">
      <c r="A7256" s="4">
        <v>7377.0</v>
      </c>
      <c r="B7256" s="4">
        <v>52580.0</v>
      </c>
      <c r="C7256" s="5">
        <f t="shared" si="3077"/>
        <v>41149</v>
      </c>
      <c r="D7256" s="4" t="s">
        <v>30</v>
      </c>
      <c r="E7256" s="4">
        <v>23.0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8"/>
        <v>41151</v>
      </c>
    </row>
    <row r="7257" ht="12.75" customHeight="1">
      <c r="A7257" s="4">
        <v>7441.0</v>
      </c>
      <c r="B7257" s="4">
        <v>53056.0</v>
      </c>
      <c r="C7257" s="5">
        <f>DATE(2012,12,31)-424</f>
        <v>40850</v>
      </c>
      <c r="D7257" s="4" t="s">
        <v>78</v>
      </c>
      <c r="E7257" s="4">
        <v>13.0</v>
      </c>
      <c r="F7257" s="4">
        <v>509.49</v>
      </c>
      <c r="G7257" s="4">
        <v>0.07</v>
      </c>
      <c r="H7257" s="4" t="s">
        <v>22</v>
      </c>
      <c r="I7257" s="6">
        <v>-51.1821</v>
      </c>
      <c r="J7257" s="4">
        <v>40.99</v>
      </c>
      <c r="K7257" s="4">
        <v>8.97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ht="12.75" customHeight="1">
      <c r="A7258" s="4">
        <v>7442.0</v>
      </c>
      <c r="B7258" s="4">
        <v>53060.0</v>
      </c>
      <c r="C7258" s="5">
        <f t="shared" ref="C7258:C7259" si="3079">DATE(2012,12,31)-1015</f>
        <v>40259</v>
      </c>
      <c r="D7258" s="4" t="s">
        <v>78</v>
      </c>
      <c r="E7258" s="4">
        <v>36.0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80">C7258+2</f>
        <v>40261</v>
      </c>
    </row>
    <row r="7259" ht="12.75" customHeight="1">
      <c r="A7259" s="4">
        <v>7443.0</v>
      </c>
      <c r="B7259" s="4">
        <v>53060.0</v>
      </c>
      <c r="C7259" s="5">
        <f t="shared" si="3079"/>
        <v>40259</v>
      </c>
      <c r="D7259" s="4" t="s">
        <v>78</v>
      </c>
      <c r="E7259" s="4">
        <v>4.0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80"/>
        <v>40261</v>
      </c>
    </row>
    <row r="7260" ht="12.75" customHeight="1">
      <c r="A7260" s="4">
        <v>7465.0</v>
      </c>
      <c r="B7260" s="4">
        <v>53283.0</v>
      </c>
      <c r="C7260" s="5">
        <f>DATE(2012,12,31)-430</f>
        <v>40844</v>
      </c>
      <c r="D7260" s="4" t="s">
        <v>30</v>
      </c>
      <c r="E7260" s="4">
        <v>2.0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ht="12.75" customHeight="1">
      <c r="A7261" s="4">
        <v>7471.0</v>
      </c>
      <c r="B7261" s="4">
        <v>53344.0</v>
      </c>
      <c r="C7261" s="5">
        <f>DATE(2012,12,31)-1041</f>
        <v>40233</v>
      </c>
      <c r="D7261" s="4" t="s">
        <v>30</v>
      </c>
      <c r="E7261" s="4">
        <v>36.0</v>
      </c>
      <c r="F7261" s="4">
        <v>181.95</v>
      </c>
      <c r="G7261" s="4">
        <v>0.03</v>
      </c>
      <c r="H7261" s="4" t="s">
        <v>22</v>
      </c>
      <c r="I7261" s="6">
        <v>-132.2615</v>
      </c>
      <c r="J7261" s="4">
        <v>4.89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ht="12.75" customHeight="1">
      <c r="A7262" s="4">
        <v>7477.0</v>
      </c>
      <c r="B7262" s="4">
        <v>53381.0</v>
      </c>
      <c r="C7262" s="5">
        <f>DATE(2012,12,31)-827</f>
        <v>40447</v>
      </c>
      <c r="D7262" s="4" t="s">
        <v>78</v>
      </c>
      <c r="E7262" s="4">
        <v>26.0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ht="12.75" customHeight="1">
      <c r="A7263" s="4">
        <v>7505.0</v>
      </c>
      <c r="B7263" s="4">
        <v>53571.0</v>
      </c>
      <c r="C7263" s="5">
        <f>DATE(2012,12,31)-291</f>
        <v>40983</v>
      </c>
      <c r="D7263" s="4" t="s">
        <v>45</v>
      </c>
      <c r="E7263" s="4">
        <v>21.0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1">C7263+2</f>
        <v>40985</v>
      </c>
    </row>
    <row r="7264" ht="12.75" customHeight="1">
      <c r="A7264" s="4">
        <v>7513.0</v>
      </c>
      <c r="B7264" s="4">
        <v>53635.0</v>
      </c>
      <c r="C7264" s="5">
        <f>DATE(2012,12,31)-166</f>
        <v>41108</v>
      </c>
      <c r="D7264" s="4" t="s">
        <v>45</v>
      </c>
      <c r="E7264" s="4">
        <v>33.0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1"/>
        <v>41110</v>
      </c>
    </row>
    <row r="7265" ht="12.75" customHeight="1">
      <c r="A7265" s="4">
        <v>7525.0</v>
      </c>
      <c r="B7265" s="4">
        <v>53762.0</v>
      </c>
      <c r="C7265" s="5">
        <f>DATE(2012,12,31)-213</f>
        <v>41061</v>
      </c>
      <c r="D7265" s="4" t="s">
        <v>78</v>
      </c>
      <c r="E7265" s="4">
        <v>28.0</v>
      </c>
      <c r="F7265" s="4">
        <v>136.16</v>
      </c>
      <c r="G7265" s="4">
        <v>0.07</v>
      </c>
      <c r="H7265" s="4" t="s">
        <v>22</v>
      </c>
      <c r="I7265" s="6">
        <v>58.1</v>
      </c>
      <c r="J7265" s="4">
        <v>4.98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ht="12.75" customHeight="1">
      <c r="A7266" s="4">
        <v>7561.0</v>
      </c>
      <c r="B7266" s="4">
        <v>54086.0</v>
      </c>
      <c r="C7266" s="5">
        <f>DATE(2012,12,31)-116</f>
        <v>41158</v>
      </c>
      <c r="D7266" s="4" t="s">
        <v>21</v>
      </c>
      <c r="E7266" s="4">
        <v>23.0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</v>
      </c>
      <c r="U7266" s="5">
        <f t="shared" ref="U7266:U7271" si="3082">C7266+2</f>
        <v>41160</v>
      </c>
    </row>
    <row r="7267" ht="12.75" customHeight="1">
      <c r="A7267" s="4">
        <v>7575.0</v>
      </c>
      <c r="B7267" s="4">
        <v>54180.0</v>
      </c>
      <c r="C7267" s="5">
        <f>DATE(2012,12,31)-70</f>
        <v>41204</v>
      </c>
      <c r="D7267" s="4" t="s">
        <v>78</v>
      </c>
      <c r="E7267" s="4">
        <v>43.0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2"/>
        <v>41206</v>
      </c>
    </row>
    <row r="7268" ht="12.75" customHeight="1">
      <c r="A7268" s="4">
        <v>7581.0</v>
      </c>
      <c r="B7268" s="4">
        <v>54215.0</v>
      </c>
      <c r="C7268" s="5">
        <f>DATE(2012,12,31)-437</f>
        <v>40837</v>
      </c>
      <c r="D7268" s="4" t="s">
        <v>30</v>
      </c>
      <c r="E7268" s="4">
        <v>14.0</v>
      </c>
      <c r="F7268" s="4">
        <v>321.21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2"/>
        <v>40839</v>
      </c>
    </row>
    <row r="7269" ht="12.75" customHeight="1">
      <c r="A7269" s="4">
        <v>7591.0</v>
      </c>
      <c r="B7269" s="4">
        <v>54336.0</v>
      </c>
      <c r="C7269" s="5">
        <f>DATE(2012,12,31)-991</f>
        <v>40283</v>
      </c>
      <c r="D7269" s="4" t="s">
        <v>63</v>
      </c>
      <c r="E7269" s="4">
        <v>50.0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2"/>
        <v>40285</v>
      </c>
    </row>
    <row r="7270" ht="12.75" customHeight="1">
      <c r="A7270" s="4">
        <v>7610.0</v>
      </c>
      <c r="B7270" s="4">
        <v>54467.0</v>
      </c>
      <c r="C7270" s="5">
        <f t="shared" ref="C7270:C7272" si="3083">DATE(2012,12,31)-805</f>
        <v>40469</v>
      </c>
      <c r="D7270" s="4" t="s">
        <v>21</v>
      </c>
      <c r="E7270" s="4">
        <v>37.0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2"/>
        <v>40471</v>
      </c>
    </row>
    <row r="7271" ht="12.75" customHeight="1">
      <c r="A7271" s="4">
        <v>7611.0</v>
      </c>
      <c r="B7271" s="4">
        <v>54467.0</v>
      </c>
      <c r="C7271" s="5">
        <f t="shared" si="3083"/>
        <v>40469</v>
      </c>
      <c r="D7271" s="4" t="s">
        <v>21</v>
      </c>
      <c r="E7271" s="4">
        <v>30.0</v>
      </c>
      <c r="F7271" s="4">
        <v>146.72</v>
      </c>
      <c r="G7271" s="4">
        <v>0.06</v>
      </c>
      <c r="H7271" s="4" t="s">
        <v>22</v>
      </c>
      <c r="I7271" s="6">
        <v>18.26</v>
      </c>
      <c r="J7271" s="4">
        <v>5.08</v>
      </c>
      <c r="K7271" s="4">
        <v>2.03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2"/>
        <v>40471</v>
      </c>
    </row>
    <row r="7272" ht="12.75" customHeight="1">
      <c r="A7272" s="4">
        <v>7612.0</v>
      </c>
      <c r="B7272" s="4">
        <v>54467.0</v>
      </c>
      <c r="C7272" s="5">
        <f t="shared" si="3083"/>
        <v>40469</v>
      </c>
      <c r="D7272" s="4" t="s">
        <v>21</v>
      </c>
      <c r="E7272" s="4">
        <v>17.0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ht="12.75" customHeight="1">
      <c r="A7273" s="4">
        <v>7623.0</v>
      </c>
      <c r="B7273" s="4">
        <v>54534.0</v>
      </c>
      <c r="C7273" s="5">
        <f>DATE(2012,12,31)-287</f>
        <v>40987</v>
      </c>
      <c r="D7273" s="4" t="s">
        <v>45</v>
      </c>
      <c r="E7273" s="4">
        <v>16.0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4">C7273+2</f>
        <v>40989</v>
      </c>
    </row>
    <row r="7274" ht="12.75" customHeight="1">
      <c r="A7274" s="4">
        <v>7627.0</v>
      </c>
      <c r="B7274" s="4">
        <v>54564.0</v>
      </c>
      <c r="C7274" s="5">
        <f>DATE(2012,12,31)-756</f>
        <v>40518</v>
      </c>
      <c r="D7274" s="4" t="s">
        <v>30</v>
      </c>
      <c r="E7274" s="4">
        <v>27.0</v>
      </c>
      <c r="F7274" s="4">
        <v>1553.868</v>
      </c>
      <c r="G7274" s="4">
        <v>0.04</v>
      </c>
      <c r="H7274" s="4" t="s">
        <v>56</v>
      </c>
      <c r="I7274" s="6">
        <v>322.506</v>
      </c>
      <c r="J7274" s="4">
        <v>65.99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</v>
      </c>
      <c r="U7274" s="5">
        <f t="shared" si="3084"/>
        <v>40520</v>
      </c>
    </row>
    <row r="7275" ht="12.75" customHeight="1">
      <c r="A7275" s="4">
        <v>7637.0</v>
      </c>
      <c r="B7275" s="4">
        <v>54692.0</v>
      </c>
      <c r="C7275" s="5">
        <f t="shared" ref="C7275:C7276" si="3085">DATE(2012,12,31)-1032</f>
        <v>40242</v>
      </c>
      <c r="D7275" s="4" t="s">
        <v>63</v>
      </c>
      <c r="E7275" s="4">
        <v>16.0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ht="12.75" customHeight="1">
      <c r="A7276" s="4">
        <v>7638.0</v>
      </c>
      <c r="B7276" s="4">
        <v>54692.0</v>
      </c>
      <c r="C7276" s="5">
        <f t="shared" si="3085"/>
        <v>40242</v>
      </c>
      <c r="D7276" s="4" t="s">
        <v>63</v>
      </c>
      <c r="E7276" s="4">
        <v>27.0</v>
      </c>
      <c r="F7276" s="4">
        <v>2478.481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0.58</v>
      </c>
      <c r="U7276" s="5">
        <f>C7276+2</f>
        <v>40244</v>
      </c>
    </row>
    <row r="7277" ht="12.75" customHeight="1">
      <c r="A7277" s="4">
        <v>7641.0</v>
      </c>
      <c r="B7277" s="4">
        <v>54727.0</v>
      </c>
      <c r="C7277" s="5">
        <f>DATE(2012,12,31)-749</f>
        <v>40525</v>
      </c>
      <c r="D7277" s="4" t="s">
        <v>63</v>
      </c>
      <c r="E7277" s="4">
        <v>29.0</v>
      </c>
      <c r="F7277" s="4">
        <v>1427.14</v>
      </c>
      <c r="G7277" s="4">
        <v>0.02</v>
      </c>
      <c r="H7277" s="4" t="s">
        <v>22</v>
      </c>
      <c r="I7277" s="6">
        <v>605.92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6">C7277+1</f>
        <v>40526</v>
      </c>
    </row>
    <row r="7278" ht="12.75" customHeight="1">
      <c r="A7278" s="4">
        <v>7656.0</v>
      </c>
      <c r="B7278" s="4">
        <v>54886.0</v>
      </c>
      <c r="C7278" s="5">
        <f>DATE(2012,12,31)-149</f>
        <v>41125</v>
      </c>
      <c r="D7278" s="4" t="s">
        <v>78</v>
      </c>
      <c r="E7278" s="4">
        <v>39.0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0.57</v>
      </c>
      <c r="U7278" s="5">
        <f t="shared" si="3086"/>
        <v>41126</v>
      </c>
    </row>
    <row r="7279" ht="12.75" customHeight="1">
      <c r="A7279" s="4">
        <v>7668.0</v>
      </c>
      <c r="B7279" s="4">
        <v>54977.0</v>
      </c>
      <c r="C7279" s="5">
        <f t="shared" ref="C7279:C7280" si="3087">DATE(2012,12,31)-540</f>
        <v>40734</v>
      </c>
      <c r="D7279" s="4" t="s">
        <v>21</v>
      </c>
      <c r="E7279" s="4">
        <v>24.0</v>
      </c>
      <c r="F7279" s="4">
        <v>344.25</v>
      </c>
      <c r="G7279" s="4">
        <v>0.1</v>
      </c>
      <c r="H7279" s="4" t="s">
        <v>22</v>
      </c>
      <c r="I7279" s="6">
        <v>23.9615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ht="12.75" customHeight="1">
      <c r="A7280" s="4">
        <v>7669.0</v>
      </c>
      <c r="B7280" s="4">
        <v>54977.0</v>
      </c>
      <c r="C7280" s="5">
        <f t="shared" si="3087"/>
        <v>40734</v>
      </c>
      <c r="D7280" s="4" t="s">
        <v>21</v>
      </c>
      <c r="E7280" s="4">
        <v>12.0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1.0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ht="12.75" customHeight="1">
      <c r="A7281" s="4">
        <v>7676.0</v>
      </c>
      <c r="B7281" s="4">
        <v>55040.0</v>
      </c>
      <c r="C7281" s="5">
        <f t="shared" ref="C7281:C7284" si="3088">DATE(2012,12,31)-1359</f>
        <v>39915</v>
      </c>
      <c r="D7281" s="4" t="s">
        <v>30</v>
      </c>
      <c r="E7281" s="4">
        <v>8.0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0.58</v>
      </c>
      <c r="U7281" s="5">
        <f>C7281+2</f>
        <v>39917</v>
      </c>
    </row>
    <row r="7282" ht="12.75" customHeight="1">
      <c r="A7282" s="4">
        <v>7677.0</v>
      </c>
      <c r="B7282" s="4">
        <v>55040.0</v>
      </c>
      <c r="C7282" s="5">
        <f t="shared" si="3088"/>
        <v>39915</v>
      </c>
      <c r="D7282" s="4" t="s">
        <v>30</v>
      </c>
      <c r="E7282" s="4">
        <v>24.0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ht="12.75" customHeight="1">
      <c r="A7283" s="4">
        <v>7678.0</v>
      </c>
      <c r="B7283" s="4">
        <v>55040.0</v>
      </c>
      <c r="C7283" s="5">
        <f t="shared" si="3088"/>
        <v>39915</v>
      </c>
      <c r="D7283" s="4" t="s">
        <v>30</v>
      </c>
      <c r="E7283" s="4">
        <v>34.0</v>
      </c>
      <c r="F7283" s="4">
        <v>290.01</v>
      </c>
      <c r="G7283" s="4">
        <v>0.03</v>
      </c>
      <c r="H7283" s="4" t="s">
        <v>22</v>
      </c>
      <c r="I7283" s="6">
        <v>-160.2755</v>
      </c>
      <c r="J7283" s="4">
        <v>8.04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9">C7283+2</f>
        <v>39917</v>
      </c>
    </row>
    <row r="7284" ht="12.75" customHeight="1">
      <c r="A7284" s="4">
        <v>7679.0</v>
      </c>
      <c r="B7284" s="4">
        <v>55040.0</v>
      </c>
      <c r="C7284" s="5">
        <f t="shared" si="3088"/>
        <v>39915</v>
      </c>
      <c r="D7284" s="4" t="s">
        <v>30</v>
      </c>
      <c r="E7284" s="4">
        <v>2.0</v>
      </c>
      <c r="F7284" s="4">
        <v>4692.26</v>
      </c>
      <c r="G7284" s="4">
        <v>0.08</v>
      </c>
      <c r="H7284" s="4" t="s">
        <v>31</v>
      </c>
      <c r="I7284" s="6">
        <v>-7373.1282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0.57</v>
      </c>
      <c r="U7284" s="5">
        <f t="shared" si="3089"/>
        <v>39917</v>
      </c>
    </row>
    <row r="7285" ht="12.75" customHeight="1">
      <c r="A7285" s="4">
        <v>7692.0</v>
      </c>
      <c r="B7285" s="4">
        <v>55139.0</v>
      </c>
      <c r="C7285" s="5">
        <f>DATE(2012,12,31)-1079</f>
        <v>40195</v>
      </c>
      <c r="D7285" s="4" t="s">
        <v>45</v>
      </c>
      <c r="E7285" s="4">
        <v>41.0</v>
      </c>
      <c r="F7285" s="4">
        <v>576.58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</v>
      </c>
      <c r="U7285" s="5">
        <f>C7285+1</f>
        <v>40196</v>
      </c>
    </row>
    <row r="7286" ht="12.75" customHeight="1">
      <c r="A7286" s="4">
        <v>7702.0</v>
      </c>
      <c r="B7286" s="4">
        <v>55203.0</v>
      </c>
      <c r="C7286" s="5">
        <f>DATE(2012,12,31)-995</f>
        <v>40279</v>
      </c>
      <c r="D7286" s="4" t="s">
        <v>21</v>
      </c>
      <c r="E7286" s="4">
        <v>18.0</v>
      </c>
      <c r="F7286" s="4">
        <v>994.4745</v>
      </c>
      <c r="G7286" s="4">
        <v>0.05</v>
      </c>
      <c r="H7286" s="4" t="s">
        <v>22</v>
      </c>
      <c r="I7286" s="6">
        <v>0.7110000000000056</v>
      </c>
      <c r="J7286" s="4">
        <v>65.99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90">C7286+0</f>
        <v>40279</v>
      </c>
    </row>
    <row r="7287" ht="12.75" customHeight="1">
      <c r="A7287" s="4">
        <v>7721.0</v>
      </c>
      <c r="B7287" s="4">
        <v>55330.0</v>
      </c>
      <c r="C7287" s="5">
        <f>DATE(2012,12,31)-1237</f>
        <v>40037</v>
      </c>
      <c r="D7287" s="4" t="s">
        <v>63</v>
      </c>
      <c r="E7287" s="4">
        <v>49.0</v>
      </c>
      <c r="F7287" s="4">
        <v>633.91</v>
      </c>
      <c r="G7287" s="4">
        <v>0.0</v>
      </c>
      <c r="H7287" s="4" t="s">
        <v>22</v>
      </c>
      <c r="I7287" s="6">
        <v>141.17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90"/>
        <v>40037</v>
      </c>
    </row>
    <row r="7288" ht="12.75" customHeight="1">
      <c r="A7288" s="4">
        <v>7744.0</v>
      </c>
      <c r="B7288" s="4">
        <v>55431.0</v>
      </c>
      <c r="C7288" s="5">
        <f>DATE(2012,12,31)-206</f>
        <v>41068</v>
      </c>
      <c r="D7288" s="4" t="s">
        <v>45</v>
      </c>
      <c r="E7288" s="4">
        <v>39.0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ht="12.75" customHeight="1">
      <c r="A7289" s="4">
        <v>7756.0</v>
      </c>
      <c r="B7289" s="4">
        <v>55494.0</v>
      </c>
      <c r="C7289" s="5">
        <f t="shared" ref="C7289:C7290" si="3091">DATE(2012,12,31)-189</f>
        <v>41085</v>
      </c>
      <c r="D7289" s="4" t="s">
        <v>45</v>
      </c>
      <c r="E7289" s="4">
        <v>4.0</v>
      </c>
      <c r="F7289" s="4">
        <v>57.82</v>
      </c>
      <c r="G7289" s="4">
        <v>0.08</v>
      </c>
      <c r="H7289" s="4" t="s">
        <v>56</v>
      </c>
      <c r="I7289" s="6">
        <v>0.8499999999999979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ht="12.75" customHeight="1">
      <c r="A7290" s="4">
        <v>7757.0</v>
      </c>
      <c r="B7290" s="4">
        <v>55494.0</v>
      </c>
      <c r="C7290" s="5">
        <f t="shared" si="3091"/>
        <v>41085</v>
      </c>
      <c r="D7290" s="4" t="s">
        <v>45</v>
      </c>
      <c r="E7290" s="4">
        <v>49.0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2">C7290+1</f>
        <v>41086</v>
      </c>
    </row>
    <row r="7291" ht="12.75" customHeight="1">
      <c r="A7291" s="4">
        <v>7762.0</v>
      </c>
      <c r="B7291" s="4">
        <v>55554.0</v>
      </c>
      <c r="C7291" s="5">
        <f t="shared" ref="C7291:C7293" si="3093">DATE(2012,12,31)-1141</f>
        <v>40133</v>
      </c>
      <c r="D7291" s="4" t="s">
        <v>78</v>
      </c>
      <c r="E7291" s="4">
        <v>6.0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9.54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2"/>
        <v>40134</v>
      </c>
    </row>
    <row r="7292" ht="12.75" customHeight="1">
      <c r="A7292" s="4">
        <v>7763.0</v>
      </c>
      <c r="B7292" s="4">
        <v>55554.0</v>
      </c>
      <c r="C7292" s="5">
        <f t="shared" si="3093"/>
        <v>40133</v>
      </c>
      <c r="D7292" s="4" t="s">
        <v>78</v>
      </c>
      <c r="E7292" s="4">
        <v>49.0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</v>
      </c>
      <c r="U7292" s="5">
        <f>C7292+3</f>
        <v>40136</v>
      </c>
    </row>
    <row r="7293" ht="12.75" customHeight="1">
      <c r="A7293" s="4">
        <v>7764.0</v>
      </c>
      <c r="B7293" s="4">
        <v>55554.0</v>
      </c>
      <c r="C7293" s="5">
        <f t="shared" si="3093"/>
        <v>40133</v>
      </c>
      <c r="D7293" s="4" t="s">
        <v>78</v>
      </c>
      <c r="E7293" s="4">
        <v>9.0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0.57</v>
      </c>
      <c r="U7293" s="5">
        <f t="shared" ref="U7293:U7294" si="3094">C7293+1</f>
        <v>40134</v>
      </c>
    </row>
    <row r="7294" ht="12.75" customHeight="1">
      <c r="A7294" s="4">
        <v>7775.0</v>
      </c>
      <c r="B7294" s="4">
        <v>55651.0</v>
      </c>
      <c r="C7294" s="5">
        <f>DATE(2012,12,31)-299</f>
        <v>40975</v>
      </c>
      <c r="D7294" s="4" t="s">
        <v>63</v>
      </c>
      <c r="E7294" s="4">
        <v>11.0</v>
      </c>
      <c r="F7294" s="4">
        <v>995.724</v>
      </c>
      <c r="G7294" s="4">
        <v>0.05</v>
      </c>
      <c r="H7294" s="4" t="s">
        <v>22</v>
      </c>
      <c r="I7294" s="6">
        <v>-117.612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0.57</v>
      </c>
      <c r="U7294" s="5">
        <f t="shared" si="3094"/>
        <v>40976</v>
      </c>
    </row>
    <row r="7295" ht="12.75" customHeight="1">
      <c r="A7295" s="4">
        <v>7836.0</v>
      </c>
      <c r="B7295" s="4">
        <v>56006.0</v>
      </c>
      <c r="C7295" s="5">
        <f t="shared" ref="C7295:C7296" si="3095">DATE(2012,12,31)-457</f>
        <v>40817</v>
      </c>
      <c r="D7295" s="4" t="s">
        <v>78</v>
      </c>
      <c r="E7295" s="4">
        <v>16.0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ht="12.75" customHeight="1">
      <c r="A7296" s="4">
        <v>7837.0</v>
      </c>
      <c r="B7296" s="4">
        <v>56006.0</v>
      </c>
      <c r="C7296" s="5">
        <f t="shared" si="3095"/>
        <v>40817</v>
      </c>
      <c r="D7296" s="4" t="s">
        <v>78</v>
      </c>
      <c r="E7296" s="4">
        <v>20.0</v>
      </c>
      <c r="F7296" s="4">
        <v>1429.088</v>
      </c>
      <c r="G7296" s="4">
        <v>0.06</v>
      </c>
      <c r="H7296" s="4" t="s">
        <v>22</v>
      </c>
      <c r="I7296" s="6">
        <v>500.049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6">C7296+2</f>
        <v>40819</v>
      </c>
    </row>
    <row r="7297" ht="12.75" customHeight="1">
      <c r="A7297" s="4">
        <v>7850.0</v>
      </c>
      <c r="B7297" s="4">
        <v>56130.0</v>
      </c>
      <c r="C7297" s="5">
        <f t="shared" ref="C7297:C7298" si="3097">DATE(2012,12,31)-398</f>
        <v>40876</v>
      </c>
      <c r="D7297" s="4" t="s">
        <v>63</v>
      </c>
      <c r="E7297" s="4">
        <v>13.0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6"/>
        <v>40878</v>
      </c>
    </row>
    <row r="7298" ht="12.75" customHeight="1">
      <c r="A7298" s="4">
        <v>7851.0</v>
      </c>
      <c r="B7298" s="4">
        <v>56130.0</v>
      </c>
      <c r="C7298" s="5">
        <f t="shared" si="3097"/>
        <v>40876</v>
      </c>
      <c r="D7298" s="4" t="s">
        <v>63</v>
      </c>
      <c r="E7298" s="4">
        <v>25.0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6"/>
        <v>40878</v>
      </c>
    </row>
    <row r="7299" ht="12.75" customHeight="1">
      <c r="A7299" s="4">
        <v>7855.0</v>
      </c>
      <c r="B7299" s="4">
        <v>56162.0</v>
      </c>
      <c r="C7299" s="5">
        <f>DATE(2012,12,31)-616</f>
        <v>40658</v>
      </c>
      <c r="D7299" s="4" t="s">
        <v>45</v>
      </c>
      <c r="E7299" s="4">
        <v>30.0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30.0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6"/>
        <v>40660</v>
      </c>
    </row>
    <row r="7300" ht="12.75" customHeight="1">
      <c r="A7300" s="4">
        <v>7867.0</v>
      </c>
      <c r="B7300" s="4">
        <v>56261.0</v>
      </c>
      <c r="C7300" s="5">
        <f>DATE(2012,12,31)-308</f>
        <v>40966</v>
      </c>
      <c r="D7300" s="4" t="s">
        <v>78</v>
      </c>
      <c r="E7300" s="4">
        <v>43.0</v>
      </c>
      <c r="F7300" s="4">
        <v>16886.76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6"/>
        <v>40968</v>
      </c>
    </row>
    <row r="7301" ht="12.75" customHeight="1">
      <c r="A7301" s="4">
        <v>7881.0</v>
      </c>
      <c r="B7301" s="4">
        <v>56358.0</v>
      </c>
      <c r="C7301" s="5">
        <f>DATE(2012,12,31)-305</f>
        <v>40969</v>
      </c>
      <c r="D7301" s="4" t="s">
        <v>45</v>
      </c>
      <c r="E7301" s="4">
        <v>1.0</v>
      </c>
      <c r="F7301" s="4">
        <v>11.7</v>
      </c>
      <c r="G7301" s="4">
        <v>0.0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6"/>
        <v>40971</v>
      </c>
    </row>
    <row r="7302" ht="12.75" customHeight="1">
      <c r="A7302" s="4">
        <v>7893.0</v>
      </c>
      <c r="B7302" s="4">
        <v>56452.0</v>
      </c>
      <c r="C7302" s="5">
        <f>DATE(2012,12,31)-1416</f>
        <v>39858</v>
      </c>
      <c r="D7302" s="4" t="s">
        <v>45</v>
      </c>
      <c r="E7302" s="4">
        <v>34.0</v>
      </c>
      <c r="F7302" s="4">
        <v>6686.344000000001</v>
      </c>
      <c r="G7302" s="4">
        <v>0.0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ht="12.75" customHeight="1">
      <c r="A7303" s="4">
        <v>7895.0</v>
      </c>
      <c r="B7303" s="4">
        <v>56483.0</v>
      </c>
      <c r="C7303" s="5">
        <f>DATE(2012,12,31)-1411</f>
        <v>39863</v>
      </c>
      <c r="D7303" s="4" t="s">
        <v>30</v>
      </c>
      <c r="E7303" s="4">
        <v>37.0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ht="12.75" customHeight="1">
      <c r="A7304" s="4">
        <v>7896.0</v>
      </c>
      <c r="B7304" s="4">
        <v>56484.0</v>
      </c>
      <c r="C7304" s="5">
        <f t="shared" ref="C7304:C7305" si="3098">DATE(2012,12,31)-406</f>
        <v>40868</v>
      </c>
      <c r="D7304" s="4" t="s">
        <v>45</v>
      </c>
      <c r="E7304" s="4">
        <v>6.0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9">C7304+1</f>
        <v>40869</v>
      </c>
    </row>
    <row r="7305" ht="12.75" customHeight="1">
      <c r="A7305" s="4">
        <v>7897.0</v>
      </c>
      <c r="B7305" s="4">
        <v>56484.0</v>
      </c>
      <c r="C7305" s="5">
        <f t="shared" si="3098"/>
        <v>40868</v>
      </c>
      <c r="D7305" s="4" t="s">
        <v>45</v>
      </c>
      <c r="E7305" s="4">
        <v>15.0</v>
      </c>
      <c r="F7305" s="4">
        <v>1121.84</v>
      </c>
      <c r="G7305" s="4">
        <v>0.0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9"/>
        <v>40869</v>
      </c>
    </row>
    <row r="7306" ht="12.75" customHeight="1">
      <c r="A7306" s="4">
        <v>7931.0</v>
      </c>
      <c r="B7306" s="4">
        <v>56676.0</v>
      </c>
      <c r="C7306" s="5">
        <f>DATE(2012,12,31)-67</f>
        <v>41207</v>
      </c>
      <c r="D7306" s="4" t="s">
        <v>78</v>
      </c>
      <c r="E7306" s="4">
        <v>39.0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9"/>
        <v>41208</v>
      </c>
    </row>
    <row r="7307" ht="12.75" customHeight="1">
      <c r="A7307" s="4">
        <v>7941.0</v>
      </c>
      <c r="B7307" s="4">
        <v>56740.0</v>
      </c>
      <c r="C7307" s="5">
        <f t="shared" ref="C7307:C7308" si="3100">DATE(2012,12,31)-76</f>
        <v>41198</v>
      </c>
      <c r="D7307" s="4" t="s">
        <v>21</v>
      </c>
      <c r="E7307" s="4">
        <v>6.0</v>
      </c>
      <c r="F7307" s="4">
        <v>34.29</v>
      </c>
      <c r="G7307" s="4">
        <v>0.05</v>
      </c>
      <c r="H7307" s="4" t="s">
        <v>22</v>
      </c>
      <c r="I7307" s="6">
        <v>-6.8195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ht="12.75" customHeight="1">
      <c r="A7308" s="4">
        <v>7942.0</v>
      </c>
      <c r="B7308" s="4">
        <v>56740.0</v>
      </c>
      <c r="C7308" s="5">
        <f t="shared" si="3100"/>
        <v>41198</v>
      </c>
      <c r="D7308" s="4" t="s">
        <v>21</v>
      </c>
      <c r="E7308" s="4">
        <v>29.0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ht="12.75" customHeight="1">
      <c r="A7309" s="4">
        <v>7948.0</v>
      </c>
      <c r="B7309" s="4">
        <v>56802.0</v>
      </c>
      <c r="C7309" s="5">
        <f>DATE(2012,12,31)-216</f>
        <v>41058</v>
      </c>
      <c r="D7309" s="4" t="s">
        <v>30</v>
      </c>
      <c r="E7309" s="4">
        <v>50.0</v>
      </c>
      <c r="F7309" s="4">
        <v>78.2</v>
      </c>
      <c r="G7309" s="4">
        <v>0.09</v>
      </c>
      <c r="H7309" s="4" t="s">
        <v>22</v>
      </c>
      <c r="I7309" s="6">
        <v>-4.56</v>
      </c>
      <c r="J7309" s="4">
        <v>1.68</v>
      </c>
      <c r="K7309" s="4">
        <v>1.0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ht="12.75" customHeight="1">
      <c r="A7310" s="4">
        <v>7959.0</v>
      </c>
      <c r="B7310" s="4">
        <v>56868.0</v>
      </c>
      <c r="C7310" s="5">
        <f>DATE(2012,12,31)-394</f>
        <v>40880</v>
      </c>
      <c r="D7310" s="4" t="s">
        <v>21</v>
      </c>
      <c r="E7310" s="4">
        <v>34.0</v>
      </c>
      <c r="F7310" s="4">
        <v>1947.4265</v>
      </c>
      <c r="G7310" s="4">
        <v>0.03</v>
      </c>
      <c r="H7310" s="4" t="s">
        <v>22</v>
      </c>
      <c r="I7310" s="6">
        <v>473.265</v>
      </c>
      <c r="J7310" s="4">
        <v>65.99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</v>
      </c>
      <c r="U7310" s="5">
        <f>C7310+7</f>
        <v>40887</v>
      </c>
    </row>
    <row r="7311" ht="12.75" customHeight="1">
      <c r="A7311" s="4">
        <v>7960.0</v>
      </c>
      <c r="B7311" s="4">
        <v>56869.0</v>
      </c>
      <c r="C7311" s="5">
        <f>DATE(2012,12,31)-892</f>
        <v>40382</v>
      </c>
      <c r="D7311" s="4" t="s">
        <v>21</v>
      </c>
      <c r="E7311" s="4">
        <v>10.0</v>
      </c>
      <c r="F7311" s="4">
        <v>842.19</v>
      </c>
      <c r="G7311" s="4">
        <v>0.0</v>
      </c>
      <c r="H7311" s="4" t="s">
        <v>22</v>
      </c>
      <c r="I7311" s="6">
        <v>157.45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ht="12.75" customHeight="1">
      <c r="A7312" s="4">
        <v>8004.0</v>
      </c>
      <c r="B7312" s="4">
        <v>57190.0</v>
      </c>
      <c r="C7312" s="5">
        <f t="shared" ref="C7312:C7313" si="3101">DATE(2012,12,31)-948</f>
        <v>40326</v>
      </c>
      <c r="D7312" s="4" t="s">
        <v>63</v>
      </c>
      <c r="E7312" s="4">
        <v>48.0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ht="12.75" customHeight="1">
      <c r="A7313" s="4">
        <v>8005.0</v>
      </c>
      <c r="B7313" s="4">
        <v>57190.0</v>
      </c>
      <c r="C7313" s="5">
        <f t="shared" si="3101"/>
        <v>40326</v>
      </c>
      <c r="D7313" s="4" t="s">
        <v>63</v>
      </c>
      <c r="E7313" s="4">
        <v>36.0</v>
      </c>
      <c r="F7313" s="4">
        <v>620.45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ht="12.75" customHeight="1">
      <c r="A7314" s="4">
        <v>8009.0</v>
      </c>
      <c r="B7314" s="4">
        <v>57248.0</v>
      </c>
      <c r="C7314" s="5">
        <f>DATE(2012,12,31)-1173</f>
        <v>40101</v>
      </c>
      <c r="D7314" s="4" t="s">
        <v>78</v>
      </c>
      <c r="E7314" s="4">
        <v>34.0</v>
      </c>
      <c r="F7314" s="4">
        <v>167.5</v>
      </c>
      <c r="G7314" s="4">
        <v>0.04</v>
      </c>
      <c r="H7314" s="4" t="s">
        <v>22</v>
      </c>
      <c r="I7314" s="6">
        <v>-84.4215</v>
      </c>
      <c r="J7314" s="4">
        <v>4.98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2">C7314+2</f>
        <v>40103</v>
      </c>
    </row>
    <row r="7315" ht="12.75" customHeight="1">
      <c r="A7315" s="4">
        <v>8022.0</v>
      </c>
      <c r="B7315" s="4">
        <v>57318.0</v>
      </c>
      <c r="C7315" s="5">
        <f t="shared" ref="C7315:C7316" si="3103">DATE(2012,12,31)-1086</f>
        <v>40188</v>
      </c>
      <c r="D7315" s="4" t="s">
        <v>63</v>
      </c>
      <c r="E7315" s="4">
        <v>33.0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2"/>
        <v>40190</v>
      </c>
    </row>
    <row r="7316" ht="12.75" customHeight="1">
      <c r="A7316" s="4">
        <v>8023.0</v>
      </c>
      <c r="B7316" s="4">
        <v>57318.0</v>
      </c>
      <c r="C7316" s="5">
        <f t="shared" si="3103"/>
        <v>40188</v>
      </c>
      <c r="D7316" s="4" t="s">
        <v>63</v>
      </c>
      <c r="E7316" s="4">
        <v>12.0</v>
      </c>
      <c r="F7316" s="4">
        <v>79.06</v>
      </c>
      <c r="G7316" s="4">
        <v>0.1</v>
      </c>
      <c r="H7316" s="4" t="s">
        <v>22</v>
      </c>
      <c r="I7316" s="6">
        <v>-47.0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2"/>
        <v>40190</v>
      </c>
    </row>
    <row r="7317" ht="12.75" customHeight="1">
      <c r="A7317" s="4">
        <v>8025.0</v>
      </c>
      <c r="B7317" s="4">
        <v>57350.0</v>
      </c>
      <c r="C7317" s="5">
        <f t="shared" ref="C7317:C7318" si="3104">DATE(2012,12,31)-586</f>
        <v>40688</v>
      </c>
      <c r="D7317" s="4" t="s">
        <v>30</v>
      </c>
      <c r="E7317" s="4">
        <v>33.0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5">C7317+1</f>
        <v>40689</v>
      </c>
    </row>
    <row r="7318" ht="12.75" customHeight="1">
      <c r="A7318" s="4">
        <v>8026.0</v>
      </c>
      <c r="B7318" s="4">
        <v>57350.0</v>
      </c>
      <c r="C7318" s="5">
        <f t="shared" si="3104"/>
        <v>40688</v>
      </c>
      <c r="D7318" s="4" t="s">
        <v>30</v>
      </c>
      <c r="E7318" s="4">
        <v>50.0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5"/>
        <v>40689</v>
      </c>
    </row>
    <row r="7319" ht="12.75" customHeight="1">
      <c r="A7319" s="4">
        <v>8032.0</v>
      </c>
      <c r="B7319" s="4">
        <v>57381.0</v>
      </c>
      <c r="C7319" s="5">
        <f t="shared" ref="C7319:C7320" si="3106">DATE(2012,12,31)-1242</f>
        <v>40032</v>
      </c>
      <c r="D7319" s="4" t="s">
        <v>30</v>
      </c>
      <c r="E7319" s="4">
        <v>13.0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5"/>
        <v>40033</v>
      </c>
    </row>
    <row r="7320" ht="12.75" customHeight="1">
      <c r="A7320" s="4">
        <v>8033.0</v>
      </c>
      <c r="B7320" s="4">
        <v>57381.0</v>
      </c>
      <c r="C7320" s="5">
        <f t="shared" si="3106"/>
        <v>40032</v>
      </c>
      <c r="D7320" s="4" t="s">
        <v>30</v>
      </c>
      <c r="E7320" s="4">
        <v>22.0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ht="12.75" customHeight="1">
      <c r="A7321" s="4">
        <v>8041.0</v>
      </c>
      <c r="B7321" s="4">
        <v>57444.0</v>
      </c>
      <c r="C7321" s="5">
        <f>DATE(2012,12,31)-597</f>
        <v>40677</v>
      </c>
      <c r="D7321" s="4" t="s">
        <v>78</v>
      </c>
      <c r="E7321" s="4">
        <v>24.0</v>
      </c>
      <c r="F7321" s="4">
        <v>178.92</v>
      </c>
      <c r="G7321" s="4">
        <v>0.09</v>
      </c>
      <c r="H7321" s="4" t="s">
        <v>22</v>
      </c>
      <c r="I7321" s="6">
        <v>-56.1085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7">C7321+1</f>
        <v>40678</v>
      </c>
    </row>
    <row r="7322" ht="12.75" customHeight="1">
      <c r="A7322" s="4">
        <v>8048.0</v>
      </c>
      <c r="B7322" s="4">
        <v>57476.0</v>
      </c>
      <c r="C7322" s="5">
        <f t="shared" ref="C7322:C7323" si="3108">DATE(2012,12,31)-1386</f>
        <v>39888</v>
      </c>
      <c r="D7322" s="4" t="s">
        <v>30</v>
      </c>
      <c r="E7322" s="4">
        <v>20.0</v>
      </c>
      <c r="F7322" s="4">
        <v>1351.43</v>
      </c>
      <c r="G7322" s="4">
        <v>0.08</v>
      </c>
      <c r="H7322" s="4" t="s">
        <v>31</v>
      </c>
      <c r="I7322" s="6">
        <v>-550.43</v>
      </c>
      <c r="J7322" s="4">
        <v>68.81</v>
      </c>
      <c r="K7322" s="4">
        <v>60.0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7"/>
        <v>39889</v>
      </c>
    </row>
    <row r="7323" ht="12.75" customHeight="1">
      <c r="A7323" s="4">
        <v>8049.0</v>
      </c>
      <c r="B7323" s="4">
        <v>57476.0</v>
      </c>
      <c r="C7323" s="5">
        <f t="shared" si="3108"/>
        <v>39888</v>
      </c>
      <c r="D7323" s="4" t="s">
        <v>30</v>
      </c>
      <c r="E7323" s="4">
        <v>17.0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ht="12.75" customHeight="1">
      <c r="A7324" s="4">
        <v>8078.0</v>
      </c>
      <c r="B7324" s="4">
        <v>57633.0</v>
      </c>
      <c r="C7324" s="5">
        <f>DATE(2012,12,31)-694</f>
        <v>40580</v>
      </c>
      <c r="D7324" s="4" t="s">
        <v>30</v>
      </c>
      <c r="E7324" s="4">
        <v>12.0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9">C7324+1</f>
        <v>40581</v>
      </c>
    </row>
    <row r="7325" ht="12.75" customHeight="1">
      <c r="A7325" s="4">
        <v>8085.0</v>
      </c>
      <c r="B7325" s="4">
        <v>57669.0</v>
      </c>
      <c r="C7325" s="5">
        <f>DATE(2012,12,31)-876</f>
        <v>40398</v>
      </c>
      <c r="D7325" s="4" t="s">
        <v>78</v>
      </c>
      <c r="E7325" s="4">
        <v>41.0</v>
      </c>
      <c r="F7325" s="4">
        <v>1803.12</v>
      </c>
      <c r="G7325" s="4">
        <v>0.0</v>
      </c>
      <c r="H7325" s="4" t="s">
        <v>22</v>
      </c>
      <c r="I7325" s="6">
        <v>544.93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0.57</v>
      </c>
      <c r="U7325" s="5">
        <f t="shared" si="3109"/>
        <v>40399</v>
      </c>
    </row>
    <row r="7326" ht="12.75" customHeight="1">
      <c r="A7326" s="4">
        <v>8093.0</v>
      </c>
      <c r="B7326" s="4">
        <v>57734.0</v>
      </c>
      <c r="C7326" s="5">
        <f t="shared" ref="C7326:C7327" si="3110">DATE(2012,12,31)-1202</f>
        <v>40072</v>
      </c>
      <c r="D7326" s="4" t="s">
        <v>30</v>
      </c>
      <c r="E7326" s="4">
        <v>26.0</v>
      </c>
      <c r="F7326" s="4">
        <v>110.14</v>
      </c>
      <c r="G7326" s="4">
        <v>0.05</v>
      </c>
      <c r="H7326" s="4" t="s">
        <v>22</v>
      </c>
      <c r="I7326" s="6">
        <v>-89.217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1">C7326+2</f>
        <v>40074</v>
      </c>
    </row>
    <row r="7327" ht="12.75" customHeight="1">
      <c r="A7327" s="4">
        <v>8094.0</v>
      </c>
      <c r="B7327" s="4">
        <v>57734.0</v>
      </c>
      <c r="C7327" s="5">
        <f t="shared" si="3110"/>
        <v>40072</v>
      </c>
      <c r="D7327" s="4" t="s">
        <v>30</v>
      </c>
      <c r="E7327" s="4">
        <v>27.0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1"/>
        <v>40074</v>
      </c>
    </row>
    <row r="7328" ht="12.75" customHeight="1">
      <c r="A7328" s="4">
        <v>8095.0</v>
      </c>
      <c r="B7328" s="4">
        <v>57760.0</v>
      </c>
      <c r="C7328" s="5">
        <f t="shared" ref="C7328:C7329" si="3112">DATE(2012,12,31)-538</f>
        <v>40736</v>
      </c>
      <c r="D7328" s="4" t="s">
        <v>45</v>
      </c>
      <c r="E7328" s="4">
        <v>38.0</v>
      </c>
      <c r="F7328" s="4">
        <v>275.11</v>
      </c>
      <c r="G7328" s="4">
        <v>0.06</v>
      </c>
      <c r="H7328" s="4" t="s">
        <v>22</v>
      </c>
      <c r="I7328" s="6">
        <v>17.15</v>
      </c>
      <c r="J7328" s="4">
        <v>7.59</v>
      </c>
      <c r="K7328" s="4">
        <v>4.0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1"/>
        <v>40738</v>
      </c>
    </row>
    <row r="7329" ht="12.75" customHeight="1">
      <c r="A7329" s="4">
        <v>8096.0</v>
      </c>
      <c r="B7329" s="4">
        <v>57760.0</v>
      </c>
      <c r="C7329" s="5">
        <f t="shared" si="3112"/>
        <v>40736</v>
      </c>
      <c r="D7329" s="4" t="s">
        <v>45</v>
      </c>
      <c r="E7329" s="4">
        <v>34.0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2.03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0.57</v>
      </c>
      <c r="U7329" s="5">
        <f t="shared" si="3111"/>
        <v>40738</v>
      </c>
    </row>
    <row r="7330" ht="12.75" customHeight="1">
      <c r="A7330" s="4">
        <v>8110.0</v>
      </c>
      <c r="B7330" s="4">
        <v>57891.0</v>
      </c>
      <c r="C7330" s="5">
        <f>DATE(2012,12,31)-745</f>
        <v>40529</v>
      </c>
      <c r="D7330" s="4" t="s">
        <v>63</v>
      </c>
      <c r="E7330" s="4">
        <v>17.0</v>
      </c>
      <c r="F7330" s="4">
        <v>934.9405</v>
      </c>
      <c r="G7330" s="4">
        <v>0.08</v>
      </c>
      <c r="H7330" s="4" t="s">
        <v>22</v>
      </c>
      <c r="I7330" s="6">
        <v>47.096999999999994</v>
      </c>
      <c r="J7330" s="4">
        <v>65.99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</v>
      </c>
      <c r="U7330" s="5">
        <f t="shared" ref="U7330:U7331" si="3113">C7330+0</f>
        <v>40529</v>
      </c>
    </row>
    <row r="7331" ht="12.75" customHeight="1">
      <c r="A7331" s="4">
        <v>8125.0</v>
      </c>
      <c r="B7331" s="4">
        <v>58084.0</v>
      </c>
      <c r="C7331" s="5">
        <f t="shared" ref="C7331:C7332" si="3114">DATE(2012,12,31)-134</f>
        <v>41140</v>
      </c>
      <c r="D7331" s="4" t="s">
        <v>63</v>
      </c>
      <c r="E7331" s="4">
        <v>3.0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3"/>
        <v>41140</v>
      </c>
    </row>
    <row r="7332" ht="12.75" customHeight="1">
      <c r="A7332" s="4">
        <v>8126.0</v>
      </c>
      <c r="B7332" s="4">
        <v>58084.0</v>
      </c>
      <c r="C7332" s="5">
        <f t="shared" si="3114"/>
        <v>41140</v>
      </c>
      <c r="D7332" s="4" t="s">
        <v>63</v>
      </c>
      <c r="E7332" s="4">
        <v>36.0</v>
      </c>
      <c r="F7332" s="4">
        <v>266.16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ht="12.75" customHeight="1">
      <c r="A7333" s="4">
        <v>8139.0</v>
      </c>
      <c r="B7333" s="4">
        <v>58179.0</v>
      </c>
      <c r="C7333" s="5">
        <f>DATE(2012,12,31)-483</f>
        <v>40791</v>
      </c>
      <c r="D7333" s="4" t="s">
        <v>63</v>
      </c>
      <c r="E7333" s="4">
        <v>3.0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ht="12.75" customHeight="1">
      <c r="A7334" s="4">
        <v>8151.0</v>
      </c>
      <c r="B7334" s="4">
        <v>58279.0</v>
      </c>
      <c r="C7334" s="5">
        <f>DATE(2012,12,31)-1360</f>
        <v>39914</v>
      </c>
      <c r="D7334" s="4" t="s">
        <v>63</v>
      </c>
      <c r="E7334" s="4">
        <v>44.0</v>
      </c>
      <c r="F7334" s="4">
        <v>1317.34</v>
      </c>
      <c r="G7334" s="4">
        <v>0.03</v>
      </c>
      <c r="H7334" s="4" t="s">
        <v>22</v>
      </c>
      <c r="I7334" s="6">
        <v>555.934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ht="12.75" customHeight="1">
      <c r="A7335" s="4">
        <v>8165.0</v>
      </c>
      <c r="B7335" s="4">
        <v>58369.0</v>
      </c>
      <c r="C7335" s="5">
        <f t="shared" ref="C7335:C7336" si="3115">DATE(2012,12,31)-123</f>
        <v>41151</v>
      </c>
      <c r="D7335" s="4" t="s">
        <v>30</v>
      </c>
      <c r="E7335" s="4">
        <v>46.0</v>
      </c>
      <c r="F7335" s="4">
        <v>320.57</v>
      </c>
      <c r="G7335" s="4">
        <v>0.1</v>
      </c>
      <c r="H7335" s="4" t="s">
        <v>22</v>
      </c>
      <c r="I7335" s="6">
        <v>-114.195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ht="12.75" customHeight="1">
      <c r="A7336" s="4">
        <v>8166.0</v>
      </c>
      <c r="B7336" s="4">
        <v>58369.0</v>
      </c>
      <c r="C7336" s="5">
        <f t="shared" si="3115"/>
        <v>41151</v>
      </c>
      <c r="D7336" s="4" t="s">
        <v>30</v>
      </c>
      <c r="E7336" s="4">
        <v>16.0</v>
      </c>
      <c r="F7336" s="4">
        <v>2013.8</v>
      </c>
      <c r="G7336" s="4">
        <v>0.01</v>
      </c>
      <c r="H7336" s="4" t="s">
        <v>31</v>
      </c>
      <c r="I7336" s="6">
        <v>-98.4318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ht="12.75" customHeight="1">
      <c r="A7337" s="4">
        <v>8167.0</v>
      </c>
      <c r="B7337" s="4">
        <v>58371.0</v>
      </c>
      <c r="C7337" s="5">
        <f t="shared" ref="C7337:C7339" si="3116">DATE(2012,12,31)-965</f>
        <v>40309</v>
      </c>
      <c r="D7337" s="4" t="s">
        <v>63</v>
      </c>
      <c r="E7337" s="4">
        <v>5.0</v>
      </c>
      <c r="F7337" s="4">
        <v>2168.05</v>
      </c>
      <c r="G7337" s="4">
        <v>0.0</v>
      </c>
      <c r="H7337" s="4" t="s">
        <v>22</v>
      </c>
      <c r="I7337" s="6">
        <v>416.0155</v>
      </c>
      <c r="J7337" s="4">
        <v>420.98</v>
      </c>
      <c r="K7337" s="4">
        <v>19.99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ht="12.75" customHeight="1">
      <c r="A7338" s="4">
        <v>8168.0</v>
      </c>
      <c r="B7338" s="4">
        <v>58371.0</v>
      </c>
      <c r="C7338" s="5">
        <f t="shared" si="3116"/>
        <v>40309</v>
      </c>
      <c r="D7338" s="4" t="s">
        <v>63</v>
      </c>
      <c r="E7338" s="4">
        <v>44.0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ht="12.75" customHeight="1">
      <c r="A7339" s="4">
        <v>8169.0</v>
      </c>
      <c r="B7339" s="4">
        <v>58371.0</v>
      </c>
      <c r="C7339" s="5">
        <f t="shared" si="3116"/>
        <v>40309</v>
      </c>
      <c r="D7339" s="4" t="s">
        <v>63</v>
      </c>
      <c r="E7339" s="4">
        <v>48.0</v>
      </c>
      <c r="F7339" s="4">
        <v>1661.8</v>
      </c>
      <c r="G7339" s="4">
        <v>0.07</v>
      </c>
      <c r="H7339" s="4" t="s">
        <v>22</v>
      </c>
      <c r="I7339" s="6">
        <v>202.68</v>
      </c>
      <c r="J7339" s="4">
        <v>36.55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ht="12.75" customHeight="1">
      <c r="A7340" s="4">
        <v>8173.0</v>
      </c>
      <c r="B7340" s="4">
        <v>58433.0</v>
      </c>
      <c r="C7340" s="5">
        <f t="shared" ref="C7340:C7342" si="3117">DATE(2012,12,31)-549</f>
        <v>40725</v>
      </c>
      <c r="D7340" s="4" t="s">
        <v>30</v>
      </c>
      <c r="E7340" s="4">
        <v>11.0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30.0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ht="12.75" customHeight="1">
      <c r="A7341" s="4">
        <v>8174.0</v>
      </c>
      <c r="B7341" s="4">
        <v>58433.0</v>
      </c>
      <c r="C7341" s="5">
        <f t="shared" si="3117"/>
        <v>40725</v>
      </c>
      <c r="D7341" s="4" t="s">
        <v>30</v>
      </c>
      <c r="E7341" s="4">
        <v>30.0</v>
      </c>
      <c r="F7341" s="4">
        <v>1533.46</v>
      </c>
      <c r="G7341" s="4">
        <v>0.0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8">C7341+2</f>
        <v>40727</v>
      </c>
    </row>
    <row r="7342" ht="12.75" customHeight="1">
      <c r="A7342" s="4">
        <v>8175.0</v>
      </c>
      <c r="B7342" s="4">
        <v>58433.0</v>
      </c>
      <c r="C7342" s="5">
        <f t="shared" si="3117"/>
        <v>40725</v>
      </c>
      <c r="D7342" s="4" t="s">
        <v>30</v>
      </c>
      <c r="E7342" s="4">
        <v>20.0</v>
      </c>
      <c r="F7342" s="4">
        <v>5989.048000000001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8"/>
        <v>40727</v>
      </c>
    </row>
    <row r="7343" ht="12.75" customHeight="1">
      <c r="A7343" s="4">
        <v>8236.0</v>
      </c>
      <c r="B7343" s="4">
        <v>58855.0</v>
      </c>
      <c r="C7343" s="5">
        <f>DATE(2012,12,31)-792</f>
        <v>40482</v>
      </c>
      <c r="D7343" s="4" t="s">
        <v>63</v>
      </c>
      <c r="E7343" s="4">
        <v>38.0</v>
      </c>
      <c r="F7343" s="4">
        <v>69.26</v>
      </c>
      <c r="G7343" s="4">
        <v>0.07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ht="12.75" customHeight="1">
      <c r="A7344" s="4">
        <v>8278.0</v>
      </c>
      <c r="B7344" s="4">
        <v>59173.0</v>
      </c>
      <c r="C7344" s="5">
        <f>DATE(2012,12,31)-742</f>
        <v>40532</v>
      </c>
      <c r="D7344" s="4" t="s">
        <v>30</v>
      </c>
      <c r="E7344" s="4">
        <v>27.0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9">C7344+1</f>
        <v>40533</v>
      </c>
    </row>
    <row r="7345" ht="12.75" customHeight="1">
      <c r="A7345" s="4">
        <v>8284.0</v>
      </c>
      <c r="B7345" s="4">
        <v>59204.0</v>
      </c>
      <c r="C7345" s="5">
        <f t="shared" ref="C7345:C7346" si="3120">DATE(2012,12,31)-306</f>
        <v>40968</v>
      </c>
      <c r="D7345" s="4" t="s">
        <v>63</v>
      </c>
      <c r="E7345" s="4">
        <v>8.0</v>
      </c>
      <c r="F7345" s="4">
        <v>250.29</v>
      </c>
      <c r="G7345" s="4">
        <v>0.1</v>
      </c>
      <c r="H7345" s="4" t="s">
        <v>22</v>
      </c>
      <c r="I7345" s="6">
        <v>-9.314999999999994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9"/>
        <v>40969</v>
      </c>
    </row>
    <row r="7346" ht="12.75" customHeight="1">
      <c r="A7346" s="4">
        <v>8285.0</v>
      </c>
      <c r="B7346" s="4">
        <v>59204.0</v>
      </c>
      <c r="C7346" s="5">
        <f t="shared" si="3120"/>
        <v>40968</v>
      </c>
      <c r="D7346" s="4" t="s">
        <v>63</v>
      </c>
      <c r="E7346" s="4">
        <v>7.0</v>
      </c>
      <c r="F7346" s="4">
        <v>251.59</v>
      </c>
      <c r="G7346" s="4">
        <v>0.09</v>
      </c>
      <c r="H7346" s="4" t="s">
        <v>22</v>
      </c>
      <c r="I7346" s="6">
        <v>39.23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9"/>
        <v>40969</v>
      </c>
    </row>
    <row r="7347" ht="12.75" customHeight="1">
      <c r="A7347" s="4">
        <v>8309.0</v>
      </c>
      <c r="B7347" s="4">
        <v>59363.0</v>
      </c>
      <c r="C7347" s="5">
        <f>DATE(2012,12,31)-1339</f>
        <v>39935</v>
      </c>
      <c r="D7347" s="4" t="s">
        <v>30</v>
      </c>
      <c r="E7347" s="4">
        <v>24.0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ht="12.75" customHeight="1">
      <c r="A7348" s="4">
        <v>8328.0</v>
      </c>
      <c r="B7348" s="4">
        <v>59553.0</v>
      </c>
      <c r="C7348" s="5">
        <f t="shared" ref="C7348:C7349" si="3121">DATE(2012,12,31)-780</f>
        <v>40494</v>
      </c>
      <c r="D7348" s="4" t="s">
        <v>45</v>
      </c>
      <c r="E7348" s="4">
        <v>15.0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ht="12.75" customHeight="1">
      <c r="A7349" s="4">
        <v>8329.0</v>
      </c>
      <c r="B7349" s="4">
        <v>59553.0</v>
      </c>
      <c r="C7349" s="5">
        <f t="shared" si="3121"/>
        <v>40494</v>
      </c>
      <c r="D7349" s="4" t="s">
        <v>45</v>
      </c>
      <c r="E7349" s="4">
        <v>42.0</v>
      </c>
      <c r="F7349" s="4">
        <v>2170.305</v>
      </c>
      <c r="G7349" s="4">
        <v>0.1</v>
      </c>
      <c r="H7349" s="4" t="s">
        <v>22</v>
      </c>
      <c r="I7349" s="6">
        <v>264.321</v>
      </c>
      <c r="J7349" s="4">
        <v>65.99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</v>
      </c>
      <c r="U7349" s="5">
        <f t="shared" ref="U7349:U7350" si="3122">C7349+2</f>
        <v>40496</v>
      </c>
    </row>
    <row r="7350" ht="12.75" customHeight="1">
      <c r="A7350" s="4">
        <v>8348.0</v>
      </c>
      <c r="B7350" s="4">
        <v>59681.0</v>
      </c>
      <c r="C7350" s="5">
        <f>DATE(2012,12,31)-1299</f>
        <v>39975</v>
      </c>
      <c r="D7350" s="4" t="s">
        <v>78</v>
      </c>
      <c r="E7350" s="4">
        <v>23.0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2"/>
        <v>39977</v>
      </c>
    </row>
    <row r="7351" ht="12.75" customHeight="1">
      <c r="A7351" s="4">
        <v>8369.0</v>
      </c>
      <c r="B7351" s="4">
        <v>59781.0</v>
      </c>
      <c r="C7351" s="5">
        <f t="shared" ref="C7351:C7352" si="3123">DATE(2012,12,31)-19</f>
        <v>41255</v>
      </c>
      <c r="D7351" s="4" t="s">
        <v>45</v>
      </c>
      <c r="E7351" s="4">
        <v>43.0</v>
      </c>
      <c r="F7351" s="4">
        <v>262.13</v>
      </c>
      <c r="G7351" s="4">
        <v>0.0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4">C7351+1</f>
        <v>41256</v>
      </c>
    </row>
    <row r="7352" ht="12.75" customHeight="1">
      <c r="A7352" s="4">
        <v>8370.0</v>
      </c>
      <c r="B7352" s="4">
        <v>59781.0</v>
      </c>
      <c r="C7352" s="5">
        <f t="shared" si="3123"/>
        <v>41255</v>
      </c>
      <c r="D7352" s="4" t="s">
        <v>45</v>
      </c>
      <c r="E7352" s="4">
        <v>24.0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4"/>
        <v>41256</v>
      </c>
    </row>
    <row r="7353" ht="12.75" customHeight="1">
      <c r="A7353" s="4">
        <v>8374.0</v>
      </c>
      <c r="B7353" s="4">
        <v>59812.0</v>
      </c>
      <c r="C7353" s="5">
        <f t="shared" ref="C7353:C7354" si="3125">DATE(2012,12,31)-558</f>
        <v>40716</v>
      </c>
      <c r="D7353" s="4" t="s">
        <v>63</v>
      </c>
      <c r="E7353" s="4">
        <v>46.0</v>
      </c>
      <c r="F7353" s="4">
        <v>9261.24</v>
      </c>
      <c r="G7353" s="4">
        <v>0.0</v>
      </c>
      <c r="H7353" s="4" t="s">
        <v>22</v>
      </c>
      <c r="I7353" s="6">
        <v>1646.43</v>
      </c>
      <c r="J7353" s="4">
        <v>193.17</v>
      </c>
      <c r="K7353" s="4">
        <v>19.99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ht="12.75" customHeight="1">
      <c r="A7354" s="4">
        <v>8375.0</v>
      </c>
      <c r="B7354" s="4">
        <v>59812.0</v>
      </c>
      <c r="C7354" s="5">
        <f t="shared" si="3125"/>
        <v>40716</v>
      </c>
      <c r="D7354" s="4" t="s">
        <v>63</v>
      </c>
      <c r="E7354" s="4">
        <v>2.0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ht="12.75" customHeight="1">
      <c r="A7355" s="4">
        <v>8376.0</v>
      </c>
      <c r="B7355" s="4">
        <v>59815.0</v>
      </c>
      <c r="C7355" s="5">
        <f>DATE(2012,12,31)-747</f>
        <v>40527</v>
      </c>
      <c r="D7355" s="4" t="s">
        <v>45</v>
      </c>
      <c r="E7355" s="4">
        <v>14.0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6">C7355+2</f>
        <v>40529</v>
      </c>
    </row>
    <row r="7356" ht="12.75" customHeight="1">
      <c r="A7356" s="4">
        <v>8395.0</v>
      </c>
      <c r="B7356" s="4">
        <v>59971.0</v>
      </c>
      <c r="C7356" s="5">
        <f t="shared" ref="C7356:C7358" si="3127">DATE(2012,12,31)-580</f>
        <v>40694</v>
      </c>
      <c r="D7356" s="4" t="s">
        <v>78</v>
      </c>
      <c r="E7356" s="4">
        <v>26.0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6"/>
        <v>40696</v>
      </c>
    </row>
    <row r="7357" ht="12.75" customHeight="1">
      <c r="A7357" s="4">
        <v>8396.0</v>
      </c>
      <c r="B7357" s="4">
        <v>59971.0</v>
      </c>
      <c r="C7357" s="5">
        <f t="shared" si="3127"/>
        <v>40694</v>
      </c>
      <c r="D7357" s="4" t="s">
        <v>78</v>
      </c>
      <c r="E7357" s="4">
        <v>45.0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6"/>
        <v>40696</v>
      </c>
    </row>
    <row r="7358" ht="12.75" customHeight="1">
      <c r="A7358" s="4">
        <v>8397.0</v>
      </c>
      <c r="B7358" s="4">
        <v>59971.0</v>
      </c>
      <c r="C7358" s="5">
        <f t="shared" si="3127"/>
        <v>40694</v>
      </c>
      <c r="D7358" s="4" t="s">
        <v>78</v>
      </c>
      <c r="E7358" s="4">
        <v>12.0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6"/>
        <v>40696</v>
      </c>
    </row>
    <row r="7359" ht="12.75" customHeight="1">
      <c r="A7359" s="4">
        <v>79.0</v>
      </c>
      <c r="B7359" s="4">
        <v>481.0</v>
      </c>
      <c r="C7359" s="5">
        <f>DATE(2012,12,31)-85</f>
        <v>41189</v>
      </c>
      <c r="D7359" s="4" t="s">
        <v>30</v>
      </c>
      <c r="E7359" s="4">
        <v>44.0</v>
      </c>
      <c r="F7359" s="4">
        <v>4509.3775</v>
      </c>
      <c r="G7359" s="4">
        <v>0.01</v>
      </c>
      <c r="H7359" s="4" t="s">
        <v>22</v>
      </c>
      <c r="I7359" s="6">
        <v>1426.257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0.57</v>
      </c>
      <c r="U7359" s="5">
        <f t="shared" si="3126"/>
        <v>41191</v>
      </c>
    </row>
    <row r="7360" ht="12.75" customHeight="1">
      <c r="A7360" s="4">
        <v>131.0</v>
      </c>
      <c r="B7360" s="4">
        <v>834.0</v>
      </c>
      <c r="C7360" s="5">
        <f>DATE(2012,12,31)-1319</f>
        <v>39955</v>
      </c>
      <c r="D7360" s="4" t="s">
        <v>63</v>
      </c>
      <c r="E7360" s="4">
        <v>15.0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ht="12.75" customHeight="1">
      <c r="A7361" s="4">
        <v>215.0</v>
      </c>
      <c r="B7361" s="4">
        <v>1414.0</v>
      </c>
      <c r="C7361" s="5">
        <f>DATE(2012,12,31)-504</f>
        <v>40770</v>
      </c>
      <c r="D7361" s="4" t="s">
        <v>78</v>
      </c>
      <c r="E7361" s="4">
        <v>44.0</v>
      </c>
      <c r="F7361" s="4">
        <v>4530.96</v>
      </c>
      <c r="G7361" s="4">
        <v>0.07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ht="12.75" customHeight="1">
      <c r="A7362" s="4">
        <v>335.0</v>
      </c>
      <c r="B7362" s="4">
        <v>2305.0</v>
      </c>
      <c r="C7362" s="5">
        <f t="shared" ref="C7362:C7363" si="3128">DATE(2012,12,31)-1071</f>
        <v>40203</v>
      </c>
      <c r="D7362" s="4" t="s">
        <v>30</v>
      </c>
      <c r="E7362" s="4">
        <v>33.0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ht="12.75" customHeight="1">
      <c r="A7363" s="4">
        <v>336.0</v>
      </c>
      <c r="B7363" s="4">
        <v>2305.0</v>
      </c>
      <c r="C7363" s="5">
        <f t="shared" si="3128"/>
        <v>40203</v>
      </c>
      <c r="D7363" s="4" t="s">
        <v>30</v>
      </c>
      <c r="E7363" s="4">
        <v>1.0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9">C7363+1</f>
        <v>40204</v>
      </c>
    </row>
    <row r="7364" ht="12.75" customHeight="1">
      <c r="A7364" s="4">
        <v>341.0</v>
      </c>
      <c r="B7364" s="4">
        <v>2311.0</v>
      </c>
      <c r="C7364" s="5">
        <f>DATE(2012,12,31)-610</f>
        <v>40664</v>
      </c>
      <c r="D7364" s="4" t="s">
        <v>30</v>
      </c>
      <c r="E7364" s="4">
        <v>31.0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0.57</v>
      </c>
      <c r="U7364" s="5">
        <f t="shared" si="3129"/>
        <v>40665</v>
      </c>
    </row>
    <row r="7365" ht="12.75" customHeight="1">
      <c r="A7365" s="4">
        <v>351.0</v>
      </c>
      <c r="B7365" s="4">
        <v>2438.0</v>
      </c>
      <c r="C7365" s="5">
        <f t="shared" ref="C7365:C7366" si="3130">DATE(2012,12,31)-901</f>
        <v>40373</v>
      </c>
      <c r="D7365" s="4" t="s">
        <v>30</v>
      </c>
      <c r="E7365" s="4">
        <v>20.0</v>
      </c>
      <c r="F7365" s="4">
        <v>278.68</v>
      </c>
      <c r="G7365" s="4">
        <v>0.06</v>
      </c>
      <c r="H7365" s="4" t="s">
        <v>22</v>
      </c>
      <c r="I7365" s="6">
        <v>8.8995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ht="12.75" customHeight="1">
      <c r="A7366" s="4">
        <v>352.0</v>
      </c>
      <c r="B7366" s="4">
        <v>2438.0</v>
      </c>
      <c r="C7366" s="5">
        <f t="shared" si="3130"/>
        <v>40373</v>
      </c>
      <c r="D7366" s="4" t="s">
        <v>30</v>
      </c>
      <c r="E7366" s="4">
        <v>23.0</v>
      </c>
      <c r="F7366" s="4">
        <v>717.468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ht="12.75" customHeight="1">
      <c r="A7367" s="4">
        <v>374.0</v>
      </c>
      <c r="B7367" s="4">
        <v>2595.0</v>
      </c>
      <c r="C7367" s="5">
        <f t="shared" ref="C7367:C7369" si="3131">DATE(2012,12,31)-384</f>
        <v>40890</v>
      </c>
      <c r="D7367" s="4" t="s">
        <v>45</v>
      </c>
      <c r="E7367" s="4">
        <v>13.0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ht="12.75" customHeight="1">
      <c r="A7368" s="4">
        <v>375.0</v>
      </c>
      <c r="B7368" s="4">
        <v>2595.0</v>
      </c>
      <c r="C7368" s="5">
        <f t="shared" si="3131"/>
        <v>40890</v>
      </c>
      <c r="D7368" s="4" t="s">
        <v>45</v>
      </c>
      <c r="E7368" s="4">
        <v>4.0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2">C7368+2</f>
        <v>40892</v>
      </c>
    </row>
    <row r="7369" ht="12.75" customHeight="1">
      <c r="A7369" s="4">
        <v>376.0</v>
      </c>
      <c r="B7369" s="4">
        <v>2595.0</v>
      </c>
      <c r="C7369" s="5">
        <f t="shared" si="3131"/>
        <v>40890</v>
      </c>
      <c r="D7369" s="4" t="s">
        <v>45</v>
      </c>
      <c r="E7369" s="4">
        <v>29.0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2"/>
        <v>40892</v>
      </c>
    </row>
    <row r="7370" ht="12.75" customHeight="1">
      <c r="A7370" s="4">
        <v>409.0</v>
      </c>
      <c r="B7370" s="4">
        <v>2790.0</v>
      </c>
      <c r="C7370" s="5">
        <f t="shared" ref="C7370:C7373" si="3133">DATE(2012,12,31)-1231</f>
        <v>40043</v>
      </c>
      <c r="D7370" s="4" t="s">
        <v>30</v>
      </c>
      <c r="E7370" s="4">
        <v>7.0</v>
      </c>
      <c r="F7370" s="4">
        <v>45.91</v>
      </c>
      <c r="G7370" s="4">
        <v>0.01</v>
      </c>
      <c r="H7370" s="4" t="s">
        <v>22</v>
      </c>
      <c r="I7370" s="6">
        <v>-35.535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ht="12.75" customHeight="1">
      <c r="A7371" s="4">
        <v>410.0</v>
      </c>
      <c r="B7371" s="4">
        <v>2790.0</v>
      </c>
      <c r="C7371" s="5">
        <f t="shared" si="3133"/>
        <v>40043</v>
      </c>
      <c r="D7371" s="4" t="s">
        <v>30</v>
      </c>
      <c r="E7371" s="4">
        <v>41.0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49.0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ht="12.75" customHeight="1">
      <c r="A7372" s="4">
        <v>411.0</v>
      </c>
      <c r="B7372" s="4">
        <v>2790.0</v>
      </c>
      <c r="C7372" s="5">
        <f t="shared" si="3133"/>
        <v>40043</v>
      </c>
      <c r="D7372" s="4" t="s">
        <v>30</v>
      </c>
      <c r="E7372" s="4">
        <v>15.0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ht="12.75" customHeight="1">
      <c r="A7373" s="4">
        <v>412.0</v>
      </c>
      <c r="B7373" s="4">
        <v>2790.0</v>
      </c>
      <c r="C7373" s="5">
        <f t="shared" si="3133"/>
        <v>40043</v>
      </c>
      <c r="D7373" s="4" t="s">
        <v>30</v>
      </c>
      <c r="E7373" s="4">
        <v>15.0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0.57</v>
      </c>
      <c r="U7373" s="5">
        <f t="shared" ref="U7373:U7375" si="3134">C7373+2</f>
        <v>40045</v>
      </c>
    </row>
    <row r="7374" ht="12.75" customHeight="1">
      <c r="A7374" s="4">
        <v>490.0</v>
      </c>
      <c r="B7374" s="4">
        <v>3395.0</v>
      </c>
      <c r="C7374" s="5">
        <f t="shared" ref="C7374:C7377" si="3135">DATE(2012,12,31)-1159</f>
        <v>40115</v>
      </c>
      <c r="D7374" s="4" t="s">
        <v>45</v>
      </c>
      <c r="E7374" s="4">
        <v>31.0</v>
      </c>
      <c r="F7374" s="4">
        <v>181.17</v>
      </c>
      <c r="G7374" s="4">
        <v>0.06</v>
      </c>
      <c r="H7374" s="4" t="s">
        <v>56</v>
      </c>
      <c r="I7374" s="6">
        <v>-59.8805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4"/>
        <v>40117</v>
      </c>
    </row>
    <row r="7375" ht="12.75" customHeight="1">
      <c r="A7375" s="4">
        <v>491.0</v>
      </c>
      <c r="B7375" s="4">
        <v>3395.0</v>
      </c>
      <c r="C7375" s="5">
        <f t="shared" si="3135"/>
        <v>40115</v>
      </c>
      <c r="D7375" s="4" t="s">
        <v>45</v>
      </c>
      <c r="E7375" s="4">
        <v>1.0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4"/>
        <v>40117</v>
      </c>
    </row>
    <row r="7376" ht="12.75" customHeight="1">
      <c r="A7376" s="4">
        <v>492.0</v>
      </c>
      <c r="B7376" s="4">
        <v>3395.0</v>
      </c>
      <c r="C7376" s="5">
        <f t="shared" si="3135"/>
        <v>40115</v>
      </c>
      <c r="D7376" s="4" t="s">
        <v>45</v>
      </c>
      <c r="E7376" s="4">
        <v>7.0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6">C7376+1</f>
        <v>40116</v>
      </c>
    </row>
    <row r="7377" ht="12.75" customHeight="1">
      <c r="A7377" s="4">
        <v>493.0</v>
      </c>
      <c r="B7377" s="4">
        <v>3395.0</v>
      </c>
      <c r="C7377" s="5">
        <f t="shared" si="3135"/>
        <v>40115</v>
      </c>
      <c r="D7377" s="4" t="s">
        <v>45</v>
      </c>
      <c r="E7377" s="4">
        <v>29.0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6"/>
        <v>40116</v>
      </c>
    </row>
    <row r="7378" ht="12.75" customHeight="1">
      <c r="A7378" s="4">
        <v>575.0</v>
      </c>
      <c r="B7378" s="4">
        <v>3907.0</v>
      </c>
      <c r="C7378" s="5">
        <f t="shared" ref="C7378:C7379" si="3137">DATE(2012,12,31)-135</f>
        <v>41139</v>
      </c>
      <c r="D7378" s="4" t="s">
        <v>63</v>
      </c>
      <c r="E7378" s="4">
        <v>34.0</v>
      </c>
      <c r="F7378" s="4">
        <v>729.83</v>
      </c>
      <c r="G7378" s="4">
        <v>0.07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ht="12.75" customHeight="1">
      <c r="A7379" s="4">
        <v>576.0</v>
      </c>
      <c r="B7379" s="4">
        <v>3907.0</v>
      </c>
      <c r="C7379" s="5">
        <f t="shared" si="3137"/>
        <v>41139</v>
      </c>
      <c r="D7379" s="4" t="s">
        <v>63</v>
      </c>
      <c r="E7379" s="4">
        <v>36.0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ht="12.75" customHeight="1">
      <c r="A7380" s="4">
        <v>613.0</v>
      </c>
      <c r="B7380" s="4">
        <v>4195.0</v>
      </c>
      <c r="C7380" s="5">
        <f>DATE(2012,12,31)-948</f>
        <v>40326</v>
      </c>
      <c r="D7380" s="4" t="s">
        <v>45</v>
      </c>
      <c r="E7380" s="4">
        <v>30.0</v>
      </c>
      <c r="F7380" s="4">
        <v>255.74</v>
      </c>
      <c r="G7380" s="4">
        <v>0.07</v>
      </c>
      <c r="H7380" s="4" t="s">
        <v>22</v>
      </c>
      <c r="I7380" s="6">
        <v>37.09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8">C7380+2</f>
        <v>40328</v>
      </c>
    </row>
    <row r="7381" ht="12.75" customHeight="1">
      <c r="A7381" s="4">
        <v>631.0</v>
      </c>
      <c r="B7381" s="4">
        <v>4391.0</v>
      </c>
      <c r="C7381" s="5">
        <f>DATE(2012,12,31)-318</f>
        <v>40956</v>
      </c>
      <c r="D7381" s="4" t="s">
        <v>30</v>
      </c>
      <c r="E7381" s="4">
        <v>20.0</v>
      </c>
      <c r="F7381" s="4">
        <v>2592.432</v>
      </c>
      <c r="G7381" s="4">
        <v>0.06</v>
      </c>
      <c r="H7381" s="4" t="s">
        <v>22</v>
      </c>
      <c r="I7381" s="6">
        <v>428.472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</v>
      </c>
      <c r="U7381" s="5">
        <f t="shared" si="3138"/>
        <v>40958</v>
      </c>
    </row>
    <row r="7382" ht="12.75" customHeight="1">
      <c r="A7382" s="4">
        <v>633.0</v>
      </c>
      <c r="B7382" s="4">
        <v>4422.0</v>
      </c>
      <c r="C7382" s="5">
        <f t="shared" ref="C7382:C7383" si="3139">DATE(2012,12,31)-590</f>
        <v>40684</v>
      </c>
      <c r="D7382" s="4" t="s">
        <v>63</v>
      </c>
      <c r="E7382" s="4">
        <v>12.0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40">C7382+0</f>
        <v>40684</v>
      </c>
    </row>
    <row r="7383" ht="12.75" customHeight="1">
      <c r="A7383" s="4">
        <v>634.0</v>
      </c>
      <c r="B7383" s="4">
        <v>4422.0</v>
      </c>
      <c r="C7383" s="5">
        <f t="shared" si="3139"/>
        <v>40684</v>
      </c>
      <c r="D7383" s="4" t="s">
        <v>63</v>
      </c>
      <c r="E7383" s="4">
        <v>17.0</v>
      </c>
      <c r="F7383" s="4">
        <v>390.11</v>
      </c>
      <c r="G7383" s="4">
        <v>0.02</v>
      </c>
      <c r="H7383" s="4" t="s">
        <v>22</v>
      </c>
      <c r="I7383" s="6">
        <v>-19.92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40"/>
        <v>40684</v>
      </c>
    </row>
    <row r="7384" ht="12.75" customHeight="1">
      <c r="A7384" s="4">
        <v>679.0</v>
      </c>
      <c r="B7384" s="4">
        <v>4741.0</v>
      </c>
      <c r="C7384" s="5">
        <f>DATE(2012,12,31)-178</f>
        <v>41096</v>
      </c>
      <c r="D7384" s="4" t="s">
        <v>45</v>
      </c>
      <c r="E7384" s="4">
        <v>40.0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8.54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ht="12.75" customHeight="1">
      <c r="A7385" s="4">
        <v>693.0</v>
      </c>
      <c r="B7385" s="4">
        <v>4835.0</v>
      </c>
      <c r="C7385" s="5">
        <f>DATE(2012,12,31)-1164</f>
        <v>40110</v>
      </c>
      <c r="D7385" s="4" t="s">
        <v>78</v>
      </c>
      <c r="E7385" s="4">
        <v>3.0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ht="12.75" customHeight="1">
      <c r="A7386" s="4">
        <v>711.0</v>
      </c>
      <c r="B7386" s="4">
        <v>5028.0</v>
      </c>
      <c r="C7386" s="5">
        <f>DATE(2012,12,31)-259</f>
        <v>41015</v>
      </c>
      <c r="D7386" s="4" t="s">
        <v>30</v>
      </c>
      <c r="E7386" s="4">
        <v>10.0</v>
      </c>
      <c r="F7386" s="4">
        <v>79.68</v>
      </c>
      <c r="G7386" s="4">
        <v>0.06</v>
      </c>
      <c r="H7386" s="4" t="s">
        <v>22</v>
      </c>
      <c r="I7386" s="6">
        <v>18.24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ht="12.75" customHeight="1">
      <c r="A7387" s="4">
        <v>717.0</v>
      </c>
      <c r="B7387" s="4">
        <v>5095.0</v>
      </c>
      <c r="C7387" s="5">
        <f>DATE(2012,12,31)-254</f>
        <v>41020</v>
      </c>
      <c r="D7387" s="4" t="s">
        <v>30</v>
      </c>
      <c r="E7387" s="4">
        <v>7.0</v>
      </c>
      <c r="F7387" s="4">
        <v>786.675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ht="12.75" customHeight="1">
      <c r="A7388" s="4">
        <v>736.0</v>
      </c>
      <c r="B7388" s="4">
        <v>5317.0</v>
      </c>
      <c r="C7388" s="5">
        <f t="shared" ref="C7388:C7390" si="3141">DATE(2012,12,31)-1210</f>
        <v>40064</v>
      </c>
      <c r="D7388" s="4" t="s">
        <v>21</v>
      </c>
      <c r="E7388" s="4">
        <v>38.0</v>
      </c>
      <c r="F7388" s="4">
        <v>212.57</v>
      </c>
      <c r="G7388" s="4">
        <v>0.09</v>
      </c>
      <c r="H7388" s="4" t="s">
        <v>56</v>
      </c>
      <c r="I7388" s="6">
        <v>9.486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2">C7388+7</f>
        <v>40071</v>
      </c>
    </row>
    <row r="7389" ht="12.75" customHeight="1">
      <c r="A7389" s="4">
        <v>737.0</v>
      </c>
      <c r="B7389" s="4">
        <v>5317.0</v>
      </c>
      <c r="C7389" s="5">
        <f t="shared" si="3141"/>
        <v>40064</v>
      </c>
      <c r="D7389" s="4" t="s">
        <v>21</v>
      </c>
      <c r="E7389" s="4">
        <v>10.0</v>
      </c>
      <c r="F7389" s="4">
        <v>1469.48</v>
      </c>
      <c r="G7389" s="4">
        <v>0.07</v>
      </c>
      <c r="H7389" s="4" t="s">
        <v>31</v>
      </c>
      <c r="I7389" s="6">
        <v>-263.65</v>
      </c>
      <c r="J7389" s="4">
        <v>140.98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2"/>
        <v>40071</v>
      </c>
    </row>
    <row r="7390" ht="12.75" customHeight="1">
      <c r="A7390" s="4">
        <v>738.0</v>
      </c>
      <c r="B7390" s="4">
        <v>5317.0</v>
      </c>
      <c r="C7390" s="5">
        <f t="shared" si="3141"/>
        <v>40064</v>
      </c>
      <c r="D7390" s="4" t="s">
        <v>21</v>
      </c>
      <c r="E7390" s="4">
        <v>25.0</v>
      </c>
      <c r="F7390" s="4">
        <v>4279.24</v>
      </c>
      <c r="G7390" s="4">
        <v>0.06</v>
      </c>
      <c r="H7390" s="4" t="s">
        <v>22</v>
      </c>
      <c r="I7390" s="6">
        <v>890.181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</v>
      </c>
      <c r="U7390" s="5">
        <f t="shared" si="3142"/>
        <v>40071</v>
      </c>
    </row>
    <row r="7391" ht="12.75" customHeight="1">
      <c r="A7391" s="4">
        <v>801.0</v>
      </c>
      <c r="B7391" s="4">
        <v>5735.0</v>
      </c>
      <c r="C7391" s="5">
        <f>DATE(2012,12,31)-1117</f>
        <v>40157</v>
      </c>
      <c r="D7391" s="4" t="s">
        <v>63</v>
      </c>
      <c r="E7391" s="4">
        <v>10.0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ht="12.75" customHeight="1">
      <c r="A7392" s="4">
        <v>810.0</v>
      </c>
      <c r="B7392" s="4">
        <v>5856.0</v>
      </c>
      <c r="C7392" s="5">
        <f>DATE(2012,12,31)-1152</f>
        <v>40122</v>
      </c>
      <c r="D7392" s="4" t="s">
        <v>30</v>
      </c>
      <c r="E7392" s="4">
        <v>42.0</v>
      </c>
      <c r="F7392" s="4">
        <v>10307.01</v>
      </c>
      <c r="G7392" s="4">
        <v>0.0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3">C7392+2</f>
        <v>40124</v>
      </c>
    </row>
    <row r="7393" ht="12.75" customHeight="1">
      <c r="A7393" s="4">
        <v>816.0</v>
      </c>
      <c r="B7393" s="4">
        <v>5891.0</v>
      </c>
      <c r="C7393" s="5">
        <f>DATE(2012,12,31)-3</f>
        <v>41271</v>
      </c>
      <c r="D7393" s="4" t="s">
        <v>63</v>
      </c>
      <c r="E7393" s="4">
        <v>2.0</v>
      </c>
      <c r="F7393" s="4">
        <v>44.45</v>
      </c>
      <c r="G7393" s="4">
        <v>0.01</v>
      </c>
      <c r="H7393" s="4" t="s">
        <v>22</v>
      </c>
      <c r="I7393" s="6">
        <v>-17.457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3"/>
        <v>41273</v>
      </c>
    </row>
    <row r="7394" ht="12.75" customHeight="1">
      <c r="A7394" s="4">
        <v>875.0</v>
      </c>
      <c r="B7394" s="4">
        <v>6274.0</v>
      </c>
      <c r="C7394" s="5">
        <f>DATE(2012,12,31)-536</f>
        <v>40738</v>
      </c>
      <c r="D7394" s="4" t="s">
        <v>45</v>
      </c>
      <c r="E7394" s="4">
        <v>22.0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4">C7394+1</f>
        <v>40739</v>
      </c>
    </row>
    <row r="7395" ht="12.75" customHeight="1">
      <c r="A7395" s="4">
        <v>878.0</v>
      </c>
      <c r="B7395" s="4">
        <v>6309.0</v>
      </c>
      <c r="C7395" s="5">
        <f>DATE(2012,12,31)-936</f>
        <v>40338</v>
      </c>
      <c r="D7395" s="4" t="s">
        <v>63</v>
      </c>
      <c r="E7395" s="4">
        <v>10.0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4"/>
        <v>40339</v>
      </c>
    </row>
    <row r="7396" ht="12.75" customHeight="1">
      <c r="A7396" s="4">
        <v>885.0</v>
      </c>
      <c r="B7396" s="4">
        <v>6368.0</v>
      </c>
      <c r="C7396" s="5">
        <f>DATE(2012,12,31)-1408</f>
        <v>39866</v>
      </c>
      <c r="D7396" s="4" t="s">
        <v>45</v>
      </c>
      <c r="E7396" s="4">
        <v>40.0</v>
      </c>
      <c r="F7396" s="4">
        <v>19100.45</v>
      </c>
      <c r="G7396" s="4">
        <v>0.0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</v>
      </c>
      <c r="U7396" s="5">
        <f>C7396+0</f>
        <v>39866</v>
      </c>
    </row>
    <row r="7397" ht="12.75" customHeight="1">
      <c r="A7397" s="4">
        <v>961.0</v>
      </c>
      <c r="B7397" s="4">
        <v>6978.0</v>
      </c>
      <c r="C7397" s="5">
        <f>DATE(2012,12,31)-753</f>
        <v>40521</v>
      </c>
      <c r="D7397" s="4" t="s">
        <v>30</v>
      </c>
      <c r="E7397" s="4">
        <v>47.0</v>
      </c>
      <c r="F7397" s="4">
        <v>371.95</v>
      </c>
      <c r="G7397" s="4">
        <v>0.07</v>
      </c>
      <c r="H7397" s="4" t="s">
        <v>22</v>
      </c>
      <c r="I7397" s="6">
        <v>-87.4</v>
      </c>
      <c r="J7397" s="4">
        <v>8.12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ht="12.75" customHeight="1">
      <c r="A7398" s="4">
        <v>1024.0</v>
      </c>
      <c r="B7398" s="4">
        <v>7461.0</v>
      </c>
      <c r="C7398" s="5">
        <f t="shared" ref="C7398:C7400" si="3145">DATE(2012,12,31)-1449</f>
        <v>39825</v>
      </c>
      <c r="D7398" s="4" t="s">
        <v>21</v>
      </c>
      <c r="E7398" s="4">
        <v>12.0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39.0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</v>
      </c>
      <c r="U7398" s="5">
        <f>C7398+2</f>
        <v>39827</v>
      </c>
    </row>
    <row r="7399" ht="12.75" customHeight="1">
      <c r="A7399" s="4">
        <v>1025.0</v>
      </c>
      <c r="B7399" s="4">
        <v>7461.0</v>
      </c>
      <c r="C7399" s="5">
        <f t="shared" si="3145"/>
        <v>39825</v>
      </c>
      <c r="D7399" s="4" t="s">
        <v>21</v>
      </c>
      <c r="E7399" s="4">
        <v>28.0</v>
      </c>
      <c r="F7399" s="4">
        <v>260.79</v>
      </c>
      <c r="G7399" s="4">
        <v>0.0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6">C7399+4</f>
        <v>39829</v>
      </c>
    </row>
    <row r="7400" ht="12.75" customHeight="1">
      <c r="A7400" s="4">
        <v>1026.0</v>
      </c>
      <c r="B7400" s="4">
        <v>7461.0</v>
      </c>
      <c r="C7400" s="5">
        <f t="shared" si="3145"/>
        <v>39825</v>
      </c>
      <c r="D7400" s="4" t="s">
        <v>21</v>
      </c>
      <c r="E7400" s="4">
        <v>44.0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6"/>
        <v>39829</v>
      </c>
    </row>
    <row r="7401" ht="12.75" customHeight="1">
      <c r="A7401" s="4">
        <v>1297.0</v>
      </c>
      <c r="B7401" s="4">
        <v>9505.0</v>
      </c>
      <c r="C7401" s="5">
        <f t="shared" ref="C7401:C7402" si="3147">DATE(2012,12,31)-207</f>
        <v>41067</v>
      </c>
      <c r="D7401" s="4" t="s">
        <v>30</v>
      </c>
      <c r="E7401" s="4">
        <v>2.0</v>
      </c>
      <c r="F7401" s="4">
        <v>316.52</v>
      </c>
      <c r="G7401" s="4">
        <v>0.03</v>
      </c>
      <c r="H7401" s="4" t="s">
        <v>22</v>
      </c>
      <c r="I7401" s="6">
        <v>-542.32</v>
      </c>
      <c r="J7401" s="4">
        <v>152.48</v>
      </c>
      <c r="K7401" s="4">
        <v>4.0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ht="12.75" customHeight="1">
      <c r="A7402" s="4">
        <v>1298.0</v>
      </c>
      <c r="B7402" s="4">
        <v>9505.0</v>
      </c>
      <c r="C7402" s="5">
        <f t="shared" si="3147"/>
        <v>41067</v>
      </c>
      <c r="D7402" s="4" t="s">
        <v>30</v>
      </c>
      <c r="E7402" s="4">
        <v>5.0</v>
      </c>
      <c r="F7402" s="4">
        <v>155.39</v>
      </c>
      <c r="G7402" s="4">
        <v>0.1</v>
      </c>
      <c r="H7402" s="4" t="s">
        <v>22</v>
      </c>
      <c r="I7402" s="6">
        <v>-127.7</v>
      </c>
      <c r="J7402" s="4">
        <v>32.98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ht="12.75" customHeight="1">
      <c r="A7403" s="4">
        <v>1340.0</v>
      </c>
      <c r="B7403" s="4">
        <v>9794.0</v>
      </c>
      <c r="C7403" s="5">
        <f>DATE(2012,12,31)-282</f>
        <v>40992</v>
      </c>
      <c r="D7403" s="4" t="s">
        <v>45</v>
      </c>
      <c r="E7403" s="4">
        <v>25.0</v>
      </c>
      <c r="F7403" s="4">
        <v>135.23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</v>
      </c>
      <c r="U7403" s="5">
        <f>C7403+1</f>
        <v>40993</v>
      </c>
    </row>
    <row r="7404" ht="12.75" customHeight="1">
      <c r="A7404" s="4">
        <v>1400.0</v>
      </c>
      <c r="B7404" s="4">
        <v>10148.0</v>
      </c>
      <c r="C7404" s="5">
        <f>DATE(2012,12,31)-1377</f>
        <v>39897</v>
      </c>
      <c r="D7404" s="4" t="s">
        <v>21</v>
      </c>
      <c r="E7404" s="4">
        <v>27.0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ht="12.75" customHeight="1">
      <c r="A7405" s="4">
        <v>1534.0</v>
      </c>
      <c r="B7405" s="4">
        <v>11045.0</v>
      </c>
      <c r="C7405" s="5">
        <f>DATE(2012,12,31)-281</f>
        <v>40993</v>
      </c>
      <c r="D7405" s="4" t="s">
        <v>63</v>
      </c>
      <c r="E7405" s="4">
        <v>35.0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ht="12.75" customHeight="1">
      <c r="A7406" s="4">
        <v>1537.0</v>
      </c>
      <c r="B7406" s="4">
        <v>11074.0</v>
      </c>
      <c r="C7406" s="5">
        <f t="shared" ref="C7406:C7407" si="3148">DATE(2012,12,31)-571</f>
        <v>40703</v>
      </c>
      <c r="D7406" s="4" t="s">
        <v>30</v>
      </c>
      <c r="E7406" s="4">
        <v>21.0</v>
      </c>
      <c r="F7406" s="4">
        <v>114.53</v>
      </c>
      <c r="G7406" s="4">
        <v>0.07</v>
      </c>
      <c r="H7406" s="4" t="s">
        <v>22</v>
      </c>
      <c r="I7406" s="6">
        <v>-39.23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</v>
      </c>
      <c r="U7406" s="5">
        <f>C7406+2</f>
        <v>40705</v>
      </c>
    </row>
    <row r="7407" ht="12.75" customHeight="1">
      <c r="A7407" s="4">
        <v>1538.0</v>
      </c>
      <c r="B7407" s="4">
        <v>11074.0</v>
      </c>
      <c r="C7407" s="5">
        <f t="shared" si="3148"/>
        <v>40703</v>
      </c>
      <c r="D7407" s="4" t="s">
        <v>30</v>
      </c>
      <c r="E7407" s="4">
        <v>44.0</v>
      </c>
      <c r="F7407" s="4">
        <v>7164.7435000000005</v>
      </c>
      <c r="G7407" s="4">
        <v>0.07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ht="12.75" customHeight="1">
      <c r="A7408" s="4">
        <v>1732.0</v>
      </c>
      <c r="B7408" s="4">
        <v>12449.0</v>
      </c>
      <c r="C7408" s="5">
        <f>DATE(2012,12,31)-1065</f>
        <v>40209</v>
      </c>
      <c r="D7408" s="4" t="s">
        <v>63</v>
      </c>
      <c r="E7408" s="4">
        <v>36.0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39.98</v>
      </c>
      <c r="K7408" s="4">
        <v>4.0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ht="12.75" customHeight="1">
      <c r="A7409" s="4">
        <v>2051.0</v>
      </c>
      <c r="B7409" s="4">
        <v>14661.0</v>
      </c>
      <c r="C7409" s="5">
        <f>DATE(2012,12,31)-1072</f>
        <v>40202</v>
      </c>
      <c r="D7409" s="4" t="s">
        <v>45</v>
      </c>
      <c r="E7409" s="4">
        <v>38.0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9">C7409+1</f>
        <v>40203</v>
      </c>
    </row>
    <row r="7410" ht="12.75" customHeight="1">
      <c r="A7410" s="4">
        <v>2143.0</v>
      </c>
      <c r="B7410" s="4">
        <v>15303.0</v>
      </c>
      <c r="C7410" s="5">
        <f t="shared" ref="C7410:C7411" si="3150">DATE(2012,12,31)-840</f>
        <v>40434</v>
      </c>
      <c r="D7410" s="4" t="s">
        <v>78</v>
      </c>
      <c r="E7410" s="4">
        <v>21.0</v>
      </c>
      <c r="F7410" s="4">
        <v>101.13</v>
      </c>
      <c r="G7410" s="4">
        <v>0.02</v>
      </c>
      <c r="H7410" s="4" t="s">
        <v>22</v>
      </c>
      <c r="I7410" s="6">
        <v>-74.405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9"/>
        <v>40435</v>
      </c>
    </row>
    <row r="7411" ht="12.75" customHeight="1">
      <c r="A7411" s="4">
        <v>2144.0</v>
      </c>
      <c r="B7411" s="4">
        <v>15303.0</v>
      </c>
      <c r="C7411" s="5">
        <f t="shared" si="3150"/>
        <v>40434</v>
      </c>
      <c r="D7411" s="4" t="s">
        <v>78</v>
      </c>
      <c r="E7411" s="4">
        <v>18.0</v>
      </c>
      <c r="F7411" s="4">
        <v>526.45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ht="12.75" customHeight="1">
      <c r="A7412" s="4">
        <v>2171.0</v>
      </c>
      <c r="B7412" s="4">
        <v>15622.0</v>
      </c>
      <c r="C7412" s="5">
        <f t="shared" ref="C7412:C7413" si="3151">DATE(2012,12,31)-494</f>
        <v>40780</v>
      </c>
      <c r="D7412" s="4" t="s">
        <v>30</v>
      </c>
      <c r="E7412" s="4">
        <v>34.0</v>
      </c>
      <c r="F7412" s="4">
        <v>8581.25</v>
      </c>
      <c r="G7412" s="4">
        <v>0.0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</v>
      </c>
      <c r="U7412" s="5">
        <f t="shared" ref="U7412:U7413" si="3152">C7412+1</f>
        <v>40781</v>
      </c>
    </row>
    <row r="7413" ht="12.75" customHeight="1">
      <c r="A7413" s="4">
        <v>2172.0</v>
      </c>
      <c r="B7413" s="4">
        <v>15622.0</v>
      </c>
      <c r="C7413" s="5">
        <f t="shared" si="3151"/>
        <v>40780</v>
      </c>
      <c r="D7413" s="4" t="s">
        <v>30</v>
      </c>
      <c r="E7413" s="4">
        <v>21.0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2"/>
        <v>40781</v>
      </c>
    </row>
    <row r="7414" ht="12.75" customHeight="1">
      <c r="A7414" s="4">
        <v>2189.0</v>
      </c>
      <c r="B7414" s="4">
        <v>15778.0</v>
      </c>
      <c r="C7414" s="5">
        <f>DATE(2012,12,31)-970</f>
        <v>40304</v>
      </c>
      <c r="D7414" s="4" t="s">
        <v>30</v>
      </c>
      <c r="E7414" s="4">
        <v>9.0</v>
      </c>
      <c r="F7414" s="4">
        <v>43.23</v>
      </c>
      <c r="G7414" s="4">
        <v>0.0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ht="12.75" customHeight="1">
      <c r="A7415" s="4">
        <v>2239.0</v>
      </c>
      <c r="B7415" s="4">
        <v>16164.0</v>
      </c>
      <c r="C7415" s="5">
        <f t="shared" ref="C7415:C7416" si="3153">DATE(2012,12,31)-363</f>
        <v>40911</v>
      </c>
      <c r="D7415" s="4" t="s">
        <v>21</v>
      </c>
      <c r="E7415" s="4">
        <v>22.0</v>
      </c>
      <c r="F7415" s="4">
        <v>3353.54</v>
      </c>
      <c r="G7415" s="4">
        <v>0.07</v>
      </c>
      <c r="H7415" s="4" t="s">
        <v>22</v>
      </c>
      <c r="I7415" s="6">
        <v>1189.96</v>
      </c>
      <c r="J7415" s="4">
        <v>162.93</v>
      </c>
      <c r="K7415" s="4">
        <v>19.99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ht="12.75" customHeight="1">
      <c r="A7416" s="4">
        <v>2240.0</v>
      </c>
      <c r="B7416" s="4">
        <v>16164.0</v>
      </c>
      <c r="C7416" s="5">
        <f t="shared" si="3153"/>
        <v>40911</v>
      </c>
      <c r="D7416" s="4" t="s">
        <v>21</v>
      </c>
      <c r="E7416" s="4">
        <v>26.0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ht="12.75" customHeight="1">
      <c r="A7417" s="4">
        <v>2245.0</v>
      </c>
      <c r="B7417" s="4">
        <v>16166.0</v>
      </c>
      <c r="C7417" s="5">
        <f>DATE(2012,12,31)-1065</f>
        <v>40209</v>
      </c>
      <c r="D7417" s="4" t="s">
        <v>78</v>
      </c>
      <c r="E7417" s="4">
        <v>36.0</v>
      </c>
      <c r="F7417" s="4">
        <v>78.51</v>
      </c>
      <c r="G7417" s="4">
        <v>0.09</v>
      </c>
      <c r="H7417" s="4" t="s">
        <v>22</v>
      </c>
      <c r="I7417" s="6">
        <v>-10.06</v>
      </c>
      <c r="J7417" s="4">
        <v>2.18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4">C7417+1</f>
        <v>40210</v>
      </c>
    </row>
    <row r="7418" ht="12.75" customHeight="1">
      <c r="A7418" s="4">
        <v>2324.0</v>
      </c>
      <c r="B7418" s="4">
        <v>16768.0</v>
      </c>
      <c r="C7418" s="5">
        <f>DATE(2012,12,31)-1255</f>
        <v>40019</v>
      </c>
      <c r="D7418" s="4" t="s">
        <v>30</v>
      </c>
      <c r="E7418" s="4">
        <v>9.0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4"/>
        <v>40020</v>
      </c>
    </row>
    <row r="7419" ht="12.75" customHeight="1">
      <c r="A7419" s="4">
        <v>2390.0</v>
      </c>
      <c r="B7419" s="4">
        <v>17313.0</v>
      </c>
      <c r="C7419" s="5">
        <f>DATE(2012,12,31)-1334</f>
        <v>39940</v>
      </c>
      <c r="D7419" s="4" t="s">
        <v>30</v>
      </c>
      <c r="E7419" s="4">
        <v>27.0</v>
      </c>
      <c r="F7419" s="4">
        <v>130.49</v>
      </c>
      <c r="G7419" s="4">
        <v>0.07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5">C7419+2</f>
        <v>39942</v>
      </c>
    </row>
    <row r="7420" ht="12.75" customHeight="1">
      <c r="A7420" s="4">
        <v>2409.0</v>
      </c>
      <c r="B7420" s="4">
        <v>17447.0</v>
      </c>
      <c r="C7420" s="5">
        <f>DATE(2012,12,31)-227</f>
        <v>41047</v>
      </c>
      <c r="D7420" s="4" t="s">
        <v>21</v>
      </c>
      <c r="E7420" s="4">
        <v>42.0</v>
      </c>
      <c r="F7420" s="4">
        <v>861.41</v>
      </c>
      <c r="G7420" s="4">
        <v>0.01</v>
      </c>
      <c r="H7420" s="4" t="s">
        <v>22</v>
      </c>
      <c r="I7420" s="6">
        <v>128.0</v>
      </c>
      <c r="J7420" s="4">
        <v>18.97</v>
      </c>
      <c r="K7420" s="4">
        <v>9.54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5"/>
        <v>41049</v>
      </c>
    </row>
    <row r="7421" ht="12.75" customHeight="1">
      <c r="A7421" s="4">
        <v>2493.0</v>
      </c>
      <c r="B7421" s="4">
        <v>18145.0</v>
      </c>
      <c r="C7421" s="5">
        <f>DATE(2012,12,31)-849</f>
        <v>40425</v>
      </c>
      <c r="D7421" s="4" t="s">
        <v>63</v>
      </c>
      <c r="E7421" s="4">
        <v>21.0</v>
      </c>
      <c r="F7421" s="4">
        <v>361.98</v>
      </c>
      <c r="G7421" s="4">
        <v>0.0</v>
      </c>
      <c r="H7421" s="4" t="s">
        <v>22</v>
      </c>
      <c r="I7421" s="6">
        <v>-55.6104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6">C7421+1</f>
        <v>40426</v>
      </c>
    </row>
    <row r="7422" ht="12.75" customHeight="1">
      <c r="A7422" s="4">
        <v>2509.0</v>
      </c>
      <c r="B7422" s="4">
        <v>18215.0</v>
      </c>
      <c r="C7422" s="5">
        <f>DATE(2012,12,31)-834</f>
        <v>40440</v>
      </c>
      <c r="D7422" s="4" t="s">
        <v>63</v>
      </c>
      <c r="E7422" s="4">
        <v>29.0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6"/>
        <v>40441</v>
      </c>
    </row>
    <row r="7423" ht="12.75" customHeight="1">
      <c r="A7423" s="4">
        <v>2581.0</v>
      </c>
      <c r="B7423" s="4">
        <v>18598.0</v>
      </c>
      <c r="C7423" s="5">
        <f t="shared" ref="C7423:C7424" si="3157">DATE(2012,12,31)-878</f>
        <v>40396</v>
      </c>
      <c r="D7423" s="4" t="s">
        <v>78</v>
      </c>
      <c r="E7423" s="4">
        <v>24.0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ht="12.75" customHeight="1">
      <c r="A7424" s="4">
        <v>2582.0</v>
      </c>
      <c r="B7424" s="4">
        <v>18598.0</v>
      </c>
      <c r="C7424" s="5">
        <f t="shared" si="3157"/>
        <v>40396</v>
      </c>
      <c r="D7424" s="4" t="s">
        <v>78</v>
      </c>
      <c r="E7424" s="4">
        <v>46.0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ht="12.75" customHeight="1">
      <c r="A7425" s="4">
        <v>2664.0</v>
      </c>
      <c r="B7425" s="4">
        <v>19234.0</v>
      </c>
      <c r="C7425" s="5">
        <f>DATE(2012,12,31)-1437</f>
        <v>39837</v>
      </c>
      <c r="D7425" s="4" t="s">
        <v>30</v>
      </c>
      <c r="E7425" s="4">
        <v>24.0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ht="12.75" customHeight="1">
      <c r="A7426" s="4">
        <v>2701.0</v>
      </c>
      <c r="B7426" s="4">
        <v>19555.0</v>
      </c>
      <c r="C7426" s="5">
        <f t="shared" ref="C7426:C7427" si="3158">DATE(2012,12,31)-1054</f>
        <v>40220</v>
      </c>
      <c r="D7426" s="4" t="s">
        <v>21</v>
      </c>
      <c r="E7426" s="4">
        <v>36.0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ht="12.75" customHeight="1">
      <c r="A7427" s="4">
        <v>2702.0</v>
      </c>
      <c r="B7427" s="4">
        <v>19555.0</v>
      </c>
      <c r="C7427" s="5">
        <f t="shared" si="3158"/>
        <v>40220</v>
      </c>
      <c r="D7427" s="4" t="s">
        <v>21</v>
      </c>
      <c r="E7427" s="4">
        <v>8.0</v>
      </c>
      <c r="F7427" s="4">
        <v>78.67</v>
      </c>
      <c r="G7427" s="4">
        <v>0.0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ht="12.75" customHeight="1">
      <c r="A7428" s="4">
        <v>2751.0</v>
      </c>
      <c r="B7428" s="4">
        <v>19843.0</v>
      </c>
      <c r="C7428" s="5">
        <f>DATE(2012,12,31)-886</f>
        <v>40388</v>
      </c>
      <c r="D7428" s="4" t="s">
        <v>63</v>
      </c>
      <c r="E7428" s="4">
        <v>33.0</v>
      </c>
      <c r="F7428" s="4">
        <v>4416.651</v>
      </c>
      <c r="G7428" s="4">
        <v>0.02</v>
      </c>
      <c r="H7428" s="4" t="s">
        <v>22</v>
      </c>
      <c r="I7428" s="6">
        <v>1020.411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0.58</v>
      </c>
      <c r="U7428" s="5">
        <f>C7428+0</f>
        <v>40388</v>
      </c>
    </row>
    <row r="7429" ht="12.75" customHeight="1">
      <c r="A7429" s="4">
        <v>2862.0</v>
      </c>
      <c r="B7429" s="4">
        <v>20646.0</v>
      </c>
      <c r="C7429" s="5">
        <f>DATE(2012,12,31)-642</f>
        <v>40632</v>
      </c>
      <c r="D7429" s="4" t="s">
        <v>63</v>
      </c>
      <c r="E7429" s="4">
        <v>41.0</v>
      </c>
      <c r="F7429" s="4">
        <v>1204.0845</v>
      </c>
      <c r="G7429" s="4">
        <v>0.04</v>
      </c>
      <c r="H7429" s="4" t="s">
        <v>22</v>
      </c>
      <c r="I7429" s="6">
        <v>341.955</v>
      </c>
      <c r="J7429" s="4">
        <v>35.99</v>
      </c>
      <c r="K7429" s="4">
        <v>1.1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</v>
      </c>
      <c r="U7429" s="5">
        <f t="shared" ref="U7429:U7431" si="3159">C7429+2</f>
        <v>40634</v>
      </c>
    </row>
    <row r="7430" ht="12.75" customHeight="1">
      <c r="A7430" s="4">
        <v>2928.0</v>
      </c>
      <c r="B7430" s="4">
        <v>21222.0</v>
      </c>
      <c r="C7430" s="5">
        <f t="shared" ref="C7430:C7431" si="3160">DATE(2012,12,31)-1427</f>
        <v>39847</v>
      </c>
      <c r="D7430" s="4" t="s">
        <v>45</v>
      </c>
      <c r="E7430" s="4">
        <v>36.0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9"/>
        <v>39849</v>
      </c>
    </row>
    <row r="7431" ht="12.75" customHeight="1">
      <c r="A7431" s="4">
        <v>2929.0</v>
      </c>
      <c r="B7431" s="4">
        <v>21222.0</v>
      </c>
      <c r="C7431" s="5">
        <f t="shared" si="3160"/>
        <v>39847</v>
      </c>
      <c r="D7431" s="4" t="s">
        <v>45</v>
      </c>
      <c r="E7431" s="4">
        <v>26.0</v>
      </c>
      <c r="F7431" s="4">
        <v>846.0815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5.0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9"/>
        <v>39849</v>
      </c>
    </row>
    <row r="7432" ht="12.75" customHeight="1">
      <c r="A7432" s="4">
        <v>3166.0</v>
      </c>
      <c r="B7432" s="4">
        <v>22755.0</v>
      </c>
      <c r="C7432" s="5">
        <f t="shared" ref="C7432:C7434" si="3161">DATE(2012,12,31)-1372</f>
        <v>39902</v>
      </c>
      <c r="D7432" s="4" t="s">
        <v>63</v>
      </c>
      <c r="E7432" s="4">
        <v>35.0</v>
      </c>
      <c r="F7432" s="4">
        <v>187.84</v>
      </c>
      <c r="G7432" s="4">
        <v>0.0</v>
      </c>
      <c r="H7432" s="4" t="s">
        <v>22</v>
      </c>
      <c r="I7432" s="6">
        <v>-95.0475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ht="12.75" customHeight="1">
      <c r="A7433" s="4">
        <v>3167.0</v>
      </c>
      <c r="B7433" s="4">
        <v>22755.0</v>
      </c>
      <c r="C7433" s="5">
        <f t="shared" si="3161"/>
        <v>39902</v>
      </c>
      <c r="D7433" s="4" t="s">
        <v>63</v>
      </c>
      <c r="E7433" s="4">
        <v>45.0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2">C7433+2</f>
        <v>39904</v>
      </c>
    </row>
    <row r="7434" ht="12.75" customHeight="1">
      <c r="A7434" s="4">
        <v>3168.0</v>
      </c>
      <c r="B7434" s="4">
        <v>22755.0</v>
      </c>
      <c r="C7434" s="5">
        <f t="shared" si="3161"/>
        <v>39902</v>
      </c>
      <c r="D7434" s="4" t="s">
        <v>63</v>
      </c>
      <c r="E7434" s="4">
        <v>5.0</v>
      </c>
      <c r="F7434" s="4">
        <v>236.878</v>
      </c>
      <c r="G7434" s="4">
        <v>0.06</v>
      </c>
      <c r="H7434" s="4" t="s">
        <v>22</v>
      </c>
      <c r="I7434" s="6">
        <v>-275.253</v>
      </c>
      <c r="J7434" s="4">
        <v>55.99</v>
      </c>
      <c r="K7434" s="4">
        <v>5.0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2"/>
        <v>39904</v>
      </c>
    </row>
    <row r="7435" ht="12.75" customHeight="1">
      <c r="A7435" s="4">
        <v>3222.0</v>
      </c>
      <c r="B7435" s="4">
        <v>23136.0</v>
      </c>
      <c r="C7435" s="5">
        <f t="shared" ref="C7435:C7436" si="3163">DATE(2012,12,31)-1193</f>
        <v>40081</v>
      </c>
      <c r="D7435" s="4" t="s">
        <v>45</v>
      </c>
      <c r="E7435" s="4">
        <v>41.0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18.06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0.57</v>
      </c>
      <c r="U7435" s="5">
        <f t="shared" ref="U7435:U7437" si="3164">C7435+1</f>
        <v>40082</v>
      </c>
    </row>
    <row r="7436" ht="12.75" customHeight="1">
      <c r="A7436" s="4">
        <v>3223.0</v>
      </c>
      <c r="B7436" s="4">
        <v>23136.0</v>
      </c>
      <c r="C7436" s="5">
        <f t="shared" si="3163"/>
        <v>40081</v>
      </c>
      <c r="D7436" s="4" t="s">
        <v>45</v>
      </c>
      <c r="E7436" s="4">
        <v>43.0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4"/>
        <v>40082</v>
      </c>
    </row>
    <row r="7437" ht="12.75" customHeight="1">
      <c r="A7437" s="4">
        <v>3316.0</v>
      </c>
      <c r="B7437" s="4">
        <v>23685.0</v>
      </c>
      <c r="C7437" s="5">
        <f>DATE(2012,12,31)-185</f>
        <v>41089</v>
      </c>
      <c r="D7437" s="4" t="s">
        <v>45</v>
      </c>
      <c r="E7437" s="4">
        <v>46.0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5.0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4"/>
        <v>41090</v>
      </c>
    </row>
    <row r="7438" ht="12.75" customHeight="1">
      <c r="A7438" s="4">
        <v>3319.0</v>
      </c>
      <c r="B7438" s="4">
        <v>23745.0</v>
      </c>
      <c r="C7438" s="5">
        <f t="shared" ref="C7438:C7439" si="3165">DATE(2012,12,31)-26</f>
        <v>41248</v>
      </c>
      <c r="D7438" s="4" t="s">
        <v>21</v>
      </c>
      <c r="E7438" s="4">
        <v>12.0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ht="12.75" customHeight="1">
      <c r="A7439" s="4">
        <v>3320.0</v>
      </c>
      <c r="B7439" s="4">
        <v>23745.0</v>
      </c>
      <c r="C7439" s="5">
        <f t="shared" si="3165"/>
        <v>41248</v>
      </c>
      <c r="D7439" s="4" t="s">
        <v>21</v>
      </c>
      <c r="E7439" s="4">
        <v>47.0</v>
      </c>
      <c r="F7439" s="4">
        <v>10941.23</v>
      </c>
      <c r="G7439" s="4">
        <v>0.0</v>
      </c>
      <c r="H7439" s="4" t="s">
        <v>31</v>
      </c>
      <c r="I7439" s="6">
        <v>1687.07</v>
      </c>
      <c r="J7439" s="4">
        <v>227.55</v>
      </c>
      <c r="K7439" s="4">
        <v>32.48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ht="12.75" customHeight="1">
      <c r="A7440" s="4">
        <v>3585.0</v>
      </c>
      <c r="B7440" s="4">
        <v>25571.0</v>
      </c>
      <c r="C7440" s="5">
        <f>DATE(2012,12,31)-135</f>
        <v>41139</v>
      </c>
      <c r="D7440" s="4" t="s">
        <v>78</v>
      </c>
      <c r="E7440" s="4">
        <v>42.0</v>
      </c>
      <c r="F7440" s="4">
        <v>3749.0</v>
      </c>
      <c r="G7440" s="4">
        <v>0.08</v>
      </c>
      <c r="H7440" s="4" t="s">
        <v>22</v>
      </c>
      <c r="I7440" s="6">
        <v>-1032.13</v>
      </c>
      <c r="J7440" s="4">
        <v>89.83</v>
      </c>
      <c r="K7440" s="4">
        <v>35.0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ht="12.75" customHeight="1">
      <c r="A7441" s="4">
        <v>3645.0</v>
      </c>
      <c r="B7441" s="4">
        <v>26053.0</v>
      </c>
      <c r="C7441" s="5">
        <f>DATE(2012,12,31)-342</f>
        <v>40932</v>
      </c>
      <c r="D7441" s="4" t="s">
        <v>21</v>
      </c>
      <c r="E7441" s="4">
        <v>48.0</v>
      </c>
      <c r="F7441" s="4">
        <v>878.75</v>
      </c>
      <c r="G7441" s="4">
        <v>0.07</v>
      </c>
      <c r="H7441" s="4" t="s">
        <v>56</v>
      </c>
      <c r="I7441" s="6">
        <v>70.46</v>
      </c>
      <c r="J7441" s="4">
        <v>18.97</v>
      </c>
      <c r="K7441" s="4">
        <v>9.03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ht="12.75" customHeight="1">
      <c r="A7442" s="4">
        <v>3670.0</v>
      </c>
      <c r="B7442" s="4">
        <v>26277.0</v>
      </c>
      <c r="C7442" s="5">
        <f>DATE(2012,12,31)-553</f>
        <v>40721</v>
      </c>
      <c r="D7442" s="4" t="s">
        <v>63</v>
      </c>
      <c r="E7442" s="4">
        <v>17.0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19.99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6">C7442+1</f>
        <v>40722</v>
      </c>
    </row>
    <row r="7443" ht="12.75" customHeight="1">
      <c r="A7443" s="4">
        <v>3692.0</v>
      </c>
      <c r="B7443" s="4">
        <v>26374.0</v>
      </c>
      <c r="C7443" s="5">
        <f>DATE(2012,12,31)-1152</f>
        <v>40122</v>
      </c>
      <c r="D7443" s="4" t="s">
        <v>45</v>
      </c>
      <c r="E7443" s="4">
        <v>5.0</v>
      </c>
      <c r="F7443" s="4">
        <v>90.94149999999999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6"/>
        <v>40123</v>
      </c>
    </row>
    <row r="7444" ht="12.75" customHeight="1">
      <c r="A7444" s="4">
        <v>3771.0</v>
      </c>
      <c r="B7444" s="4">
        <v>26944.0</v>
      </c>
      <c r="C7444" s="5">
        <f>DATE(2012,12,31)-1150</f>
        <v>40124</v>
      </c>
      <c r="D7444" s="4" t="s">
        <v>78</v>
      </c>
      <c r="E7444" s="4">
        <v>6.0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ht="12.75" customHeight="1">
      <c r="A7445" s="4">
        <v>3791.0</v>
      </c>
      <c r="B7445" s="4">
        <v>27013.0</v>
      </c>
      <c r="C7445" s="5">
        <f t="shared" ref="C7445:C7446" si="3167">DATE(2012,12,31)-1275</f>
        <v>39999</v>
      </c>
      <c r="D7445" s="4" t="s">
        <v>21</v>
      </c>
      <c r="E7445" s="4">
        <v>28.0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35.0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ht="12.75" customHeight="1">
      <c r="A7446" s="4">
        <v>3792.0</v>
      </c>
      <c r="B7446" s="4">
        <v>27013.0</v>
      </c>
      <c r="C7446" s="5">
        <f t="shared" si="3167"/>
        <v>39999</v>
      </c>
      <c r="D7446" s="4" t="s">
        <v>21</v>
      </c>
      <c r="E7446" s="4">
        <v>26.0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35.0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ht="12.75" customHeight="1">
      <c r="A7447" s="4">
        <v>3913.0</v>
      </c>
      <c r="B7447" s="4">
        <v>27904.0</v>
      </c>
      <c r="C7447" s="5">
        <f>DATE(2012,12,31)-485</f>
        <v>40789</v>
      </c>
      <c r="D7447" s="4" t="s">
        <v>30</v>
      </c>
      <c r="E7447" s="4">
        <v>8.0</v>
      </c>
      <c r="F7447" s="4">
        <v>460.5895</v>
      </c>
      <c r="G7447" s="4">
        <v>0.02</v>
      </c>
      <c r="H7447" s="4" t="s">
        <v>22</v>
      </c>
      <c r="I7447" s="6">
        <v>-171.20399999999998</v>
      </c>
      <c r="J7447" s="4">
        <v>65.99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</v>
      </c>
      <c r="U7447" s="5">
        <f>C7447+1</f>
        <v>40790</v>
      </c>
    </row>
    <row r="7448" ht="12.75" customHeight="1">
      <c r="A7448" s="4">
        <v>3925.0</v>
      </c>
      <c r="B7448" s="4">
        <v>27974.0</v>
      </c>
      <c r="C7448" s="5">
        <f>DATE(2012,12,31)-816</f>
        <v>40458</v>
      </c>
      <c r="D7448" s="4" t="s">
        <v>30</v>
      </c>
      <c r="E7448" s="4">
        <v>31.0</v>
      </c>
      <c r="F7448" s="4">
        <v>813.41</v>
      </c>
      <c r="G7448" s="4">
        <v>0.09</v>
      </c>
      <c r="H7448" s="4" t="s">
        <v>56</v>
      </c>
      <c r="I7448" s="6">
        <v>284.65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ht="12.75" customHeight="1">
      <c r="A7449" s="4">
        <v>4192.0</v>
      </c>
      <c r="B7449" s="4">
        <v>29767.0</v>
      </c>
      <c r="C7449" s="5">
        <f>DATE(2012,12,31)-695</f>
        <v>40579</v>
      </c>
      <c r="D7449" s="4" t="s">
        <v>30</v>
      </c>
      <c r="E7449" s="4">
        <v>48.0</v>
      </c>
      <c r="F7449" s="4">
        <v>4153.06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</v>
      </c>
      <c r="U7449" s="5">
        <f t="shared" ref="U7449:U7450" si="3168">C7449+1</f>
        <v>40580</v>
      </c>
    </row>
    <row r="7450" ht="12.75" customHeight="1">
      <c r="A7450" s="4">
        <v>4196.0</v>
      </c>
      <c r="B7450" s="4">
        <v>29826.0</v>
      </c>
      <c r="C7450" s="5">
        <f>DATE(2012,12,31)-1194</f>
        <v>40080</v>
      </c>
      <c r="D7450" s="4" t="s">
        <v>78</v>
      </c>
      <c r="E7450" s="4">
        <v>9.0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4.0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8"/>
        <v>40081</v>
      </c>
    </row>
    <row r="7451" ht="12.75" customHeight="1">
      <c r="A7451" s="4">
        <v>4290.0</v>
      </c>
      <c r="B7451" s="4">
        <v>30566.0</v>
      </c>
      <c r="C7451" s="5">
        <f>DATE(2012,12,31)-549</f>
        <v>40725</v>
      </c>
      <c r="D7451" s="4" t="s">
        <v>21</v>
      </c>
      <c r="E7451" s="4">
        <v>34.0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9.54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ht="12.75" customHeight="1">
      <c r="A7452" s="4">
        <v>4329.0</v>
      </c>
      <c r="B7452" s="4">
        <v>30852.0</v>
      </c>
      <c r="C7452" s="5">
        <f>DATE(2012,12,31)-1327</f>
        <v>39947</v>
      </c>
      <c r="D7452" s="4" t="s">
        <v>78</v>
      </c>
      <c r="E7452" s="4">
        <v>35.0</v>
      </c>
      <c r="F7452" s="4">
        <v>2827.1425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</v>
      </c>
      <c r="U7452" s="5">
        <f>C7452+1</f>
        <v>39948</v>
      </c>
    </row>
    <row r="7453" ht="12.75" customHeight="1">
      <c r="A7453" s="4">
        <v>4379.0</v>
      </c>
      <c r="B7453" s="4">
        <v>31204.0</v>
      </c>
      <c r="C7453" s="5">
        <f t="shared" ref="C7453:C7454" si="3169">DATE(2012,12,31)-863</f>
        <v>40411</v>
      </c>
      <c r="D7453" s="4" t="s">
        <v>21</v>
      </c>
      <c r="E7453" s="4">
        <v>14.0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5.0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ht="12.75" customHeight="1">
      <c r="A7454" s="4">
        <v>4380.0</v>
      </c>
      <c r="B7454" s="4">
        <v>31204.0</v>
      </c>
      <c r="C7454" s="5">
        <f t="shared" si="3169"/>
        <v>40411</v>
      </c>
      <c r="D7454" s="4" t="s">
        <v>21</v>
      </c>
      <c r="E7454" s="4">
        <v>8.0</v>
      </c>
      <c r="F7454" s="4">
        <v>10.46</v>
      </c>
      <c r="G7454" s="4">
        <v>0.0</v>
      </c>
      <c r="H7454" s="4" t="s">
        <v>22</v>
      </c>
      <c r="I7454" s="6">
        <v>-0.89</v>
      </c>
      <c r="J7454" s="4">
        <v>1.14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ht="12.75" customHeight="1">
      <c r="A7455" s="4">
        <v>4567.0</v>
      </c>
      <c r="B7455" s="4">
        <v>32513.0</v>
      </c>
      <c r="C7455" s="5">
        <f t="shared" ref="C7455:C7456" si="3170">DATE(2012,12,31)-333</f>
        <v>40941</v>
      </c>
      <c r="D7455" s="4" t="s">
        <v>21</v>
      </c>
      <c r="E7455" s="4">
        <v>23.0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19.99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1">C7455+5</f>
        <v>40946</v>
      </c>
    </row>
    <row r="7456" ht="12.75" customHeight="1">
      <c r="A7456" s="4">
        <v>4568.0</v>
      </c>
      <c r="B7456" s="4">
        <v>32513.0</v>
      </c>
      <c r="C7456" s="5">
        <f t="shared" si="3170"/>
        <v>40941</v>
      </c>
      <c r="D7456" s="4" t="s">
        <v>21</v>
      </c>
      <c r="E7456" s="4">
        <v>40.0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1"/>
        <v>40946</v>
      </c>
    </row>
    <row r="7457" ht="12.75" customHeight="1">
      <c r="A7457" s="4">
        <v>4589.0</v>
      </c>
      <c r="B7457" s="4">
        <v>32641.0</v>
      </c>
      <c r="C7457" s="5">
        <f>DATE(2012,12,31)-1016</f>
        <v>40258</v>
      </c>
      <c r="D7457" s="4" t="s">
        <v>30</v>
      </c>
      <c r="E7457" s="4">
        <v>18.0</v>
      </c>
      <c r="F7457" s="4">
        <v>167.53</v>
      </c>
      <c r="G7457" s="4">
        <v>0.05</v>
      </c>
      <c r="H7457" s="4" t="s">
        <v>22</v>
      </c>
      <c r="I7457" s="6">
        <v>-9.568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2">C7457+1</f>
        <v>40259</v>
      </c>
    </row>
    <row r="7458" ht="12.75" customHeight="1">
      <c r="A7458" s="4">
        <v>4741.0</v>
      </c>
      <c r="B7458" s="4">
        <v>33729.0</v>
      </c>
      <c r="C7458" s="5">
        <f>DATE(2012,12,31)-103</f>
        <v>41171</v>
      </c>
      <c r="D7458" s="4" t="s">
        <v>45</v>
      </c>
      <c r="E7458" s="4">
        <v>26.0</v>
      </c>
      <c r="F7458" s="4">
        <v>6995.56</v>
      </c>
      <c r="G7458" s="4">
        <v>0.07</v>
      </c>
      <c r="H7458" s="4" t="s">
        <v>22</v>
      </c>
      <c r="I7458" s="6">
        <v>-286.58</v>
      </c>
      <c r="J7458" s="4">
        <v>279.48</v>
      </c>
      <c r="K7458" s="4">
        <v>35.0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2"/>
        <v>41172</v>
      </c>
    </row>
    <row r="7459" ht="12.75" customHeight="1">
      <c r="A7459" s="4">
        <v>4796.0</v>
      </c>
      <c r="B7459" s="4">
        <v>34083.0</v>
      </c>
      <c r="C7459" s="5">
        <f>DATE(2012,12,31)-330</f>
        <v>40944</v>
      </c>
      <c r="D7459" s="4" t="s">
        <v>45</v>
      </c>
      <c r="E7459" s="4">
        <v>29.0</v>
      </c>
      <c r="F7459" s="4">
        <v>1415.1480000000001</v>
      </c>
      <c r="G7459" s="4">
        <v>0.02</v>
      </c>
      <c r="H7459" s="4" t="s">
        <v>56</v>
      </c>
      <c r="I7459" s="6">
        <v>-64.944</v>
      </c>
      <c r="J7459" s="4">
        <v>55.99</v>
      </c>
      <c r="K7459" s="4">
        <v>5.0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ht="12.75" customHeight="1">
      <c r="A7460" s="4">
        <v>4824.0</v>
      </c>
      <c r="B7460" s="4">
        <v>34275.0</v>
      </c>
      <c r="C7460" s="5">
        <f>DATE(2012,12,31)-1279</f>
        <v>39995</v>
      </c>
      <c r="D7460" s="4" t="s">
        <v>21</v>
      </c>
      <c r="E7460" s="4">
        <v>3.0</v>
      </c>
      <c r="F7460" s="4">
        <v>6041.01</v>
      </c>
      <c r="G7460" s="4">
        <v>0.04</v>
      </c>
      <c r="H7460" s="4" t="s">
        <v>31</v>
      </c>
      <c r="I7460" s="6">
        <v>-4793.004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</v>
      </c>
      <c r="U7460" s="5">
        <f>C7460+5</f>
        <v>40000</v>
      </c>
    </row>
    <row r="7461" ht="12.75" customHeight="1">
      <c r="A7461" s="4">
        <v>4854.0</v>
      </c>
      <c r="B7461" s="4">
        <v>34532.0</v>
      </c>
      <c r="C7461" s="5">
        <f>DATE(2012,12,31)-20</f>
        <v>41254</v>
      </c>
      <c r="D7461" s="4" t="s">
        <v>21</v>
      </c>
      <c r="E7461" s="4">
        <v>41.0</v>
      </c>
      <c r="F7461" s="4">
        <v>1234.36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ht="12.75" customHeight="1">
      <c r="A7462" s="4">
        <v>4942.0</v>
      </c>
      <c r="B7462" s="4">
        <v>35139.0</v>
      </c>
      <c r="C7462" s="5">
        <f t="shared" ref="C7462:C7464" si="3173">DATE(2012,12,31)-1078</f>
        <v>40196</v>
      </c>
      <c r="D7462" s="4" t="s">
        <v>30</v>
      </c>
      <c r="E7462" s="4">
        <v>3.0</v>
      </c>
      <c r="F7462" s="4">
        <v>10380.34</v>
      </c>
      <c r="G7462" s="4">
        <v>0.05</v>
      </c>
      <c r="H7462" s="4" t="s">
        <v>31</v>
      </c>
      <c r="I7462" s="6">
        <v>-8389.4709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0.57</v>
      </c>
      <c r="U7462" s="5">
        <f>C7462+1</f>
        <v>40197</v>
      </c>
    </row>
    <row r="7463" ht="12.75" customHeight="1">
      <c r="A7463" s="4">
        <v>4943.0</v>
      </c>
      <c r="B7463" s="4">
        <v>35139.0</v>
      </c>
      <c r="C7463" s="5">
        <f t="shared" si="3173"/>
        <v>40196</v>
      </c>
      <c r="D7463" s="4" t="s">
        <v>30</v>
      </c>
      <c r="E7463" s="4">
        <v>25.0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</v>
      </c>
      <c r="U7463" s="5">
        <f t="shared" ref="U7463:U7464" si="3174">C7463+2</f>
        <v>40198</v>
      </c>
    </row>
    <row r="7464" ht="12.75" customHeight="1">
      <c r="A7464" s="4">
        <v>4944.0</v>
      </c>
      <c r="B7464" s="4">
        <v>35139.0</v>
      </c>
      <c r="C7464" s="5">
        <f t="shared" si="3173"/>
        <v>40196</v>
      </c>
      <c r="D7464" s="4" t="s">
        <v>30</v>
      </c>
      <c r="E7464" s="4">
        <v>32.0</v>
      </c>
      <c r="F7464" s="4">
        <v>389.98</v>
      </c>
      <c r="G7464" s="4">
        <v>0.07</v>
      </c>
      <c r="H7464" s="4" t="s">
        <v>22</v>
      </c>
      <c r="I7464" s="6">
        <v>-14.98</v>
      </c>
      <c r="J7464" s="4">
        <v>12.21</v>
      </c>
      <c r="K7464" s="4">
        <v>4.81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0.58</v>
      </c>
      <c r="U7464" s="5">
        <f t="shared" si="3174"/>
        <v>40198</v>
      </c>
    </row>
    <row r="7465" ht="12.75" customHeight="1">
      <c r="A7465" s="4">
        <v>4952.0</v>
      </c>
      <c r="B7465" s="4">
        <v>35239.0</v>
      </c>
      <c r="C7465" s="5">
        <f t="shared" ref="C7465:C7466" si="3175">DATE(2012,12,31)-415</f>
        <v>40859</v>
      </c>
      <c r="D7465" s="4" t="s">
        <v>78</v>
      </c>
      <c r="E7465" s="4">
        <v>21.0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ht="12.75" customHeight="1">
      <c r="A7466" s="4">
        <v>4953.0</v>
      </c>
      <c r="B7466" s="4">
        <v>35239.0</v>
      </c>
      <c r="C7466" s="5">
        <f t="shared" si="3175"/>
        <v>40859</v>
      </c>
      <c r="D7466" s="4" t="s">
        <v>78</v>
      </c>
      <c r="E7466" s="4">
        <v>38.0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0.57</v>
      </c>
      <c r="U7466" s="5">
        <f>C7466+2</f>
        <v>40861</v>
      </c>
    </row>
    <row r="7467" ht="12.75" customHeight="1">
      <c r="A7467" s="4">
        <v>5032.0</v>
      </c>
      <c r="B7467" s="4">
        <v>35875.0</v>
      </c>
      <c r="C7467" s="5">
        <f>DATE(2012,12,31)-566</f>
        <v>40708</v>
      </c>
      <c r="D7467" s="4" t="s">
        <v>30</v>
      </c>
      <c r="E7467" s="4">
        <v>31.0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0.57</v>
      </c>
      <c r="U7467" s="5">
        <f>C7467+0</f>
        <v>40708</v>
      </c>
    </row>
    <row r="7468" ht="12.75" customHeight="1">
      <c r="A7468" s="4">
        <v>5217.0</v>
      </c>
      <c r="B7468" s="4">
        <v>37125.0</v>
      </c>
      <c r="C7468" s="5">
        <f>DATE(2012,12,31)-1082</f>
        <v>40192</v>
      </c>
      <c r="D7468" s="4" t="s">
        <v>30</v>
      </c>
      <c r="E7468" s="4">
        <v>46.0</v>
      </c>
      <c r="F7468" s="4">
        <v>72.18</v>
      </c>
      <c r="G7468" s="4">
        <v>0.0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ht="12.75" customHeight="1">
      <c r="A7469" s="4">
        <v>5222.0</v>
      </c>
      <c r="B7469" s="4">
        <v>37158.0</v>
      </c>
      <c r="C7469" s="5">
        <f>DATE(2012,12,31)-100</f>
        <v>41174</v>
      </c>
      <c r="D7469" s="4" t="s">
        <v>21</v>
      </c>
      <c r="E7469" s="4">
        <v>25.0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ht="12.75" customHeight="1">
      <c r="A7470" s="4">
        <v>5252.0</v>
      </c>
      <c r="B7470" s="4">
        <v>37380.0</v>
      </c>
      <c r="C7470" s="5">
        <f t="shared" ref="C7470:C7472" si="3176">DATE(2012,12,31)-640</f>
        <v>40634</v>
      </c>
      <c r="D7470" s="4" t="s">
        <v>78</v>
      </c>
      <c r="E7470" s="4">
        <v>29.0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7">C7470+1</f>
        <v>40635</v>
      </c>
    </row>
    <row r="7471" ht="12.75" customHeight="1">
      <c r="A7471" s="4">
        <v>5253.0</v>
      </c>
      <c r="B7471" s="4">
        <v>37380.0</v>
      </c>
      <c r="C7471" s="5">
        <f t="shared" si="3176"/>
        <v>40634</v>
      </c>
      <c r="D7471" s="4" t="s">
        <v>78</v>
      </c>
      <c r="E7471" s="4">
        <v>47.0</v>
      </c>
      <c r="F7471" s="4">
        <v>507.18</v>
      </c>
      <c r="G7471" s="4">
        <v>0.0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7"/>
        <v>40635</v>
      </c>
    </row>
    <row r="7472" ht="12.75" customHeight="1">
      <c r="A7472" s="4">
        <v>5254.0</v>
      </c>
      <c r="B7472" s="4">
        <v>37380.0</v>
      </c>
      <c r="C7472" s="5">
        <f t="shared" si="3176"/>
        <v>40634</v>
      </c>
      <c r="D7472" s="4" t="s">
        <v>78</v>
      </c>
      <c r="E7472" s="4">
        <v>42.0</v>
      </c>
      <c r="F7472" s="4">
        <v>151.19</v>
      </c>
      <c r="G7472" s="4">
        <v>0.07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7"/>
        <v>40635</v>
      </c>
    </row>
    <row r="7473" ht="12.75" customHeight="1">
      <c r="A7473" s="4">
        <v>5264.0</v>
      </c>
      <c r="B7473" s="4">
        <v>37445.0</v>
      </c>
      <c r="C7473" s="5">
        <f>DATE(2012,12,31)-317</f>
        <v>40957</v>
      </c>
      <c r="D7473" s="4" t="s">
        <v>30</v>
      </c>
      <c r="E7473" s="4">
        <v>37.0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0.57</v>
      </c>
      <c r="U7473" s="5">
        <f t="shared" si="3177"/>
        <v>40958</v>
      </c>
    </row>
    <row r="7474" ht="12.75" customHeight="1">
      <c r="A7474" s="4">
        <v>5373.0</v>
      </c>
      <c r="B7474" s="4">
        <v>38212.0</v>
      </c>
      <c r="C7474" s="5">
        <f t="shared" ref="C7474:C7476" si="3178">DATE(2012,12,31)-637</f>
        <v>40637</v>
      </c>
      <c r="D7474" s="4" t="s">
        <v>63</v>
      </c>
      <c r="E7474" s="4">
        <v>24.0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7"/>
        <v>40638</v>
      </c>
    </row>
    <row r="7475" ht="12.75" customHeight="1">
      <c r="A7475" s="4">
        <v>5374.0</v>
      </c>
      <c r="B7475" s="4">
        <v>38212.0</v>
      </c>
      <c r="C7475" s="5">
        <f t="shared" si="3178"/>
        <v>40637</v>
      </c>
      <c r="D7475" s="4" t="s">
        <v>63</v>
      </c>
      <c r="E7475" s="4">
        <v>46.0</v>
      </c>
      <c r="F7475" s="4">
        <v>3533.97</v>
      </c>
      <c r="G7475" s="4">
        <v>0.07</v>
      </c>
      <c r="H7475" s="4" t="s">
        <v>22</v>
      </c>
      <c r="I7475" s="6">
        <v>-1329.81</v>
      </c>
      <c r="J7475" s="4">
        <v>80.98</v>
      </c>
      <c r="K7475" s="4">
        <v>35.0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9">C7475+2</f>
        <v>40639</v>
      </c>
    </row>
    <row r="7476" ht="12.75" customHeight="1">
      <c r="A7476" s="4">
        <v>5375.0</v>
      </c>
      <c r="B7476" s="4">
        <v>38212.0</v>
      </c>
      <c r="C7476" s="5">
        <f t="shared" si="3178"/>
        <v>40637</v>
      </c>
      <c r="D7476" s="4" t="s">
        <v>63</v>
      </c>
      <c r="E7476" s="4">
        <v>38.0</v>
      </c>
      <c r="F7476" s="4">
        <v>3821.4045</v>
      </c>
      <c r="G7476" s="4">
        <v>0.0</v>
      </c>
      <c r="H7476" s="4" t="s">
        <v>22</v>
      </c>
      <c r="I7476" s="6">
        <v>1256.967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</v>
      </c>
      <c r="U7476" s="5">
        <f t="shared" si="3179"/>
        <v>40639</v>
      </c>
    </row>
    <row r="7477" ht="12.75" customHeight="1">
      <c r="A7477" s="4">
        <v>5378.0</v>
      </c>
      <c r="B7477" s="4">
        <v>38240.0</v>
      </c>
      <c r="C7477" s="5">
        <f>DATE(2012,12,31)-1108</f>
        <v>40166</v>
      </c>
      <c r="D7477" s="4" t="s">
        <v>30</v>
      </c>
      <c r="E7477" s="4">
        <v>42.0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9"/>
        <v>40168</v>
      </c>
    </row>
    <row r="7478" ht="12.75" customHeight="1">
      <c r="A7478" s="4">
        <v>5447.0</v>
      </c>
      <c r="B7478" s="4">
        <v>38661.0</v>
      </c>
      <c r="C7478" s="5">
        <f t="shared" ref="C7478:C7479" si="3180">DATE(2012,12,31)-323</f>
        <v>40951</v>
      </c>
      <c r="D7478" s="4" t="s">
        <v>30</v>
      </c>
      <c r="E7478" s="4">
        <v>48.0</v>
      </c>
      <c r="F7478" s="4">
        <v>326.1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ht="12.75" customHeight="1">
      <c r="A7479" s="4">
        <v>5448.0</v>
      </c>
      <c r="B7479" s="4">
        <v>38661.0</v>
      </c>
      <c r="C7479" s="5">
        <f t="shared" si="3180"/>
        <v>40951</v>
      </c>
      <c r="D7479" s="4" t="s">
        <v>30</v>
      </c>
      <c r="E7479" s="4">
        <v>6.0</v>
      </c>
      <c r="F7479" s="4">
        <v>170.374</v>
      </c>
      <c r="G7479" s="4">
        <v>0.09</v>
      </c>
      <c r="H7479" s="4" t="s">
        <v>22</v>
      </c>
      <c r="I7479" s="6">
        <v>-67.133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ht="12.75" customHeight="1">
      <c r="A7480" s="4">
        <v>5516.0</v>
      </c>
      <c r="B7480" s="4">
        <v>39110.0</v>
      </c>
      <c r="C7480" s="5">
        <f>DATE(2012,12,31)-1060</f>
        <v>40214</v>
      </c>
      <c r="D7480" s="4" t="s">
        <v>63</v>
      </c>
      <c r="E7480" s="4">
        <v>14.0</v>
      </c>
      <c r="F7480" s="4">
        <v>2595.07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ht="12.75" customHeight="1">
      <c r="A7481" s="4">
        <v>5537.0</v>
      </c>
      <c r="B7481" s="4">
        <v>39235.0</v>
      </c>
      <c r="C7481" s="5">
        <f>DATE(2012,12,31)-901</f>
        <v>40373</v>
      </c>
      <c r="D7481" s="4" t="s">
        <v>63</v>
      </c>
      <c r="E7481" s="4">
        <v>34.0</v>
      </c>
      <c r="F7481" s="4">
        <v>801.98</v>
      </c>
      <c r="G7481" s="4">
        <v>0.0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ht="12.75" customHeight="1">
      <c r="A7482" s="4">
        <v>5548.0</v>
      </c>
      <c r="B7482" s="4">
        <v>39270.0</v>
      </c>
      <c r="C7482" s="5">
        <f>DATE(2012,12,31)-694</f>
        <v>40580</v>
      </c>
      <c r="D7482" s="4" t="s">
        <v>30</v>
      </c>
      <c r="E7482" s="4">
        <v>11.0</v>
      </c>
      <c r="F7482" s="4">
        <v>65.78</v>
      </c>
      <c r="G7482" s="4">
        <v>0.07</v>
      </c>
      <c r="H7482" s="4" t="s">
        <v>22</v>
      </c>
      <c r="I7482" s="6">
        <v>-17.42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ht="12.75" customHeight="1">
      <c r="A7483" s="4">
        <v>5582.0</v>
      </c>
      <c r="B7483" s="4">
        <v>39586.0</v>
      </c>
      <c r="C7483" s="5">
        <f>DATE(2012,12,31)-592</f>
        <v>40682</v>
      </c>
      <c r="D7483" s="4" t="s">
        <v>45</v>
      </c>
      <c r="E7483" s="4">
        <v>1.0</v>
      </c>
      <c r="F7483" s="4">
        <v>10.48</v>
      </c>
      <c r="G7483" s="4">
        <v>0.04</v>
      </c>
      <c r="H7483" s="4" t="s">
        <v>22</v>
      </c>
      <c r="I7483" s="6">
        <v>-5.439500000000001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1">C7483+2</f>
        <v>40684</v>
      </c>
    </row>
    <row r="7484" ht="12.75" customHeight="1">
      <c r="A7484" s="4">
        <v>5620.0</v>
      </c>
      <c r="B7484" s="4">
        <v>39812.0</v>
      </c>
      <c r="C7484" s="5">
        <f>DATE(2012,12,31)-1290</f>
        <v>39984</v>
      </c>
      <c r="D7484" s="4" t="s">
        <v>45</v>
      </c>
      <c r="E7484" s="4">
        <v>40.0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8.04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1"/>
        <v>39986</v>
      </c>
    </row>
    <row r="7485" ht="12.75" customHeight="1">
      <c r="A7485" s="4">
        <v>5731.0</v>
      </c>
      <c r="B7485" s="4">
        <v>40673.0</v>
      </c>
      <c r="C7485" s="5">
        <f>DATE(2012,12,31)-318</f>
        <v>40956</v>
      </c>
      <c r="D7485" s="4" t="s">
        <v>21</v>
      </c>
      <c r="E7485" s="4">
        <v>14.0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ht="12.75" customHeight="1">
      <c r="A7486" s="4">
        <v>5837.0</v>
      </c>
      <c r="B7486" s="4">
        <v>41413.0</v>
      </c>
      <c r="C7486" s="5">
        <f t="shared" ref="C7486:C7488" si="3182">DATE(2012,12,31)-411</f>
        <v>40863</v>
      </c>
      <c r="D7486" s="4" t="s">
        <v>21</v>
      </c>
      <c r="E7486" s="4">
        <v>17.0</v>
      </c>
      <c r="F7486" s="4">
        <v>10134.55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ht="12.75" customHeight="1">
      <c r="A7487" s="4">
        <v>5838.0</v>
      </c>
      <c r="B7487" s="4">
        <v>41413.0</v>
      </c>
      <c r="C7487" s="5">
        <f t="shared" si="3182"/>
        <v>40863</v>
      </c>
      <c r="D7487" s="4" t="s">
        <v>21</v>
      </c>
      <c r="E7487" s="4">
        <v>46.0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0.57</v>
      </c>
      <c r="U7487" s="5">
        <f>C7487+2</f>
        <v>40865</v>
      </c>
    </row>
    <row r="7488" ht="12.75" customHeight="1">
      <c r="A7488" s="4">
        <v>5839.0</v>
      </c>
      <c r="B7488" s="4">
        <v>41413.0</v>
      </c>
      <c r="C7488" s="5">
        <f t="shared" si="3182"/>
        <v>40863</v>
      </c>
      <c r="D7488" s="4" t="s">
        <v>21</v>
      </c>
      <c r="E7488" s="4">
        <v>23.0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6.0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ht="12.75" customHeight="1">
      <c r="A7489" s="4">
        <v>5895.0</v>
      </c>
      <c r="B7489" s="4">
        <v>41824.0</v>
      </c>
      <c r="C7489" s="5">
        <f t="shared" ref="C7489:C7490" si="3183">DATE(2012,12,31)-911</f>
        <v>40363</v>
      </c>
      <c r="D7489" s="4" t="s">
        <v>45</v>
      </c>
      <c r="E7489" s="4">
        <v>8.0</v>
      </c>
      <c r="F7489" s="4">
        <v>157.51</v>
      </c>
      <c r="G7489" s="4">
        <v>0.01</v>
      </c>
      <c r="H7489" s="4" t="s">
        <v>22</v>
      </c>
      <c r="I7489" s="6">
        <v>46.478</v>
      </c>
      <c r="J7489" s="4">
        <v>18.94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ht="12.75" customHeight="1">
      <c r="A7490" s="4">
        <v>5896.0</v>
      </c>
      <c r="B7490" s="4">
        <v>41824.0</v>
      </c>
      <c r="C7490" s="5">
        <f t="shared" si="3183"/>
        <v>40363</v>
      </c>
      <c r="D7490" s="4" t="s">
        <v>45</v>
      </c>
      <c r="E7490" s="4">
        <v>33.0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2.03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0.57</v>
      </c>
      <c r="U7490" s="5">
        <f t="shared" ref="U7490:U7491" si="3184">C7490+2</f>
        <v>40365</v>
      </c>
    </row>
    <row r="7491" ht="12.75" customHeight="1">
      <c r="A7491" s="4">
        <v>6015.0</v>
      </c>
      <c r="B7491" s="4">
        <v>42628.0</v>
      </c>
      <c r="C7491" s="5">
        <f>DATE(2012,12,31)-606</f>
        <v>40668</v>
      </c>
      <c r="D7491" s="4" t="s">
        <v>45</v>
      </c>
      <c r="E7491" s="4">
        <v>4.0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60.0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4"/>
        <v>40670</v>
      </c>
    </row>
    <row r="7492" ht="12.75" customHeight="1">
      <c r="A7492" s="4">
        <v>6030.0</v>
      </c>
      <c r="B7492" s="4">
        <v>42722.0</v>
      </c>
      <c r="C7492" s="5">
        <f t="shared" ref="C7492:C7493" si="3185">DATE(2012,12,31)-85</f>
        <v>41189</v>
      </c>
      <c r="D7492" s="4" t="s">
        <v>45</v>
      </c>
      <c r="E7492" s="4">
        <v>23.0</v>
      </c>
      <c r="F7492" s="4">
        <v>1152.16</v>
      </c>
      <c r="G7492" s="4">
        <v>0.0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ht="12.75" customHeight="1">
      <c r="A7493" s="4">
        <v>6031.0</v>
      </c>
      <c r="B7493" s="4">
        <v>42722.0</v>
      </c>
      <c r="C7493" s="5">
        <f t="shared" si="3185"/>
        <v>41189</v>
      </c>
      <c r="D7493" s="4" t="s">
        <v>45</v>
      </c>
      <c r="E7493" s="4">
        <v>2.0</v>
      </c>
      <c r="F7493" s="4">
        <v>19.9</v>
      </c>
      <c r="G7493" s="4">
        <v>0.07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</v>
      </c>
      <c r="U7493" s="5">
        <f t="shared" ref="U7493:U7494" si="3186">C7493+2</f>
        <v>41191</v>
      </c>
    </row>
    <row r="7494" ht="12.75" customHeight="1">
      <c r="A7494" s="4">
        <v>6035.0</v>
      </c>
      <c r="B7494" s="4">
        <v>42753.0</v>
      </c>
      <c r="C7494" s="5">
        <f>DATE(2012,12,31)-348</f>
        <v>40926</v>
      </c>
      <c r="D7494" s="4" t="s">
        <v>63</v>
      </c>
      <c r="E7494" s="4">
        <v>45.0</v>
      </c>
      <c r="F7494" s="4">
        <v>4072.8175</v>
      </c>
      <c r="G7494" s="4">
        <v>0.1</v>
      </c>
      <c r="H7494" s="4" t="s">
        <v>22</v>
      </c>
      <c r="I7494" s="6">
        <v>897.363</v>
      </c>
      <c r="J7494" s="4">
        <v>115.99</v>
      </c>
      <c r="K7494" s="4">
        <v>3.0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6"/>
        <v>40928</v>
      </c>
    </row>
    <row r="7495" ht="12.75" customHeight="1">
      <c r="A7495" s="4">
        <v>6073.0</v>
      </c>
      <c r="B7495" s="4">
        <v>43013.0</v>
      </c>
      <c r="C7495" s="5">
        <f>DATE(2012,12,31)-619</f>
        <v>40655</v>
      </c>
      <c r="D7495" s="4" t="s">
        <v>21</v>
      </c>
      <c r="E7495" s="4">
        <v>43.0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0.57</v>
      </c>
      <c r="U7495" s="5">
        <f>C7495+5</f>
        <v>40660</v>
      </c>
    </row>
    <row r="7496" ht="12.75" customHeight="1">
      <c r="A7496" s="4">
        <v>6238.0</v>
      </c>
      <c r="B7496" s="4">
        <v>44198.0</v>
      </c>
      <c r="C7496" s="5">
        <f>DATE(2012,12,31)-727</f>
        <v>40547</v>
      </c>
      <c r="D7496" s="4" t="s">
        <v>78</v>
      </c>
      <c r="E7496" s="4">
        <v>35.0</v>
      </c>
      <c r="F7496" s="4">
        <v>625.9485</v>
      </c>
      <c r="G7496" s="4">
        <v>0.04</v>
      </c>
      <c r="H7496" s="4" t="s">
        <v>56</v>
      </c>
      <c r="I7496" s="6">
        <v>-87.021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ht="12.75" customHeight="1">
      <c r="A7497" s="4">
        <v>6281.0</v>
      </c>
      <c r="B7497" s="4">
        <v>44451.0</v>
      </c>
      <c r="C7497" s="5">
        <f>DATE(2012,12,31)-477</f>
        <v>40797</v>
      </c>
      <c r="D7497" s="4" t="s">
        <v>21</v>
      </c>
      <c r="E7497" s="4">
        <v>4.0</v>
      </c>
      <c r="F7497" s="4">
        <v>12.49</v>
      </c>
      <c r="G7497" s="4">
        <v>0.08</v>
      </c>
      <c r="H7497" s="4" t="s">
        <v>22</v>
      </c>
      <c r="I7497" s="6">
        <v>-13.501</v>
      </c>
      <c r="J7497" s="4">
        <v>1.98</v>
      </c>
      <c r="K7497" s="4">
        <v>4.77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ht="12.75" customHeight="1">
      <c r="A7498" s="4">
        <v>6296.0</v>
      </c>
      <c r="B7498" s="4">
        <v>44576.0</v>
      </c>
      <c r="C7498" s="5">
        <f>DATE(2012,12,31)-1102</f>
        <v>40172</v>
      </c>
      <c r="D7498" s="4" t="s">
        <v>45</v>
      </c>
      <c r="E7498" s="4">
        <v>30.0</v>
      </c>
      <c r="F7498" s="4">
        <v>1653.607</v>
      </c>
      <c r="G7498" s="4">
        <v>0.02</v>
      </c>
      <c r="H7498" s="4" t="s">
        <v>22</v>
      </c>
      <c r="I7498" s="6">
        <v>294.966</v>
      </c>
      <c r="J7498" s="4">
        <v>65.99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0.57</v>
      </c>
      <c r="U7498" s="5">
        <f>C7498+1</f>
        <v>40173</v>
      </c>
    </row>
    <row r="7499" ht="12.75" customHeight="1">
      <c r="A7499" s="4">
        <v>6327.0</v>
      </c>
      <c r="B7499" s="4">
        <v>44834.0</v>
      </c>
      <c r="C7499" s="5">
        <f t="shared" ref="C7499:C7500" si="3187">DATE(2012,12,31)-1351</f>
        <v>39923</v>
      </c>
      <c r="D7499" s="4" t="s">
        <v>63</v>
      </c>
      <c r="E7499" s="4">
        <v>13.0</v>
      </c>
      <c r="F7499" s="4">
        <v>248.76</v>
      </c>
      <c r="G7499" s="4">
        <v>0.1</v>
      </c>
      <c r="H7499" s="4" t="s">
        <v>56</v>
      </c>
      <c r="I7499" s="6">
        <v>35.09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ht="12.75" customHeight="1">
      <c r="A7500" s="4">
        <v>6328.0</v>
      </c>
      <c r="B7500" s="4">
        <v>44834.0</v>
      </c>
      <c r="C7500" s="5">
        <f t="shared" si="3187"/>
        <v>39923</v>
      </c>
      <c r="D7500" s="4" t="s">
        <v>63</v>
      </c>
      <c r="E7500" s="4">
        <v>43.0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259.71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8">C7500+1</f>
        <v>39924</v>
      </c>
    </row>
    <row r="7501" ht="12.75" customHeight="1">
      <c r="A7501" s="4">
        <v>6473.0</v>
      </c>
      <c r="B7501" s="4">
        <v>46053.0</v>
      </c>
      <c r="C7501" s="5">
        <f>DATE(2012,12,31)-109</f>
        <v>41165</v>
      </c>
      <c r="D7501" s="4" t="s">
        <v>30</v>
      </c>
      <c r="E7501" s="4">
        <v>31.0</v>
      </c>
      <c r="F7501" s="4">
        <v>2447.1074999999996</v>
      </c>
      <c r="G7501" s="4">
        <v>0.0</v>
      </c>
      <c r="H7501" s="4" t="s">
        <v>22</v>
      </c>
      <c r="I7501" s="6">
        <v>856.962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</v>
      </c>
      <c r="U7501" s="5">
        <f t="shared" si="3188"/>
        <v>41166</v>
      </c>
    </row>
    <row r="7502" ht="12.75" customHeight="1">
      <c r="A7502" s="4">
        <v>6654.0</v>
      </c>
      <c r="B7502" s="4">
        <v>47329.0</v>
      </c>
      <c r="C7502" s="5">
        <f t="shared" ref="C7502:C7503" si="3189">DATE(2012,12,31)-1055</f>
        <v>40219</v>
      </c>
      <c r="D7502" s="4" t="s">
        <v>21</v>
      </c>
      <c r="E7502" s="4">
        <v>2.0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</v>
      </c>
      <c r="U7502" s="5">
        <f>C7502+5</f>
        <v>40224</v>
      </c>
    </row>
    <row r="7503" ht="12.75" customHeight="1">
      <c r="A7503" s="4">
        <v>6655.0</v>
      </c>
      <c r="B7503" s="4">
        <v>47329.0</v>
      </c>
      <c r="C7503" s="5">
        <f t="shared" si="3189"/>
        <v>40219</v>
      </c>
      <c r="D7503" s="4" t="s">
        <v>21</v>
      </c>
      <c r="E7503" s="4">
        <v>16.0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ht="12.75" customHeight="1">
      <c r="A7504" s="4">
        <v>6666.0</v>
      </c>
      <c r="B7504" s="4">
        <v>47461.0</v>
      </c>
      <c r="C7504" s="5">
        <f t="shared" ref="C7504:C7506" si="3190">DATE(2012,12,31)-981</f>
        <v>40293</v>
      </c>
      <c r="D7504" s="4" t="s">
        <v>30</v>
      </c>
      <c r="E7504" s="4">
        <v>39.0</v>
      </c>
      <c r="F7504" s="4">
        <v>318.28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1">C7504+1</f>
        <v>40294</v>
      </c>
    </row>
    <row r="7505" ht="12.75" customHeight="1">
      <c r="A7505" s="4">
        <v>6667.0</v>
      </c>
      <c r="B7505" s="4">
        <v>47461.0</v>
      </c>
      <c r="C7505" s="5">
        <f t="shared" si="3190"/>
        <v>40293</v>
      </c>
      <c r="D7505" s="4" t="s">
        <v>30</v>
      </c>
      <c r="E7505" s="4">
        <v>34.0</v>
      </c>
      <c r="F7505" s="4">
        <v>289.53</v>
      </c>
      <c r="G7505" s="4">
        <v>0.08</v>
      </c>
      <c r="H7505" s="4" t="s">
        <v>56</v>
      </c>
      <c r="I7505" s="6">
        <v>46.971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1"/>
        <v>40294</v>
      </c>
    </row>
    <row r="7506" ht="12.75" customHeight="1">
      <c r="A7506" s="4">
        <v>6668.0</v>
      </c>
      <c r="B7506" s="4">
        <v>47461.0</v>
      </c>
      <c r="C7506" s="5">
        <f t="shared" si="3190"/>
        <v>40293</v>
      </c>
      <c r="D7506" s="4" t="s">
        <v>30</v>
      </c>
      <c r="E7506" s="4">
        <v>45.0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ht="12.75" customHeight="1">
      <c r="A7507" s="4">
        <v>6682.0</v>
      </c>
      <c r="B7507" s="4">
        <v>47525.0</v>
      </c>
      <c r="C7507" s="5">
        <f>DATE(2012,12,31)-669</f>
        <v>40605</v>
      </c>
      <c r="D7507" s="4" t="s">
        <v>63</v>
      </c>
      <c r="E7507" s="4">
        <v>40.0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4.0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2">C7507+1</f>
        <v>40606</v>
      </c>
    </row>
    <row r="7508" ht="12.75" customHeight="1">
      <c r="A7508" s="4">
        <v>6854.0</v>
      </c>
      <c r="B7508" s="4">
        <v>48803.0</v>
      </c>
      <c r="C7508" s="5">
        <f>DATE(2012,12,31)-52</f>
        <v>41222</v>
      </c>
      <c r="D7508" s="4" t="s">
        <v>78</v>
      </c>
      <c r="E7508" s="4">
        <v>19.0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2"/>
        <v>41223</v>
      </c>
    </row>
    <row r="7509" ht="12.75" customHeight="1">
      <c r="A7509" s="4">
        <v>6878.0</v>
      </c>
      <c r="B7509" s="4">
        <v>49027.0</v>
      </c>
      <c r="C7509" s="5">
        <f>DATE(2012,12,31)-630</f>
        <v>40644</v>
      </c>
      <c r="D7509" s="4" t="s">
        <v>30</v>
      </c>
      <c r="E7509" s="4">
        <v>41.0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2"/>
        <v>40645</v>
      </c>
    </row>
    <row r="7510" ht="12.75" customHeight="1">
      <c r="A7510" s="4">
        <v>7124.0</v>
      </c>
      <c r="B7510" s="4">
        <v>50822.0</v>
      </c>
      <c r="C7510" s="5">
        <f t="shared" ref="C7510:C7511" si="3193">DATE(2012,12,31)-328</f>
        <v>40946</v>
      </c>
      <c r="D7510" s="4" t="s">
        <v>63</v>
      </c>
      <c r="E7510" s="4">
        <v>6.0</v>
      </c>
      <c r="F7510" s="4">
        <v>1635.29</v>
      </c>
      <c r="G7510" s="4">
        <v>0.1</v>
      </c>
      <c r="H7510" s="4" t="s">
        <v>22</v>
      </c>
      <c r="I7510" s="6">
        <v>7.920000000000073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2"/>
        <v>40947</v>
      </c>
    </row>
    <row r="7511" ht="12.75" customHeight="1">
      <c r="A7511" s="4">
        <v>7125.0</v>
      </c>
      <c r="B7511" s="4">
        <v>50822.0</v>
      </c>
      <c r="C7511" s="5">
        <f t="shared" si="3193"/>
        <v>40946</v>
      </c>
      <c r="D7511" s="4" t="s">
        <v>63</v>
      </c>
      <c r="E7511" s="4">
        <v>37.0</v>
      </c>
      <c r="F7511" s="4">
        <v>316.35</v>
      </c>
      <c r="G7511" s="4">
        <v>0.01</v>
      </c>
      <c r="H7511" s="4" t="s">
        <v>56</v>
      </c>
      <c r="I7511" s="6">
        <v>-52.18</v>
      </c>
      <c r="J7511" s="4">
        <v>8.12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2"/>
        <v>40947</v>
      </c>
    </row>
    <row r="7512" ht="12.75" customHeight="1">
      <c r="A7512" s="4">
        <v>7251.0</v>
      </c>
      <c r="B7512" s="4">
        <v>51714.0</v>
      </c>
      <c r="C7512" s="5">
        <f>DATE(2012,12,31)-1213</f>
        <v>40061</v>
      </c>
      <c r="D7512" s="4" t="s">
        <v>45</v>
      </c>
      <c r="E7512" s="4">
        <v>33.0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2"/>
        <v>40062</v>
      </c>
    </row>
    <row r="7513" ht="12.75" customHeight="1">
      <c r="A7513" s="4">
        <v>7264.0</v>
      </c>
      <c r="B7513" s="4">
        <v>51815.0</v>
      </c>
      <c r="C7513" s="5">
        <f t="shared" ref="C7513:C7514" si="3194">DATE(2012,12,31)-1315</f>
        <v>39959</v>
      </c>
      <c r="D7513" s="4" t="s">
        <v>21</v>
      </c>
      <c r="E7513" s="4">
        <v>37.0</v>
      </c>
      <c r="F7513" s="4">
        <v>227.5</v>
      </c>
      <c r="G7513" s="4">
        <v>0.01</v>
      </c>
      <c r="H7513" s="4" t="s">
        <v>22</v>
      </c>
      <c r="I7513" s="6">
        <v>-256.519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ht="12.75" customHeight="1">
      <c r="A7514" s="4">
        <v>7265.0</v>
      </c>
      <c r="B7514" s="4">
        <v>51815.0</v>
      </c>
      <c r="C7514" s="5">
        <f t="shared" si="3194"/>
        <v>39959</v>
      </c>
      <c r="D7514" s="4" t="s">
        <v>21</v>
      </c>
      <c r="E7514" s="4">
        <v>21.0</v>
      </c>
      <c r="F7514" s="4">
        <v>2292.1015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3.0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ht="12.75" customHeight="1">
      <c r="A7515" s="4">
        <v>7275.0</v>
      </c>
      <c r="B7515" s="4">
        <v>51906.0</v>
      </c>
      <c r="C7515" s="5">
        <f>DATE(2012,12,31)-487</f>
        <v>40787</v>
      </c>
      <c r="D7515" s="4" t="s">
        <v>30</v>
      </c>
      <c r="E7515" s="4">
        <v>24.0</v>
      </c>
      <c r="F7515" s="4">
        <v>206.34</v>
      </c>
      <c r="G7515" s="4">
        <v>0.04</v>
      </c>
      <c r="H7515" s="4" t="s">
        <v>22</v>
      </c>
      <c r="I7515" s="6">
        <v>-38.23</v>
      </c>
      <c r="J7515" s="4">
        <v>8.46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5">C7515+1</f>
        <v>40788</v>
      </c>
    </row>
    <row r="7516" ht="12.75" customHeight="1">
      <c r="A7516" s="4">
        <v>7309.0</v>
      </c>
      <c r="B7516" s="4">
        <v>52128.0</v>
      </c>
      <c r="C7516" s="5">
        <f>DATE(2012,12,31)-770</f>
        <v>40504</v>
      </c>
      <c r="D7516" s="4" t="s">
        <v>45</v>
      </c>
      <c r="E7516" s="4">
        <v>11.0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5"/>
        <v>40505</v>
      </c>
    </row>
    <row r="7517" ht="12.75" customHeight="1">
      <c r="A7517" s="4">
        <v>7392.0</v>
      </c>
      <c r="B7517" s="4">
        <v>52675.0</v>
      </c>
      <c r="C7517" s="5">
        <f t="shared" ref="C7517:C7518" si="3196">DATE(2012,12,31)-448</f>
        <v>40826</v>
      </c>
      <c r="D7517" s="4" t="s">
        <v>63</v>
      </c>
      <c r="E7517" s="4">
        <v>4.0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4.77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7">C7517+2</f>
        <v>40828</v>
      </c>
    </row>
    <row r="7518" ht="12.75" customHeight="1">
      <c r="A7518" s="4">
        <v>7393.0</v>
      </c>
      <c r="B7518" s="4">
        <v>52675.0</v>
      </c>
      <c r="C7518" s="5">
        <f t="shared" si="3196"/>
        <v>40826</v>
      </c>
      <c r="D7518" s="4" t="s">
        <v>63</v>
      </c>
      <c r="E7518" s="4">
        <v>22.0</v>
      </c>
      <c r="F7518" s="4">
        <v>52.62</v>
      </c>
      <c r="G7518" s="4">
        <v>0.01</v>
      </c>
      <c r="H7518" s="4" t="s">
        <v>22</v>
      </c>
      <c r="I7518" s="6">
        <v>-4.64</v>
      </c>
      <c r="J7518" s="4">
        <v>2.21</v>
      </c>
      <c r="K7518" s="4">
        <v>1.12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0.58</v>
      </c>
      <c r="U7518" s="5">
        <f t="shared" si="3197"/>
        <v>40828</v>
      </c>
    </row>
    <row r="7519" ht="12.75" customHeight="1">
      <c r="A7519" s="4">
        <v>7455.0</v>
      </c>
      <c r="B7519" s="4">
        <v>53189.0</v>
      </c>
      <c r="C7519" s="5">
        <f>DATE(2012,12,31)-496</f>
        <v>40778</v>
      </c>
      <c r="D7519" s="4" t="s">
        <v>78</v>
      </c>
      <c r="E7519" s="4">
        <v>29.0</v>
      </c>
      <c r="F7519" s="4">
        <v>214.19</v>
      </c>
      <c r="G7519" s="4">
        <v>0.0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ht="12.75" customHeight="1">
      <c r="A7520" s="4">
        <v>7590.0</v>
      </c>
      <c r="B7520" s="4">
        <v>54307.0</v>
      </c>
      <c r="C7520" s="5">
        <f>DATE(2012,12,31)-358</f>
        <v>40916</v>
      </c>
      <c r="D7520" s="4" t="s">
        <v>30</v>
      </c>
      <c r="E7520" s="4">
        <v>41.0</v>
      </c>
      <c r="F7520" s="4">
        <v>198.29</v>
      </c>
      <c r="G7520" s="4">
        <v>0.08</v>
      </c>
      <c r="H7520" s="4" t="s">
        <v>22</v>
      </c>
      <c r="I7520" s="6">
        <v>-134.412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8">C7520+1</f>
        <v>40917</v>
      </c>
    </row>
    <row r="7521" ht="12.75" customHeight="1">
      <c r="A7521" s="4">
        <v>7661.0</v>
      </c>
      <c r="B7521" s="4">
        <v>54917.0</v>
      </c>
      <c r="C7521" s="5">
        <f>DATE(2012,12,31)-997</f>
        <v>40277</v>
      </c>
      <c r="D7521" s="4" t="s">
        <v>30</v>
      </c>
      <c r="E7521" s="4">
        <v>12.0</v>
      </c>
      <c r="F7521" s="4">
        <v>6034.68</v>
      </c>
      <c r="G7521" s="4">
        <v>0.06</v>
      </c>
      <c r="H7521" s="4" t="s">
        <v>22</v>
      </c>
      <c r="I7521" s="6">
        <v>-517.08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8"/>
        <v>40278</v>
      </c>
    </row>
    <row r="7522" ht="12.75" customHeight="1">
      <c r="A7522" s="4">
        <v>7965.0</v>
      </c>
      <c r="B7522" s="4">
        <v>56930.0</v>
      </c>
      <c r="C7522" s="5">
        <f>DATE(2012,12,31)-136</f>
        <v>41138</v>
      </c>
      <c r="D7522" s="4" t="s">
        <v>21</v>
      </c>
      <c r="E7522" s="4">
        <v>47.0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ht="12.75" customHeight="1">
      <c r="A7523" s="4">
        <v>8060.0</v>
      </c>
      <c r="B7523" s="4">
        <v>57511.0</v>
      </c>
      <c r="C7523" s="5">
        <f t="shared" ref="C7523:C7524" si="3199">DATE(2012,12,31)-1182</f>
        <v>40092</v>
      </c>
      <c r="D7523" s="4" t="s">
        <v>78</v>
      </c>
      <c r="E7523" s="4">
        <v>32.0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ht="12.75" customHeight="1">
      <c r="A7524" s="4">
        <v>8061.0</v>
      </c>
      <c r="B7524" s="4">
        <v>57511.0</v>
      </c>
      <c r="C7524" s="5">
        <f t="shared" si="3199"/>
        <v>40092</v>
      </c>
      <c r="D7524" s="4" t="s">
        <v>78</v>
      </c>
      <c r="E7524" s="4">
        <v>11.0</v>
      </c>
      <c r="F7524" s="4">
        <v>569.636</v>
      </c>
      <c r="G7524" s="4">
        <v>0.0</v>
      </c>
      <c r="H7524" s="4" t="s">
        <v>22</v>
      </c>
      <c r="I7524" s="6">
        <v>-173.25</v>
      </c>
      <c r="J7524" s="4">
        <v>55.99</v>
      </c>
      <c r="K7524" s="4">
        <v>5.0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ht="12.75" customHeight="1">
      <c r="A7525" s="4">
        <v>8106.0</v>
      </c>
      <c r="B7525" s="4">
        <v>57857.0</v>
      </c>
      <c r="C7525" s="5">
        <f>DATE(2012,12,31)-975</f>
        <v>40299</v>
      </c>
      <c r="D7525" s="4" t="s">
        <v>30</v>
      </c>
      <c r="E7525" s="4">
        <v>18.0</v>
      </c>
      <c r="F7525" s="4">
        <v>314.96</v>
      </c>
      <c r="G7525" s="4">
        <v>0.1</v>
      </c>
      <c r="H7525" s="4" t="s">
        <v>22</v>
      </c>
      <c r="I7525" s="6">
        <v>153.48</v>
      </c>
      <c r="J7525" s="4">
        <v>18.65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ht="12.75" customHeight="1">
      <c r="A7526" s="4">
        <v>8107.0</v>
      </c>
      <c r="B7526" s="4">
        <v>57861.0</v>
      </c>
      <c r="C7526" s="5">
        <f>DATE(2012,12,31)-67</f>
        <v>41207</v>
      </c>
      <c r="D7526" s="4" t="s">
        <v>63</v>
      </c>
      <c r="E7526" s="4">
        <v>40.0</v>
      </c>
      <c r="F7526" s="4">
        <v>120.15</v>
      </c>
      <c r="G7526" s="4">
        <v>0.0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ht="12.75" customHeight="1">
      <c r="A7527" s="4">
        <v>8145.0</v>
      </c>
      <c r="B7527" s="4">
        <v>58247.0</v>
      </c>
      <c r="C7527" s="5">
        <f t="shared" ref="C7527:C7528" si="3200">DATE(2012,12,31)-465</f>
        <v>40809</v>
      </c>
      <c r="D7527" s="4" t="s">
        <v>45</v>
      </c>
      <c r="E7527" s="4">
        <v>8.0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</v>
      </c>
      <c r="U7527" s="5">
        <f>C7527+0</f>
        <v>40809</v>
      </c>
    </row>
    <row r="7528" ht="12.75" customHeight="1">
      <c r="A7528" s="4">
        <v>8146.0</v>
      </c>
      <c r="B7528" s="4">
        <v>58247.0</v>
      </c>
      <c r="C7528" s="5">
        <f t="shared" si="3200"/>
        <v>40809</v>
      </c>
      <c r="D7528" s="4" t="s">
        <v>45</v>
      </c>
      <c r="E7528" s="4">
        <v>14.0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ht="12.75" customHeight="1">
      <c r="A7529" s="4">
        <v>8178.0</v>
      </c>
      <c r="B7529" s="4">
        <v>58470.0</v>
      </c>
      <c r="C7529" s="5">
        <f t="shared" ref="C7529:C7533" si="3201">DATE(2012,12,31)-572</f>
        <v>40702</v>
      </c>
      <c r="D7529" s="4" t="s">
        <v>30</v>
      </c>
      <c r="E7529" s="4">
        <v>24.0</v>
      </c>
      <c r="F7529" s="4">
        <v>1811.55</v>
      </c>
      <c r="G7529" s="4">
        <v>0.09</v>
      </c>
      <c r="H7529" s="4" t="s">
        <v>22</v>
      </c>
      <c r="I7529" s="6">
        <v>512.69</v>
      </c>
      <c r="J7529" s="4">
        <v>81.32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0.57</v>
      </c>
      <c r="U7529" s="5">
        <f>C7529+1</f>
        <v>40703</v>
      </c>
    </row>
    <row r="7530" ht="12.75" customHeight="1">
      <c r="A7530" s="4">
        <v>8179.0</v>
      </c>
      <c r="B7530" s="4">
        <v>58470.0</v>
      </c>
      <c r="C7530" s="5">
        <f t="shared" si="3201"/>
        <v>40702</v>
      </c>
      <c r="D7530" s="4" t="s">
        <v>30</v>
      </c>
      <c r="E7530" s="4">
        <v>13.0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ht="12.75" customHeight="1">
      <c r="A7531" s="4">
        <v>8180.0</v>
      </c>
      <c r="B7531" s="4">
        <v>58470.0</v>
      </c>
      <c r="C7531" s="5">
        <f t="shared" si="3201"/>
        <v>40702</v>
      </c>
      <c r="D7531" s="4" t="s">
        <v>30</v>
      </c>
      <c r="E7531" s="4">
        <v>36.0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ht="12.75" customHeight="1">
      <c r="A7532" s="4">
        <v>8181.0</v>
      </c>
      <c r="B7532" s="4">
        <v>58470.0</v>
      </c>
      <c r="C7532" s="5">
        <f t="shared" si="3201"/>
        <v>40702</v>
      </c>
      <c r="D7532" s="4" t="s">
        <v>30</v>
      </c>
      <c r="E7532" s="4">
        <v>45.0</v>
      </c>
      <c r="F7532" s="4">
        <v>854.14</v>
      </c>
      <c r="G7532" s="4">
        <v>0.01</v>
      </c>
      <c r="H7532" s="4" t="s">
        <v>22</v>
      </c>
      <c r="I7532" s="6">
        <v>94.0</v>
      </c>
      <c r="J7532" s="4">
        <v>18.97</v>
      </c>
      <c r="K7532" s="4">
        <v>9.03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ht="12.75" customHeight="1">
      <c r="A7533" s="4">
        <v>8182.0</v>
      </c>
      <c r="B7533" s="4">
        <v>58470.0</v>
      </c>
      <c r="C7533" s="5">
        <f t="shared" si="3201"/>
        <v>40702</v>
      </c>
      <c r="D7533" s="4" t="s">
        <v>30</v>
      </c>
      <c r="E7533" s="4">
        <v>5.0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ht="12.75" customHeight="1">
      <c r="A7534" s="4">
        <v>8219.0</v>
      </c>
      <c r="B7534" s="4">
        <v>58759.0</v>
      </c>
      <c r="C7534" s="5">
        <f>DATE(2012,12,31)-1440</f>
        <v>39834</v>
      </c>
      <c r="D7534" s="4" t="s">
        <v>21</v>
      </c>
      <c r="E7534" s="4">
        <v>4.0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ht="12.75" customHeight="1">
      <c r="A7535" s="4">
        <v>8365.0</v>
      </c>
      <c r="B7535" s="4">
        <v>59780.0</v>
      </c>
      <c r="C7535" s="5">
        <f>DATE(2012,12,31)-1045</f>
        <v>40229</v>
      </c>
      <c r="D7535" s="4" t="s">
        <v>78</v>
      </c>
      <c r="E7535" s="4">
        <v>21.0</v>
      </c>
      <c r="F7535" s="4">
        <v>6776.92</v>
      </c>
      <c r="G7535" s="4">
        <v>0.0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</v>
      </c>
      <c r="U7535" s="5">
        <f>C7535+0</f>
        <v>40229</v>
      </c>
    </row>
    <row r="7536" ht="12.75" customHeight="1">
      <c r="A7536" s="4">
        <v>62.0</v>
      </c>
      <c r="B7536" s="4">
        <v>358.0</v>
      </c>
      <c r="C7536" s="5">
        <f t="shared" ref="C7536:C7537" si="3202">DATE(2012,12,31)-834</f>
        <v>40440</v>
      </c>
      <c r="D7536" s="4" t="s">
        <v>30</v>
      </c>
      <c r="E7536" s="4">
        <v>33.0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ht="12.75" customHeight="1">
      <c r="A7537" s="4">
        <v>63.0</v>
      </c>
      <c r="B7537" s="4">
        <v>358.0</v>
      </c>
      <c r="C7537" s="5">
        <f t="shared" si="3202"/>
        <v>40440</v>
      </c>
      <c r="D7537" s="4" t="s">
        <v>30</v>
      </c>
      <c r="E7537" s="4">
        <v>33.0</v>
      </c>
      <c r="F7537" s="4">
        <v>1235.87</v>
      </c>
      <c r="G7537" s="4">
        <v>0.07</v>
      </c>
      <c r="H7537" s="4" t="s">
        <v>22</v>
      </c>
      <c r="I7537" s="6">
        <v>269.27</v>
      </c>
      <c r="J7537" s="4">
        <v>39.48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ht="12.75" customHeight="1">
      <c r="A7538" s="4">
        <v>255.0</v>
      </c>
      <c r="B7538" s="4">
        <v>1767.0</v>
      </c>
      <c r="C7538" s="5">
        <f>DATE(2012,12,31)-659</f>
        <v>40615</v>
      </c>
      <c r="D7538" s="4" t="s">
        <v>30</v>
      </c>
      <c r="E7538" s="4">
        <v>10.0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ht="12.75" customHeight="1">
      <c r="A7539" s="4">
        <v>271.0</v>
      </c>
      <c r="B7539" s="4">
        <v>1863.0</v>
      </c>
      <c r="C7539" s="5">
        <f>DATE(2012,12,31)-831</f>
        <v>40443</v>
      </c>
      <c r="D7539" s="4" t="s">
        <v>45</v>
      </c>
      <c r="E7539" s="4">
        <v>26.0</v>
      </c>
      <c r="F7539" s="4">
        <v>2415.38</v>
      </c>
      <c r="G7539" s="4">
        <v>0.08</v>
      </c>
      <c r="H7539" s="4" t="s">
        <v>31</v>
      </c>
      <c r="I7539" s="6">
        <v>-1131.6</v>
      </c>
      <c r="J7539" s="4">
        <v>95.95</v>
      </c>
      <c r="K7539" s="4">
        <v>74.35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0.57</v>
      </c>
      <c r="U7539" s="5">
        <f>C7539+1</f>
        <v>40444</v>
      </c>
    </row>
    <row r="7540" ht="12.75" customHeight="1">
      <c r="A7540" s="4">
        <v>437.0</v>
      </c>
      <c r="B7540" s="4">
        <v>2915.0</v>
      </c>
      <c r="C7540" s="5">
        <f t="shared" ref="C7540:C7541" si="3203">DATE(2012,12,31)-1372</f>
        <v>39902</v>
      </c>
      <c r="D7540" s="4" t="s">
        <v>21</v>
      </c>
      <c r="E7540" s="4">
        <v>41.0</v>
      </c>
      <c r="F7540" s="4">
        <v>231.26</v>
      </c>
      <c r="G7540" s="4">
        <v>0.07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ht="12.75" customHeight="1">
      <c r="A7541" s="4">
        <v>438.0</v>
      </c>
      <c r="B7541" s="4">
        <v>2915.0</v>
      </c>
      <c r="C7541" s="5">
        <f t="shared" si="3203"/>
        <v>39902</v>
      </c>
      <c r="D7541" s="4" t="s">
        <v>21</v>
      </c>
      <c r="E7541" s="4">
        <v>23.0</v>
      </c>
      <c r="F7541" s="4">
        <v>987.17</v>
      </c>
      <c r="G7541" s="4">
        <v>0.01</v>
      </c>
      <c r="H7541" s="4" t="s">
        <v>22</v>
      </c>
      <c r="I7541" s="6">
        <v>51.59000000000005</v>
      </c>
      <c r="J7541" s="4">
        <v>39.98</v>
      </c>
      <c r="K7541" s="4">
        <v>4.0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ht="12.75" customHeight="1">
      <c r="A7542" s="4">
        <v>449.0</v>
      </c>
      <c r="B7542" s="4">
        <v>3046.0</v>
      </c>
      <c r="C7542" s="5">
        <f>DATE(2012,12,31)-398</f>
        <v>40876</v>
      </c>
      <c r="D7542" s="4" t="s">
        <v>30</v>
      </c>
      <c r="E7542" s="4">
        <v>24.0</v>
      </c>
      <c r="F7542" s="4">
        <v>10094.43</v>
      </c>
      <c r="G7542" s="4">
        <v>0.03</v>
      </c>
      <c r="H7542" s="4" t="s">
        <v>22</v>
      </c>
      <c r="I7542" s="6">
        <v>4451.008</v>
      </c>
      <c r="J7542" s="4">
        <v>420.98</v>
      </c>
      <c r="K7542" s="4">
        <v>19.99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4">C7542+2</f>
        <v>40878</v>
      </c>
    </row>
    <row r="7543" ht="12.75" customHeight="1">
      <c r="A7543" s="4">
        <v>628.0</v>
      </c>
      <c r="B7543" s="4">
        <v>4389.0</v>
      </c>
      <c r="C7543" s="5">
        <f t="shared" ref="C7543:C7545" si="3205">DATE(2012,12,31)-1337</f>
        <v>39937</v>
      </c>
      <c r="D7543" s="4" t="s">
        <v>63</v>
      </c>
      <c r="E7543" s="4">
        <v>35.0</v>
      </c>
      <c r="F7543" s="4">
        <v>179.45</v>
      </c>
      <c r="G7543" s="4">
        <v>0.07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4"/>
        <v>39939</v>
      </c>
    </row>
    <row r="7544" ht="12.75" customHeight="1">
      <c r="A7544" s="4">
        <v>629.0</v>
      </c>
      <c r="B7544" s="4">
        <v>4389.0</v>
      </c>
      <c r="C7544" s="5">
        <f t="shared" si="3205"/>
        <v>39937</v>
      </c>
      <c r="D7544" s="4" t="s">
        <v>63</v>
      </c>
      <c r="E7544" s="4">
        <v>49.0</v>
      </c>
      <c r="F7544" s="4">
        <v>7987.43</v>
      </c>
      <c r="G7544" s="4">
        <v>0.03</v>
      </c>
      <c r="H7544" s="4" t="s">
        <v>31</v>
      </c>
      <c r="I7544" s="6">
        <v>1304.9</v>
      </c>
      <c r="J7544" s="4">
        <v>160.98</v>
      </c>
      <c r="K7544" s="4">
        <v>30.0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ht="12.75" customHeight="1">
      <c r="A7545" s="4">
        <v>630.0</v>
      </c>
      <c r="B7545" s="4">
        <v>4389.0</v>
      </c>
      <c r="C7545" s="5">
        <f t="shared" si="3205"/>
        <v>39937</v>
      </c>
      <c r="D7545" s="4" t="s">
        <v>63</v>
      </c>
      <c r="E7545" s="4">
        <v>42.0</v>
      </c>
      <c r="F7545" s="4">
        <v>2455.276</v>
      </c>
      <c r="G7545" s="4">
        <v>0.04</v>
      </c>
      <c r="H7545" s="4" t="s">
        <v>56</v>
      </c>
      <c r="I7545" s="6">
        <v>693.0630000000001</v>
      </c>
      <c r="J7545" s="4">
        <v>65.99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</v>
      </c>
      <c r="U7545" s="5">
        <f>C7545+0</f>
        <v>39937</v>
      </c>
    </row>
    <row r="7546" ht="12.75" customHeight="1">
      <c r="A7546" s="4">
        <v>862.0</v>
      </c>
      <c r="B7546" s="4">
        <v>6180.0</v>
      </c>
      <c r="C7546" s="5">
        <f>DATE(2012,12,31)-630</f>
        <v>40644</v>
      </c>
      <c r="D7546" s="4" t="s">
        <v>63</v>
      </c>
      <c r="E7546" s="4">
        <v>44.0</v>
      </c>
      <c r="F7546" s="4">
        <v>2443.342</v>
      </c>
      <c r="G7546" s="4">
        <v>0.01</v>
      </c>
      <c r="H7546" s="4" t="s">
        <v>22</v>
      </c>
      <c r="I7546" s="6">
        <v>590.319</v>
      </c>
      <c r="J7546" s="4">
        <v>65.99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6">C7546+2</f>
        <v>40646</v>
      </c>
    </row>
    <row r="7547" ht="12.75" customHeight="1">
      <c r="A7547" s="4">
        <v>975.0</v>
      </c>
      <c r="B7547" s="4">
        <v>7078.0</v>
      </c>
      <c r="C7547" s="5">
        <f t="shared" ref="C7547:C7550" si="3207">DATE(2012,12,31)-995</f>
        <v>40279</v>
      </c>
      <c r="D7547" s="4" t="s">
        <v>30</v>
      </c>
      <c r="E7547" s="4">
        <v>9.0</v>
      </c>
      <c r="F7547" s="4">
        <v>112.12</v>
      </c>
      <c r="G7547" s="4">
        <v>0.01</v>
      </c>
      <c r="H7547" s="4" t="s">
        <v>22</v>
      </c>
      <c r="I7547" s="6">
        <v>-8.45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6"/>
        <v>40281</v>
      </c>
    </row>
    <row r="7548" ht="12.75" customHeight="1">
      <c r="A7548" s="4">
        <v>976.0</v>
      </c>
      <c r="B7548" s="4">
        <v>7078.0</v>
      </c>
      <c r="C7548" s="5">
        <f t="shared" si="3207"/>
        <v>40279</v>
      </c>
      <c r="D7548" s="4" t="s">
        <v>30</v>
      </c>
      <c r="E7548" s="4">
        <v>11.0</v>
      </c>
      <c r="F7548" s="4">
        <v>49.58</v>
      </c>
      <c r="G7548" s="4">
        <v>0.1</v>
      </c>
      <c r="H7548" s="4" t="s">
        <v>56</v>
      </c>
      <c r="I7548" s="6">
        <v>-47.0235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ht="12.75" customHeight="1">
      <c r="A7549" s="4">
        <v>977.0</v>
      </c>
      <c r="B7549" s="4">
        <v>7078.0</v>
      </c>
      <c r="C7549" s="5">
        <f t="shared" si="3207"/>
        <v>40279</v>
      </c>
      <c r="D7549" s="4" t="s">
        <v>30</v>
      </c>
      <c r="E7549" s="4">
        <v>16.0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ht="12.75" customHeight="1">
      <c r="A7550" s="4">
        <v>978.0</v>
      </c>
      <c r="B7550" s="4">
        <v>7078.0</v>
      </c>
      <c r="C7550" s="5">
        <f t="shared" si="3207"/>
        <v>40279</v>
      </c>
      <c r="D7550" s="4" t="s">
        <v>30</v>
      </c>
      <c r="E7550" s="4">
        <v>29.0</v>
      </c>
      <c r="F7550" s="4">
        <v>465.52</v>
      </c>
      <c r="G7550" s="4">
        <v>0.02</v>
      </c>
      <c r="H7550" s="4" t="s">
        <v>56</v>
      </c>
      <c r="I7550" s="6">
        <v>65.35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ht="12.75" customHeight="1">
      <c r="A7551" s="4">
        <v>1045.0</v>
      </c>
      <c r="B7551" s="4">
        <v>7654.0</v>
      </c>
      <c r="C7551" s="5">
        <f>DATE(2012,12,31)-1055</f>
        <v>40219</v>
      </c>
      <c r="D7551" s="4" t="s">
        <v>30</v>
      </c>
      <c r="E7551" s="4">
        <v>3.0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8">C7551+2</f>
        <v>40221</v>
      </c>
    </row>
    <row r="7552" ht="12.75" customHeight="1">
      <c r="A7552" s="4">
        <v>1050.0</v>
      </c>
      <c r="B7552" s="4">
        <v>7746.0</v>
      </c>
      <c r="C7552" s="5">
        <f>DATE(2012,12,31)-757</f>
        <v>40517</v>
      </c>
      <c r="D7552" s="4" t="s">
        <v>63</v>
      </c>
      <c r="E7552" s="4">
        <v>1.0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8"/>
        <v>40519</v>
      </c>
    </row>
    <row r="7553" ht="12.75" customHeight="1">
      <c r="A7553" s="4">
        <v>1149.0</v>
      </c>
      <c r="B7553" s="4">
        <v>8387.0</v>
      </c>
      <c r="C7553" s="5">
        <f>DATE(2012,12,31)-1017</f>
        <v>40257</v>
      </c>
      <c r="D7553" s="4" t="s">
        <v>45</v>
      </c>
      <c r="E7553" s="4">
        <v>35.0</v>
      </c>
      <c r="F7553" s="4">
        <v>1133.96</v>
      </c>
      <c r="G7553" s="4">
        <v>0.02</v>
      </c>
      <c r="H7553" s="4" t="s">
        <v>22</v>
      </c>
      <c r="I7553" s="6">
        <v>185.0875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9">C7553+1</f>
        <v>40258</v>
      </c>
    </row>
    <row r="7554" ht="12.75" customHeight="1">
      <c r="A7554" s="4">
        <v>1195.0</v>
      </c>
      <c r="B7554" s="4">
        <v>8768.0</v>
      </c>
      <c r="C7554" s="5">
        <f>DATE(2012,12,31)-501</f>
        <v>40773</v>
      </c>
      <c r="D7554" s="4" t="s">
        <v>30</v>
      </c>
      <c r="E7554" s="4">
        <v>44.0</v>
      </c>
      <c r="F7554" s="4">
        <v>2422.4404999999997</v>
      </c>
      <c r="G7554" s="4">
        <v>0.03</v>
      </c>
      <c r="H7554" s="4" t="s">
        <v>22</v>
      </c>
      <c r="I7554" s="6">
        <v>568.179</v>
      </c>
      <c r="J7554" s="4">
        <v>65.99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0.57</v>
      </c>
      <c r="U7554" s="5">
        <f t="shared" si="3209"/>
        <v>40774</v>
      </c>
    </row>
    <row r="7555" ht="12.75" customHeight="1">
      <c r="A7555" s="4">
        <v>1296.0</v>
      </c>
      <c r="B7555" s="4">
        <v>9504.0</v>
      </c>
      <c r="C7555" s="5">
        <f>DATE(2012,12,31)-36</f>
        <v>41238</v>
      </c>
      <c r="D7555" s="4" t="s">
        <v>63</v>
      </c>
      <c r="E7555" s="4">
        <v>17.0</v>
      </c>
      <c r="F7555" s="4">
        <v>1954.796</v>
      </c>
      <c r="G7555" s="4">
        <v>0.05</v>
      </c>
      <c r="H7555" s="4" t="s">
        <v>22</v>
      </c>
      <c r="I7555" s="6">
        <v>98.352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ht="12.75" customHeight="1">
      <c r="A7556" s="4">
        <v>1431.0</v>
      </c>
      <c r="B7556" s="4">
        <v>10341.0</v>
      </c>
      <c r="C7556" s="5">
        <f>DATE(2012,12,31)-10</f>
        <v>41264</v>
      </c>
      <c r="D7556" s="4" t="s">
        <v>30</v>
      </c>
      <c r="E7556" s="4">
        <v>17.0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145.45</v>
      </c>
      <c r="K7556" s="4">
        <v>17.85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</v>
      </c>
      <c r="U7556" s="5">
        <f t="shared" ref="U7556:U7557" si="3210">C7556+1</f>
        <v>41265</v>
      </c>
    </row>
    <row r="7557" ht="12.75" customHeight="1">
      <c r="A7557" s="4">
        <v>1522.0</v>
      </c>
      <c r="B7557" s="4">
        <v>10982.0</v>
      </c>
      <c r="C7557" s="5">
        <f t="shared" ref="C7557:C7559" si="3211">DATE(2012,12,31)-21</f>
        <v>41253</v>
      </c>
      <c r="D7557" s="4" t="s">
        <v>45</v>
      </c>
      <c r="E7557" s="4">
        <v>29.0</v>
      </c>
      <c r="F7557" s="4">
        <v>538.27</v>
      </c>
      <c r="G7557" s="4">
        <v>0.02</v>
      </c>
      <c r="H7557" s="4" t="s">
        <v>22</v>
      </c>
      <c r="I7557" s="6">
        <v>225.199</v>
      </c>
      <c r="J7557" s="4">
        <v>18.94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10"/>
        <v>41254</v>
      </c>
    </row>
    <row r="7558" ht="12.75" customHeight="1">
      <c r="A7558" s="4">
        <v>1523.0</v>
      </c>
      <c r="B7558" s="4">
        <v>10982.0</v>
      </c>
      <c r="C7558" s="5">
        <f t="shared" si="3211"/>
        <v>41253</v>
      </c>
      <c r="D7558" s="4" t="s">
        <v>45</v>
      </c>
      <c r="E7558" s="4">
        <v>30.0</v>
      </c>
      <c r="F7558" s="4">
        <v>3665.41</v>
      </c>
      <c r="G7558" s="4">
        <v>0.05</v>
      </c>
      <c r="H7558" s="4" t="s">
        <v>22</v>
      </c>
      <c r="I7558" s="6">
        <v>1236.359</v>
      </c>
      <c r="J7558" s="4">
        <v>122.99</v>
      </c>
      <c r="K7558" s="4">
        <v>19.99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2">C7558+2</f>
        <v>41255</v>
      </c>
    </row>
    <row r="7559" ht="12.75" customHeight="1">
      <c r="A7559" s="4">
        <v>1524.0</v>
      </c>
      <c r="B7559" s="4">
        <v>10982.0</v>
      </c>
      <c r="C7559" s="5">
        <f t="shared" si="3211"/>
        <v>41253</v>
      </c>
      <c r="D7559" s="4" t="s">
        <v>45</v>
      </c>
      <c r="E7559" s="4">
        <v>14.0</v>
      </c>
      <c r="F7559" s="4">
        <v>20.95</v>
      </c>
      <c r="G7559" s="4">
        <v>0.0</v>
      </c>
      <c r="H7559" s="4" t="s">
        <v>56</v>
      </c>
      <c r="I7559" s="6">
        <v>2.81</v>
      </c>
      <c r="J7559" s="4">
        <v>1.14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2"/>
        <v>41255</v>
      </c>
    </row>
    <row r="7560" ht="12.75" customHeight="1">
      <c r="A7560" s="4">
        <v>1531.0</v>
      </c>
      <c r="B7560" s="4">
        <v>11014.0</v>
      </c>
      <c r="C7560" s="5">
        <f>DATE(2012,12,31)-846</f>
        <v>40428</v>
      </c>
      <c r="D7560" s="4" t="s">
        <v>30</v>
      </c>
      <c r="E7560" s="4">
        <v>39.0</v>
      </c>
      <c r="F7560" s="4">
        <v>286.81</v>
      </c>
      <c r="G7560" s="4">
        <v>0.07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ht="12.75" customHeight="1">
      <c r="A7561" s="4">
        <v>1987.0</v>
      </c>
      <c r="B7561" s="4">
        <v>14176.0</v>
      </c>
      <c r="C7561" s="5">
        <f>DATE(2012,12,31)-1390</f>
        <v>39884</v>
      </c>
      <c r="D7561" s="4" t="s">
        <v>21</v>
      </c>
      <c r="E7561" s="4">
        <v>39.0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ht="12.75" customHeight="1">
      <c r="A7562" s="4">
        <v>2031.0</v>
      </c>
      <c r="B7562" s="4">
        <v>14497.0</v>
      </c>
      <c r="C7562" s="5">
        <f>DATE(2012,12,31)-225</f>
        <v>41049</v>
      </c>
      <c r="D7562" s="4" t="s">
        <v>63</v>
      </c>
      <c r="E7562" s="4">
        <v>34.0</v>
      </c>
      <c r="F7562" s="4">
        <v>214.03</v>
      </c>
      <c r="G7562" s="4">
        <v>0.02</v>
      </c>
      <c r="H7562" s="4" t="s">
        <v>22</v>
      </c>
      <c r="I7562" s="6">
        <v>-138.92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ht="12.75" customHeight="1">
      <c r="A7563" s="4">
        <v>2106.0</v>
      </c>
      <c r="B7563" s="4">
        <v>15074.0</v>
      </c>
      <c r="C7563" s="5">
        <f>DATE(2012,12,31)-1129</f>
        <v>40145</v>
      </c>
      <c r="D7563" s="4" t="s">
        <v>45</v>
      </c>
      <c r="E7563" s="4">
        <v>27.0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ht="12.75" customHeight="1">
      <c r="A7564" s="4">
        <v>2112.0</v>
      </c>
      <c r="B7564" s="4">
        <v>15104.0</v>
      </c>
      <c r="C7564" s="5">
        <f>DATE(2012,12,31)-277</f>
        <v>40997</v>
      </c>
      <c r="D7564" s="4" t="s">
        <v>63</v>
      </c>
      <c r="E7564" s="4">
        <v>23.0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ht="12.75" customHeight="1">
      <c r="A7565" s="4">
        <v>2339.0</v>
      </c>
      <c r="B7565" s="4">
        <v>16834.0</v>
      </c>
      <c r="C7565" s="5">
        <f>DATE(2012,12,31)-800</f>
        <v>40474</v>
      </c>
      <c r="D7565" s="4" t="s">
        <v>21</v>
      </c>
      <c r="E7565" s="4">
        <v>23.0</v>
      </c>
      <c r="F7565" s="4">
        <v>158.78</v>
      </c>
      <c r="G7565" s="4">
        <v>0.07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ht="12.75" customHeight="1">
      <c r="A7566" s="4">
        <v>2407.0</v>
      </c>
      <c r="B7566" s="4">
        <v>17445.0</v>
      </c>
      <c r="C7566" s="5">
        <f>DATE(2012,12,31)-498</f>
        <v>40776</v>
      </c>
      <c r="D7566" s="4" t="s">
        <v>45</v>
      </c>
      <c r="E7566" s="4">
        <v>33.0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ht="12.75" customHeight="1">
      <c r="A7567" s="4">
        <v>2574.0</v>
      </c>
      <c r="B7567" s="4">
        <v>18593.0</v>
      </c>
      <c r="C7567" s="5">
        <f t="shared" ref="C7567:C7568" si="3213">DATE(2012,12,31)-466</f>
        <v>40808</v>
      </c>
      <c r="D7567" s="4" t="s">
        <v>30</v>
      </c>
      <c r="E7567" s="4">
        <v>23.0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ht="12.75" customHeight="1">
      <c r="A7568" s="4">
        <v>2575.0</v>
      </c>
      <c r="B7568" s="4">
        <v>18593.0</v>
      </c>
      <c r="C7568" s="5">
        <f t="shared" si="3213"/>
        <v>40808</v>
      </c>
      <c r="D7568" s="4" t="s">
        <v>30</v>
      </c>
      <c r="E7568" s="4">
        <v>19.0</v>
      </c>
      <c r="F7568" s="4">
        <v>1051.992</v>
      </c>
      <c r="G7568" s="4">
        <v>0.09</v>
      </c>
      <c r="H7568" s="4" t="s">
        <v>31</v>
      </c>
      <c r="I7568" s="6">
        <v>-1280.6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ht="12.75" customHeight="1">
      <c r="A7569" s="4">
        <v>2722.0</v>
      </c>
      <c r="B7569" s="4">
        <v>19652.0</v>
      </c>
      <c r="C7569" s="5">
        <f t="shared" ref="C7569:C7570" si="3214">DATE(2012,12,31)-212</f>
        <v>41062</v>
      </c>
      <c r="D7569" s="4" t="s">
        <v>78</v>
      </c>
      <c r="E7569" s="4">
        <v>28.0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42.0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ht="12.75" customHeight="1">
      <c r="A7570" s="4">
        <v>2723.0</v>
      </c>
      <c r="B7570" s="4">
        <v>19652.0</v>
      </c>
      <c r="C7570" s="5">
        <f t="shared" si="3214"/>
        <v>41062</v>
      </c>
      <c r="D7570" s="4" t="s">
        <v>78</v>
      </c>
      <c r="E7570" s="4">
        <v>34.0</v>
      </c>
      <c r="F7570" s="4">
        <v>1829.8715</v>
      </c>
      <c r="G7570" s="4">
        <v>0.05</v>
      </c>
      <c r="H7570" s="4" t="s">
        <v>22</v>
      </c>
      <c r="I7570" s="6">
        <v>367.461</v>
      </c>
      <c r="J7570" s="4">
        <v>65.99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0.57</v>
      </c>
      <c r="U7570" s="5">
        <f>C7570+2</f>
        <v>41064</v>
      </c>
    </row>
    <row r="7571" ht="12.75" customHeight="1">
      <c r="A7571" s="4">
        <v>2879.0</v>
      </c>
      <c r="B7571" s="4">
        <v>20743.0</v>
      </c>
      <c r="C7571" s="5">
        <f>DATE(2012,12,31)-382</f>
        <v>40892</v>
      </c>
      <c r="D7571" s="4" t="s">
        <v>30</v>
      </c>
      <c r="E7571" s="4">
        <v>39.0</v>
      </c>
      <c r="F7571" s="4">
        <v>231.21</v>
      </c>
      <c r="G7571" s="4">
        <v>0.0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ht="12.75" customHeight="1">
      <c r="A7572" s="4">
        <v>3047.0</v>
      </c>
      <c r="B7572" s="4">
        <v>21862.0</v>
      </c>
      <c r="C7572" s="5">
        <f t="shared" ref="C7572:C7574" si="3215">DATE(2012,12,31)-841</f>
        <v>40433</v>
      </c>
      <c r="D7572" s="4" t="s">
        <v>45</v>
      </c>
      <c r="E7572" s="4">
        <v>1.0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ht="12.75" customHeight="1">
      <c r="A7573" s="4">
        <v>3048.0</v>
      </c>
      <c r="B7573" s="4">
        <v>21862.0</v>
      </c>
      <c r="C7573" s="5">
        <f t="shared" si="3215"/>
        <v>40433</v>
      </c>
      <c r="D7573" s="4" t="s">
        <v>45</v>
      </c>
      <c r="E7573" s="4">
        <v>4.0</v>
      </c>
      <c r="F7573" s="4">
        <v>19014.24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ht="12.75" customHeight="1">
      <c r="A7574" s="4">
        <v>3049.0</v>
      </c>
      <c r="B7574" s="4">
        <v>21862.0</v>
      </c>
      <c r="C7574" s="5">
        <f t="shared" si="3215"/>
        <v>40433</v>
      </c>
      <c r="D7574" s="4" t="s">
        <v>45</v>
      </c>
      <c r="E7574" s="4">
        <v>46.0</v>
      </c>
      <c r="F7574" s="4">
        <v>385.05</v>
      </c>
      <c r="G7574" s="4">
        <v>0.0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ht="12.75" customHeight="1">
      <c r="A7575" s="4">
        <v>3169.0</v>
      </c>
      <c r="B7575" s="4">
        <v>22787.0</v>
      </c>
      <c r="C7575" s="5">
        <f>DATE(2012,12,31)-636</f>
        <v>40638</v>
      </c>
      <c r="D7575" s="4" t="s">
        <v>63</v>
      </c>
      <c r="E7575" s="4">
        <v>35.0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ht="12.75" customHeight="1">
      <c r="A7576" s="4">
        <v>3229.0</v>
      </c>
      <c r="B7576" s="4">
        <v>23170.0</v>
      </c>
      <c r="C7576" s="5">
        <f>DATE(2012,12,31)-1320</f>
        <v>39954</v>
      </c>
      <c r="D7576" s="4" t="s">
        <v>45</v>
      </c>
      <c r="E7576" s="4">
        <v>20.0</v>
      </c>
      <c r="F7576" s="4">
        <v>4252.89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18.06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0.57</v>
      </c>
      <c r="U7576" s="5">
        <f>C7576+2</f>
        <v>39956</v>
      </c>
    </row>
    <row r="7577" ht="12.75" customHeight="1">
      <c r="A7577" s="4">
        <v>3256.0</v>
      </c>
      <c r="B7577" s="4">
        <v>23328.0</v>
      </c>
      <c r="C7577" s="5">
        <f>DATE(2012,12,31)-838</f>
        <v>40436</v>
      </c>
      <c r="D7577" s="4" t="s">
        <v>30</v>
      </c>
      <c r="E7577" s="4">
        <v>39.0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145.45</v>
      </c>
      <c r="K7577" s="4">
        <v>17.85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</v>
      </c>
      <c r="U7577" s="5">
        <f t="shared" ref="U7577:U7578" si="3216">C7577+1</f>
        <v>40437</v>
      </c>
    </row>
    <row r="7578" ht="12.75" customHeight="1">
      <c r="A7578" s="4">
        <v>3403.0</v>
      </c>
      <c r="B7578" s="4">
        <v>24260.0</v>
      </c>
      <c r="C7578" s="5">
        <f>DATE(2012,12,31)-820</f>
        <v>40454</v>
      </c>
      <c r="D7578" s="4" t="s">
        <v>45</v>
      </c>
      <c r="E7578" s="4">
        <v>48.0</v>
      </c>
      <c r="F7578" s="4">
        <v>548.3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0.58</v>
      </c>
      <c r="U7578" s="5">
        <f t="shared" si="3216"/>
        <v>40455</v>
      </c>
    </row>
    <row r="7579" ht="12.75" customHeight="1">
      <c r="A7579" s="4">
        <v>3404.0</v>
      </c>
      <c r="B7579" s="4">
        <v>24261.0</v>
      </c>
      <c r="C7579" s="5">
        <f>DATE(2012,12,31)-105</f>
        <v>41169</v>
      </c>
      <c r="D7579" s="4" t="s">
        <v>78</v>
      </c>
      <c r="E7579" s="4">
        <v>28.0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7">C7579+2</f>
        <v>41171</v>
      </c>
    </row>
    <row r="7580" ht="12.75" customHeight="1">
      <c r="A7580" s="4">
        <v>3646.0</v>
      </c>
      <c r="B7580" s="4">
        <v>26054.0</v>
      </c>
      <c r="C7580" s="5">
        <f>DATE(2012,12,31)-1053</f>
        <v>40221</v>
      </c>
      <c r="D7580" s="4" t="s">
        <v>78</v>
      </c>
      <c r="E7580" s="4">
        <v>47.0</v>
      </c>
      <c r="F7580" s="4">
        <v>396.78</v>
      </c>
      <c r="G7580" s="4">
        <v>0.09</v>
      </c>
      <c r="H7580" s="4" t="s">
        <v>22</v>
      </c>
      <c r="I7580" s="6">
        <v>-321.21</v>
      </c>
      <c r="J7580" s="4">
        <v>8.37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7"/>
        <v>40223</v>
      </c>
    </row>
    <row r="7581" ht="12.75" customHeight="1">
      <c r="A7581" s="4">
        <v>3887.0</v>
      </c>
      <c r="B7581" s="4">
        <v>27750.0</v>
      </c>
      <c r="C7581" s="5">
        <f t="shared" ref="C7581:C7582" si="3218">DATE(2012,12,31)-73</f>
        <v>41201</v>
      </c>
      <c r="D7581" s="4" t="s">
        <v>21</v>
      </c>
      <c r="E7581" s="4">
        <v>12.0</v>
      </c>
      <c r="F7581" s="4">
        <v>769.17</v>
      </c>
      <c r="G7581" s="4">
        <v>0.0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ht="12.75" customHeight="1">
      <c r="A7582" s="4">
        <v>3888.0</v>
      </c>
      <c r="B7582" s="4">
        <v>27750.0</v>
      </c>
      <c r="C7582" s="5">
        <f t="shared" si="3218"/>
        <v>41201</v>
      </c>
      <c r="D7582" s="4" t="s">
        <v>21</v>
      </c>
      <c r="E7582" s="4">
        <v>18.0</v>
      </c>
      <c r="F7582" s="4">
        <v>7370.84</v>
      </c>
      <c r="G7582" s="4">
        <v>0.09</v>
      </c>
      <c r="H7582" s="4" t="s">
        <v>31</v>
      </c>
      <c r="I7582" s="6">
        <v>999.865</v>
      </c>
      <c r="J7582" s="4">
        <v>449.99</v>
      </c>
      <c r="K7582" s="4">
        <v>49.0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ht="12.75" customHeight="1">
      <c r="A7583" s="4">
        <v>3908.0</v>
      </c>
      <c r="B7583" s="4">
        <v>27872.0</v>
      </c>
      <c r="C7583" s="5">
        <f>DATE(2012,12,31)-445</f>
        <v>40829</v>
      </c>
      <c r="D7583" s="4" t="s">
        <v>45</v>
      </c>
      <c r="E7583" s="4">
        <v>25.0</v>
      </c>
      <c r="F7583" s="4">
        <v>388.71</v>
      </c>
      <c r="G7583" s="4">
        <v>0.01</v>
      </c>
      <c r="H7583" s="4" t="s">
        <v>22</v>
      </c>
      <c r="I7583" s="6">
        <v>36.431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ht="12.75" customHeight="1">
      <c r="A7584" s="4">
        <v>4368.0</v>
      </c>
      <c r="B7584" s="4">
        <v>31109.0</v>
      </c>
      <c r="C7584" s="5">
        <f>DATE(2012,12,31)-430</f>
        <v>40844</v>
      </c>
      <c r="D7584" s="4" t="s">
        <v>21</v>
      </c>
      <c r="E7584" s="4">
        <v>49.0</v>
      </c>
      <c r="F7584" s="4">
        <v>1515.0</v>
      </c>
      <c r="G7584" s="4">
        <v>0.08</v>
      </c>
      <c r="H7584" s="4" t="s">
        <v>22</v>
      </c>
      <c r="I7584" s="6">
        <v>219.0365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ht="12.75" customHeight="1">
      <c r="A7585" s="4">
        <v>4521.0</v>
      </c>
      <c r="B7585" s="4">
        <v>32165.0</v>
      </c>
      <c r="C7585" s="5">
        <f t="shared" ref="C7585:C7586" si="3219">DATE(2012,12,31)-78</f>
        <v>41196</v>
      </c>
      <c r="D7585" s="4" t="s">
        <v>45</v>
      </c>
      <c r="E7585" s="4">
        <v>47.0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ht="12.75" customHeight="1">
      <c r="A7586" s="4">
        <v>4522.0</v>
      </c>
      <c r="B7586" s="4">
        <v>32165.0</v>
      </c>
      <c r="C7586" s="5">
        <f t="shared" si="3219"/>
        <v>41196</v>
      </c>
      <c r="D7586" s="4" t="s">
        <v>45</v>
      </c>
      <c r="E7586" s="4">
        <v>38.0</v>
      </c>
      <c r="F7586" s="4">
        <v>2939.6825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20">C7586+1</f>
        <v>41197</v>
      </c>
    </row>
    <row r="7587" ht="12.75" customHeight="1">
      <c r="A7587" s="4">
        <v>4544.0</v>
      </c>
      <c r="B7587" s="4">
        <v>32325.0</v>
      </c>
      <c r="C7587" s="5">
        <f>DATE(2012,12,31)-60</f>
        <v>41214</v>
      </c>
      <c r="D7587" s="4" t="s">
        <v>78</v>
      </c>
      <c r="E7587" s="4">
        <v>45.0</v>
      </c>
      <c r="F7587" s="4">
        <v>1103.73</v>
      </c>
      <c r="G7587" s="4">
        <v>0.0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20"/>
        <v>41215</v>
      </c>
    </row>
    <row r="7588" ht="12.75" customHeight="1">
      <c r="A7588" s="4">
        <v>4627.0</v>
      </c>
      <c r="B7588" s="4">
        <v>32931.0</v>
      </c>
      <c r="C7588" s="5">
        <f t="shared" ref="C7588:C7589" si="3221">DATE(2012,12,31)-1050</f>
        <v>40224</v>
      </c>
      <c r="D7588" s="4" t="s">
        <v>21</v>
      </c>
      <c r="E7588" s="4">
        <v>31.0</v>
      </c>
      <c r="F7588" s="4">
        <v>86.1</v>
      </c>
      <c r="G7588" s="4">
        <v>0.06</v>
      </c>
      <c r="H7588" s="4" t="s">
        <v>22</v>
      </c>
      <c r="I7588" s="6">
        <v>32.7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ht="12.75" customHeight="1">
      <c r="A7589" s="4">
        <v>4628.0</v>
      </c>
      <c r="B7589" s="4">
        <v>32931.0</v>
      </c>
      <c r="C7589" s="5">
        <f t="shared" si="3221"/>
        <v>40224</v>
      </c>
      <c r="D7589" s="4" t="s">
        <v>21</v>
      </c>
      <c r="E7589" s="4">
        <v>25.0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0.57</v>
      </c>
      <c r="U7589" s="5">
        <f>C7589+5</f>
        <v>40229</v>
      </c>
    </row>
    <row r="7590" ht="12.75" customHeight="1">
      <c r="A7590" s="4">
        <v>4660.0</v>
      </c>
      <c r="B7590" s="4">
        <v>33189.0</v>
      </c>
      <c r="C7590" s="5">
        <f t="shared" ref="C7590:C7591" si="3222">DATE(2012,12,31)-1137</f>
        <v>40137</v>
      </c>
      <c r="D7590" s="4" t="s">
        <v>21</v>
      </c>
      <c r="E7590" s="4">
        <v>3.0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4.0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ht="12.75" customHeight="1">
      <c r="A7591" s="4">
        <v>4661.0</v>
      </c>
      <c r="B7591" s="4">
        <v>33189.0</v>
      </c>
      <c r="C7591" s="5">
        <f t="shared" si="3222"/>
        <v>40137</v>
      </c>
      <c r="D7591" s="4" t="s">
        <v>21</v>
      </c>
      <c r="E7591" s="4">
        <v>5.0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ht="12.75" customHeight="1">
      <c r="A7592" s="4">
        <v>4699.0</v>
      </c>
      <c r="B7592" s="4">
        <v>33479.0</v>
      </c>
      <c r="C7592" s="5">
        <f t="shared" ref="C7592:C7593" si="3223">DATE(2012,12,31)-104</f>
        <v>41170</v>
      </c>
      <c r="D7592" s="4" t="s">
        <v>78</v>
      </c>
      <c r="E7592" s="4">
        <v>50.0</v>
      </c>
      <c r="F7592" s="4">
        <v>762.2</v>
      </c>
      <c r="G7592" s="4">
        <v>0.07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4">C7592+2</f>
        <v>41172</v>
      </c>
    </row>
    <row r="7593" ht="12.75" customHeight="1">
      <c r="A7593" s="4">
        <v>4700.0</v>
      </c>
      <c r="B7593" s="4">
        <v>33479.0</v>
      </c>
      <c r="C7593" s="5">
        <f t="shared" si="3223"/>
        <v>41170</v>
      </c>
      <c r="D7593" s="4" t="s">
        <v>78</v>
      </c>
      <c r="E7593" s="4">
        <v>27.0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4"/>
        <v>41172</v>
      </c>
    </row>
    <row r="7594" ht="12.75" customHeight="1">
      <c r="A7594" s="4">
        <v>4827.0</v>
      </c>
      <c r="B7594" s="4">
        <v>34311.0</v>
      </c>
      <c r="C7594" s="5">
        <f t="shared" ref="C7594:C7595" si="3225">DATE(2012,12,31)-1213</f>
        <v>40061</v>
      </c>
      <c r="D7594" s="4" t="s">
        <v>30</v>
      </c>
      <c r="E7594" s="4">
        <v>39.0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</v>
      </c>
      <c r="U7594" s="5">
        <f>C7594+1</f>
        <v>40062</v>
      </c>
    </row>
    <row r="7595" ht="12.75" customHeight="1">
      <c r="A7595" s="4">
        <v>4828.0</v>
      </c>
      <c r="B7595" s="4">
        <v>34311.0</v>
      </c>
      <c r="C7595" s="5">
        <f t="shared" si="3225"/>
        <v>40061</v>
      </c>
      <c r="D7595" s="4" t="s">
        <v>30</v>
      </c>
      <c r="E7595" s="4">
        <v>32.0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6">C7595+2</f>
        <v>40063</v>
      </c>
    </row>
    <row r="7596" ht="12.75" customHeight="1">
      <c r="A7596" s="4">
        <v>4937.0</v>
      </c>
      <c r="B7596" s="4">
        <v>35111.0</v>
      </c>
      <c r="C7596" s="5">
        <f>DATE(2012,12,31)-940</f>
        <v>40334</v>
      </c>
      <c r="D7596" s="4" t="s">
        <v>78</v>
      </c>
      <c r="E7596" s="4">
        <v>39.0</v>
      </c>
      <c r="F7596" s="4">
        <v>893.29</v>
      </c>
      <c r="G7596" s="4">
        <v>0.08</v>
      </c>
      <c r="H7596" s="4" t="s">
        <v>22</v>
      </c>
      <c r="I7596" s="6">
        <v>256.16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6"/>
        <v>40336</v>
      </c>
    </row>
    <row r="7597" ht="12.75" customHeight="1">
      <c r="A7597" s="4">
        <v>4947.0</v>
      </c>
      <c r="B7597" s="4">
        <v>35173.0</v>
      </c>
      <c r="C7597" s="5">
        <f t="shared" ref="C7597:C7598" si="3227">DATE(2012,12,31)-293</f>
        <v>40981</v>
      </c>
      <c r="D7597" s="4" t="s">
        <v>45</v>
      </c>
      <c r="E7597" s="4">
        <v>29.0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</v>
      </c>
      <c r="U7597" s="5">
        <f t="shared" si="3226"/>
        <v>40983</v>
      </c>
    </row>
    <row r="7598" ht="12.75" customHeight="1">
      <c r="A7598" s="4">
        <v>4948.0</v>
      </c>
      <c r="B7598" s="4">
        <v>35173.0</v>
      </c>
      <c r="C7598" s="5">
        <f t="shared" si="3227"/>
        <v>40981</v>
      </c>
      <c r="D7598" s="4" t="s">
        <v>45</v>
      </c>
      <c r="E7598" s="4">
        <v>13.0</v>
      </c>
      <c r="F7598" s="4">
        <v>1446.207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0.57</v>
      </c>
      <c r="U7598" s="5">
        <f t="shared" si="3226"/>
        <v>40983</v>
      </c>
    </row>
    <row r="7599" ht="12.75" customHeight="1">
      <c r="A7599" s="4">
        <v>5169.0</v>
      </c>
      <c r="B7599" s="4">
        <v>36773.0</v>
      </c>
      <c r="C7599" s="5">
        <f>DATE(2012,12,31)-830</f>
        <v>40444</v>
      </c>
      <c r="D7599" s="4" t="s">
        <v>45</v>
      </c>
      <c r="E7599" s="4">
        <v>24.0</v>
      </c>
      <c r="F7599" s="4">
        <v>2048.78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6"/>
        <v>40446</v>
      </c>
    </row>
    <row r="7600" ht="12.75" customHeight="1">
      <c r="A7600" s="4">
        <v>5205.0</v>
      </c>
      <c r="B7600" s="4">
        <v>36997.0</v>
      </c>
      <c r="C7600" s="5">
        <f>DATE(2012,12,31)-757</f>
        <v>40517</v>
      </c>
      <c r="D7600" s="4" t="s">
        <v>45</v>
      </c>
      <c r="E7600" s="4">
        <v>39.0</v>
      </c>
      <c r="F7600" s="4">
        <v>104.33</v>
      </c>
      <c r="G7600" s="4">
        <v>0.0</v>
      </c>
      <c r="H7600" s="4" t="s">
        <v>22</v>
      </c>
      <c r="I7600" s="6">
        <v>39.91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ht="12.75" customHeight="1">
      <c r="A7601" s="4">
        <v>5295.0</v>
      </c>
      <c r="B7601" s="4">
        <v>37700.0</v>
      </c>
      <c r="C7601" s="5">
        <f>DATE(2012,12,31)-1119</f>
        <v>40155</v>
      </c>
      <c r="D7601" s="4" t="s">
        <v>78</v>
      </c>
      <c r="E7601" s="4">
        <v>27.0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19.99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ht="12.75" customHeight="1">
      <c r="A7602" s="4">
        <v>5421.0</v>
      </c>
      <c r="B7602" s="4">
        <v>38529.0</v>
      </c>
      <c r="C7602" s="5">
        <f>DATE(2012,12,31)-1428</f>
        <v>39846</v>
      </c>
      <c r="D7602" s="4" t="s">
        <v>21</v>
      </c>
      <c r="E7602" s="4">
        <v>38.0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1.14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ht="12.75" customHeight="1">
      <c r="A7603" s="4">
        <v>5682.0</v>
      </c>
      <c r="B7603" s="4">
        <v>40162.0</v>
      </c>
      <c r="C7603" s="5">
        <f>DATE(2012,12,31)-1072</f>
        <v>40202</v>
      </c>
      <c r="D7603" s="4" t="s">
        <v>78</v>
      </c>
      <c r="E7603" s="4">
        <v>28.0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ht="12.75" customHeight="1">
      <c r="A7604" s="4">
        <v>5727.0</v>
      </c>
      <c r="B7604" s="4">
        <v>40612.0</v>
      </c>
      <c r="C7604" s="5">
        <f>DATE(2012,12,31)-672</f>
        <v>40602</v>
      </c>
      <c r="D7604" s="4" t="s">
        <v>30</v>
      </c>
      <c r="E7604" s="4">
        <v>9.0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0.58</v>
      </c>
      <c r="U7604" s="5">
        <f t="shared" ref="U7604:U7605" si="3228">C7604+1</f>
        <v>40603</v>
      </c>
    </row>
    <row r="7605" ht="12.75" customHeight="1">
      <c r="A7605" s="4">
        <v>5918.0</v>
      </c>
      <c r="B7605" s="4">
        <v>41987.0</v>
      </c>
      <c r="C7605" s="5">
        <f>DATE(2012,12,31)-437</f>
        <v>40837</v>
      </c>
      <c r="D7605" s="4" t="s">
        <v>45</v>
      </c>
      <c r="E7605" s="4">
        <v>25.0</v>
      </c>
      <c r="F7605" s="4">
        <v>6481.048000000001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8"/>
        <v>40838</v>
      </c>
    </row>
    <row r="7606" ht="12.75" customHeight="1">
      <c r="A7606" s="4">
        <v>5932.0</v>
      </c>
      <c r="B7606" s="4">
        <v>42083.0</v>
      </c>
      <c r="C7606" s="5">
        <f t="shared" ref="C7606:C7608" si="3229">DATE(2012,12,31)-386</f>
        <v>40888</v>
      </c>
      <c r="D7606" s="4" t="s">
        <v>78</v>
      </c>
      <c r="E7606" s="4">
        <v>38.0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0.57</v>
      </c>
      <c r="U7606" s="5">
        <f t="shared" ref="U7606:U7607" si="3230">C7606+2</f>
        <v>40890</v>
      </c>
    </row>
    <row r="7607" ht="12.75" customHeight="1">
      <c r="A7607" s="4">
        <v>5933.0</v>
      </c>
      <c r="B7607" s="4">
        <v>42083.0</v>
      </c>
      <c r="C7607" s="5">
        <f t="shared" si="3229"/>
        <v>40888</v>
      </c>
      <c r="D7607" s="4" t="s">
        <v>78</v>
      </c>
      <c r="E7607" s="4">
        <v>36.0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30"/>
        <v>40890</v>
      </c>
    </row>
    <row r="7608" ht="12.75" customHeight="1">
      <c r="A7608" s="4">
        <v>5934.0</v>
      </c>
      <c r="B7608" s="4">
        <v>42083.0</v>
      </c>
      <c r="C7608" s="5">
        <f t="shared" si="3229"/>
        <v>40888</v>
      </c>
      <c r="D7608" s="4" t="s">
        <v>78</v>
      </c>
      <c r="E7608" s="4">
        <v>33.0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</v>
      </c>
      <c r="U7608" s="5">
        <f>C7608+0</f>
        <v>40888</v>
      </c>
    </row>
    <row r="7609" ht="12.75" customHeight="1">
      <c r="A7609" s="4">
        <v>5941.0</v>
      </c>
      <c r="B7609" s="4">
        <v>42151.0</v>
      </c>
      <c r="C7609" s="5">
        <f>DATE(2012,12,31)-747</f>
        <v>40527</v>
      </c>
      <c r="D7609" s="4" t="s">
        <v>30</v>
      </c>
      <c r="E7609" s="4">
        <v>35.0</v>
      </c>
      <c r="F7609" s="4">
        <v>4408.6695</v>
      </c>
      <c r="G7609" s="4">
        <v>0.05</v>
      </c>
      <c r="H7609" s="4" t="s">
        <v>22</v>
      </c>
      <c r="I7609" s="6">
        <v>1140.669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</v>
      </c>
      <c r="U7609" s="5">
        <f>C7609+3</f>
        <v>40530</v>
      </c>
    </row>
    <row r="7610" ht="12.75" customHeight="1">
      <c r="A7610" s="4">
        <v>6021.0</v>
      </c>
      <c r="B7610" s="4">
        <v>42658.0</v>
      </c>
      <c r="C7610" s="5">
        <f>DATE(2012,12,31)-930</f>
        <v>40344</v>
      </c>
      <c r="D7610" s="4" t="s">
        <v>63</v>
      </c>
      <c r="E7610" s="4">
        <v>29.0</v>
      </c>
      <c r="F7610" s="4">
        <v>146.68</v>
      </c>
      <c r="G7610" s="4">
        <v>0.08</v>
      </c>
      <c r="H7610" s="4" t="s">
        <v>22</v>
      </c>
      <c r="I7610" s="6">
        <v>-8.326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1">C7610+0</f>
        <v>40344</v>
      </c>
    </row>
    <row r="7611" ht="12.75" customHeight="1">
      <c r="A7611" s="4">
        <v>6200.0</v>
      </c>
      <c r="B7611" s="4">
        <v>43911.0</v>
      </c>
      <c r="C7611" s="5">
        <f t="shared" ref="C7611:C7613" si="3232">DATE(2012,12,31)-1447</f>
        <v>39827</v>
      </c>
      <c r="D7611" s="4" t="s">
        <v>63</v>
      </c>
      <c r="E7611" s="4">
        <v>29.0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19.99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1"/>
        <v>39827</v>
      </c>
    </row>
    <row r="7612" ht="12.75" customHeight="1">
      <c r="A7612" s="4">
        <v>6201.0</v>
      </c>
      <c r="B7612" s="4">
        <v>43911.0</v>
      </c>
      <c r="C7612" s="5">
        <f t="shared" si="3232"/>
        <v>39827</v>
      </c>
      <c r="D7612" s="4" t="s">
        <v>63</v>
      </c>
      <c r="E7612" s="4">
        <v>36.0</v>
      </c>
      <c r="F7612" s="4">
        <v>9920.85</v>
      </c>
      <c r="G7612" s="4">
        <v>0.0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0.58</v>
      </c>
      <c r="U7612" s="5">
        <f>C7612+1</f>
        <v>39828</v>
      </c>
    </row>
    <row r="7613" ht="12.75" customHeight="1">
      <c r="A7613" s="4">
        <v>6202.0</v>
      </c>
      <c r="B7613" s="4">
        <v>43911.0</v>
      </c>
      <c r="C7613" s="5">
        <f t="shared" si="3232"/>
        <v>39827</v>
      </c>
      <c r="D7613" s="4" t="s">
        <v>63</v>
      </c>
      <c r="E7613" s="4">
        <v>23.0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0.57</v>
      </c>
      <c r="U7613" s="5">
        <f>C7613+2</f>
        <v>39829</v>
      </c>
    </row>
    <row r="7614" ht="12.75" customHeight="1">
      <c r="A7614" s="4">
        <v>6215.0</v>
      </c>
      <c r="B7614" s="4">
        <v>44005.0</v>
      </c>
      <c r="C7614" s="5">
        <f>DATE(2012,12,31)-850</f>
        <v>40424</v>
      </c>
      <c r="D7614" s="4" t="s">
        <v>63</v>
      </c>
      <c r="E7614" s="4">
        <v>7.0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19.99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ht="12.75" customHeight="1">
      <c r="A7615" s="4">
        <v>6285.0</v>
      </c>
      <c r="B7615" s="4">
        <v>44486.0</v>
      </c>
      <c r="C7615" s="5">
        <f>DATE(2012,12,31)-175</f>
        <v>41099</v>
      </c>
      <c r="D7615" s="4" t="s">
        <v>78</v>
      </c>
      <c r="E7615" s="4">
        <v>36.0</v>
      </c>
      <c r="F7615" s="4">
        <v>198.1</v>
      </c>
      <c r="G7615" s="4">
        <v>0.09</v>
      </c>
      <c r="H7615" s="4" t="s">
        <v>22</v>
      </c>
      <c r="I7615" s="6">
        <v>-66.93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ht="12.75" customHeight="1">
      <c r="A7616" s="4">
        <v>6378.0</v>
      </c>
      <c r="B7616" s="4">
        <v>45284.0</v>
      </c>
      <c r="C7616" s="5">
        <f>DATE(2012,12,31)-359</f>
        <v>40915</v>
      </c>
      <c r="D7616" s="4" t="s">
        <v>30</v>
      </c>
      <c r="E7616" s="4">
        <v>7.0</v>
      </c>
      <c r="F7616" s="4">
        <v>91.43</v>
      </c>
      <c r="G7616" s="4">
        <v>0.0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3">C7616+1</f>
        <v>40916</v>
      </c>
    </row>
    <row r="7617" ht="12.75" customHeight="1">
      <c r="A7617" s="4">
        <v>6424.0</v>
      </c>
      <c r="B7617" s="4">
        <v>45668.0</v>
      </c>
      <c r="C7617" s="5">
        <f>DATE(2012,12,31)-750</f>
        <v>40524</v>
      </c>
      <c r="D7617" s="4" t="s">
        <v>45</v>
      </c>
      <c r="E7617" s="4">
        <v>8.0</v>
      </c>
      <c r="F7617" s="4">
        <v>704.77</v>
      </c>
      <c r="G7617" s="4">
        <v>0.01</v>
      </c>
      <c r="H7617" s="4" t="s">
        <v>31</v>
      </c>
      <c r="I7617" s="6">
        <v>-298.9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3"/>
        <v>40525</v>
      </c>
    </row>
    <row r="7618" ht="12.75" customHeight="1">
      <c r="A7618" s="4">
        <v>6465.0</v>
      </c>
      <c r="B7618" s="4">
        <v>46023.0</v>
      </c>
      <c r="C7618" s="5">
        <f>DATE(2012,12,31)-282</f>
        <v>40992</v>
      </c>
      <c r="D7618" s="4" t="s">
        <v>45</v>
      </c>
      <c r="E7618" s="4">
        <v>50.0</v>
      </c>
      <c r="F7618" s="4">
        <v>1101.76</v>
      </c>
      <c r="G7618" s="4">
        <v>0.07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3"/>
        <v>40993</v>
      </c>
    </row>
    <row r="7619" ht="12.75" customHeight="1">
      <c r="A7619" s="4">
        <v>6544.0</v>
      </c>
      <c r="B7619" s="4">
        <v>46533.0</v>
      </c>
      <c r="C7619" s="5">
        <f t="shared" ref="C7619:C7620" si="3234">DATE(2012,12,31)-1181</f>
        <v>40093</v>
      </c>
      <c r="D7619" s="4" t="s">
        <v>30</v>
      </c>
      <c r="E7619" s="4">
        <v>3.0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3"/>
        <v>40094</v>
      </c>
    </row>
    <row r="7620" ht="12.75" customHeight="1">
      <c r="A7620" s="4">
        <v>6545.0</v>
      </c>
      <c r="B7620" s="4">
        <v>46533.0</v>
      </c>
      <c r="C7620" s="5">
        <f t="shared" si="3234"/>
        <v>40093</v>
      </c>
      <c r="D7620" s="4" t="s">
        <v>30</v>
      </c>
      <c r="E7620" s="4">
        <v>12.0</v>
      </c>
      <c r="F7620" s="4">
        <v>654.874</v>
      </c>
      <c r="G7620" s="4">
        <v>0.1</v>
      </c>
      <c r="H7620" s="4" t="s">
        <v>56</v>
      </c>
      <c r="I7620" s="6">
        <v>-82.06</v>
      </c>
      <c r="J7620" s="4">
        <v>65.99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ht="12.75" customHeight="1">
      <c r="A7621" s="4">
        <v>6784.0</v>
      </c>
      <c r="B7621" s="4">
        <v>48321.0</v>
      </c>
      <c r="C7621" s="5">
        <f>DATE(2012,12,31)-886</f>
        <v>40388</v>
      </c>
      <c r="D7621" s="4" t="s">
        <v>30</v>
      </c>
      <c r="E7621" s="4">
        <v>31.0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19.99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</v>
      </c>
      <c r="U7621" s="5">
        <f t="shared" ref="U7621:U7622" si="3235">C7621+1</f>
        <v>40389</v>
      </c>
    </row>
    <row r="7622" ht="12.75" customHeight="1">
      <c r="A7622" s="4">
        <v>6837.0</v>
      </c>
      <c r="B7622" s="4">
        <v>48673.0</v>
      </c>
      <c r="C7622" s="5">
        <f>DATE(2012,12,31)-249</f>
        <v>41025</v>
      </c>
      <c r="D7622" s="4" t="s">
        <v>45</v>
      </c>
      <c r="E7622" s="4">
        <v>36.0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8.78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0.57</v>
      </c>
      <c r="U7622" s="5">
        <f t="shared" si="3235"/>
        <v>41026</v>
      </c>
    </row>
    <row r="7623" ht="12.75" customHeight="1">
      <c r="A7623" s="4">
        <v>6843.0</v>
      </c>
      <c r="B7623" s="4">
        <v>48742.0</v>
      </c>
      <c r="C7623" s="5">
        <f>DATE(2012,12,31)-258</f>
        <v>41016</v>
      </c>
      <c r="D7623" s="4" t="s">
        <v>45</v>
      </c>
      <c r="E7623" s="4">
        <v>42.0</v>
      </c>
      <c r="F7623" s="4">
        <v>825.63</v>
      </c>
      <c r="G7623" s="4">
        <v>0.03</v>
      </c>
      <c r="H7623" s="4" t="s">
        <v>22</v>
      </c>
      <c r="I7623" s="6">
        <v>379.7375</v>
      </c>
      <c r="J7623" s="4">
        <v>18.94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6">C7623+2</f>
        <v>41018</v>
      </c>
    </row>
    <row r="7624" ht="12.75" customHeight="1">
      <c r="A7624" s="4">
        <v>6876.0</v>
      </c>
      <c r="B7624" s="4">
        <v>48998.0</v>
      </c>
      <c r="C7624" s="5">
        <f>DATE(2012,12,31)-1414</f>
        <v>39860</v>
      </c>
      <c r="D7624" s="4" t="s">
        <v>21</v>
      </c>
      <c r="E7624" s="4">
        <v>15.0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6"/>
        <v>39862</v>
      </c>
    </row>
    <row r="7625" ht="12.75" customHeight="1">
      <c r="A7625" s="4">
        <v>7038.0</v>
      </c>
      <c r="B7625" s="4">
        <v>50246.0</v>
      </c>
      <c r="C7625" s="5">
        <f>DATE(2012,12,31)-866</f>
        <v>40408</v>
      </c>
      <c r="D7625" s="4" t="s">
        <v>63</v>
      </c>
      <c r="E7625" s="4">
        <v>14.0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ht="12.75" customHeight="1">
      <c r="A7626" s="4">
        <v>7172.0</v>
      </c>
      <c r="B7626" s="4">
        <v>51200.0</v>
      </c>
      <c r="C7626" s="5">
        <f>DATE(2012,12,31)-409</f>
        <v>40865</v>
      </c>
      <c r="D7626" s="4" t="s">
        <v>63</v>
      </c>
      <c r="E7626" s="4">
        <v>29.0</v>
      </c>
      <c r="F7626" s="4">
        <v>1617.88</v>
      </c>
      <c r="G7626" s="4">
        <v>0.0</v>
      </c>
      <c r="H7626" s="4" t="s">
        <v>22</v>
      </c>
      <c r="I7626" s="6">
        <v>271.9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ht="12.75" customHeight="1">
      <c r="A7627" s="4">
        <v>7189.0</v>
      </c>
      <c r="B7627" s="4">
        <v>51271.0</v>
      </c>
      <c r="C7627" s="5">
        <f t="shared" ref="C7627:C7628" si="3237">DATE(2012,12,31)-798</f>
        <v>40476</v>
      </c>
      <c r="D7627" s="4" t="s">
        <v>30</v>
      </c>
      <c r="E7627" s="4">
        <v>31.0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140.98</v>
      </c>
      <c r="K7627" s="4">
        <v>36.09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8">C7627+2</f>
        <v>40478</v>
      </c>
    </row>
    <row r="7628" ht="12.75" customHeight="1">
      <c r="A7628" s="4">
        <v>7190.0</v>
      </c>
      <c r="B7628" s="4">
        <v>51271.0</v>
      </c>
      <c r="C7628" s="5">
        <f t="shared" si="3237"/>
        <v>40476</v>
      </c>
      <c r="D7628" s="4" t="s">
        <v>30</v>
      </c>
      <c r="E7628" s="4">
        <v>16.0</v>
      </c>
      <c r="F7628" s="4">
        <v>2882.707</v>
      </c>
      <c r="G7628" s="4">
        <v>0.02</v>
      </c>
      <c r="H7628" s="4" t="s">
        <v>22</v>
      </c>
      <c r="I7628" s="6">
        <v>303.228</v>
      </c>
      <c r="J7628" s="4">
        <v>205.99</v>
      </c>
      <c r="K7628" s="4">
        <v>5.0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8"/>
        <v>40478</v>
      </c>
    </row>
    <row r="7629" ht="12.75" customHeight="1">
      <c r="A7629" s="4">
        <v>7191.0</v>
      </c>
      <c r="B7629" s="4">
        <v>51297.0</v>
      </c>
      <c r="C7629" s="5">
        <f>DATE(2012,12,31)-50</f>
        <v>41224</v>
      </c>
      <c r="D7629" s="4" t="s">
        <v>21</v>
      </c>
      <c r="E7629" s="4">
        <v>41.0</v>
      </c>
      <c r="F7629" s="4">
        <v>356.28</v>
      </c>
      <c r="G7629" s="4">
        <v>0.07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ht="12.75" customHeight="1">
      <c r="A7630" s="4">
        <v>7266.0</v>
      </c>
      <c r="B7630" s="4">
        <v>51842.0</v>
      </c>
      <c r="C7630" s="5">
        <f t="shared" ref="C7630:C7631" si="3239">DATE(2012,12,31)-399</f>
        <v>40875</v>
      </c>
      <c r="D7630" s="4" t="s">
        <v>21</v>
      </c>
      <c r="E7630" s="4">
        <v>1.0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ht="12.75" customHeight="1">
      <c r="A7631" s="4">
        <v>7267.0</v>
      </c>
      <c r="B7631" s="4">
        <v>51842.0</v>
      </c>
      <c r="C7631" s="5">
        <f t="shared" si="3239"/>
        <v>40875</v>
      </c>
      <c r="D7631" s="4" t="s">
        <v>21</v>
      </c>
      <c r="E7631" s="4">
        <v>4.0</v>
      </c>
      <c r="F7631" s="4">
        <v>431.11</v>
      </c>
      <c r="G7631" s="4">
        <v>0.07</v>
      </c>
      <c r="H7631" s="4" t="s">
        <v>22</v>
      </c>
      <c r="I7631" s="6">
        <v>-244.33</v>
      </c>
      <c r="J7631" s="4">
        <v>101.41</v>
      </c>
      <c r="K7631" s="4">
        <v>35.0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ht="12.75" customHeight="1">
      <c r="A7632" s="4">
        <v>7282.0</v>
      </c>
      <c r="B7632" s="4">
        <v>51968.0</v>
      </c>
      <c r="C7632" s="5">
        <f>DATE(2012,12,31)-1213</f>
        <v>40061</v>
      </c>
      <c r="D7632" s="4" t="s">
        <v>63</v>
      </c>
      <c r="E7632" s="4">
        <v>43.0</v>
      </c>
      <c r="F7632" s="4">
        <v>3231.564</v>
      </c>
      <c r="G7632" s="4">
        <v>0.03</v>
      </c>
      <c r="H7632" s="4" t="s">
        <v>22</v>
      </c>
      <c r="I7632" s="6">
        <v>1166.094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</v>
      </c>
      <c r="U7632" s="5">
        <f>C7632+1</f>
        <v>40062</v>
      </c>
    </row>
    <row r="7633" ht="12.75" customHeight="1">
      <c r="A7633" s="4">
        <v>7374.0</v>
      </c>
      <c r="B7633" s="4">
        <v>52578.0</v>
      </c>
      <c r="C7633" s="5">
        <f t="shared" ref="C7633:C7634" si="3240">DATE(2012,12,31)-665</f>
        <v>40609</v>
      </c>
      <c r="D7633" s="4" t="s">
        <v>78</v>
      </c>
      <c r="E7633" s="4">
        <v>38.0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ht="12.75" customHeight="1">
      <c r="A7634" s="4">
        <v>7375.0</v>
      </c>
      <c r="B7634" s="4">
        <v>52578.0</v>
      </c>
      <c r="C7634" s="5">
        <f t="shared" si="3240"/>
        <v>40609</v>
      </c>
      <c r="D7634" s="4" t="s">
        <v>78</v>
      </c>
      <c r="E7634" s="4">
        <v>8.0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69.0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ht="12.75" customHeight="1">
      <c r="A7635" s="4">
        <v>7439.0</v>
      </c>
      <c r="B7635" s="4">
        <v>53027.0</v>
      </c>
      <c r="C7635" s="5">
        <f>DATE(2012,12,31)-797</f>
        <v>40477</v>
      </c>
      <c r="D7635" s="4" t="s">
        <v>21</v>
      </c>
      <c r="E7635" s="4">
        <v>38.0</v>
      </c>
      <c r="F7635" s="4">
        <v>1323.31</v>
      </c>
      <c r="G7635" s="4">
        <v>0.05</v>
      </c>
      <c r="H7635" s="4" t="s">
        <v>22</v>
      </c>
      <c r="I7635" s="6">
        <v>146.64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ht="12.75" customHeight="1">
      <c r="A7636" s="4">
        <v>7580.0</v>
      </c>
      <c r="B7636" s="4">
        <v>54214.0</v>
      </c>
      <c r="C7636" s="5">
        <f>DATE(2012,12,31)-364</f>
        <v>40910</v>
      </c>
      <c r="D7636" s="4" t="s">
        <v>63</v>
      </c>
      <c r="E7636" s="4">
        <v>38.0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ht="12.75" customHeight="1">
      <c r="A7637" s="4">
        <v>7594.0</v>
      </c>
      <c r="B7637" s="4">
        <v>54342.0</v>
      </c>
      <c r="C7637" s="5">
        <f t="shared" ref="C7637:C7638" si="3241">DATE(2012,12,31)-1302</f>
        <v>39972</v>
      </c>
      <c r="D7637" s="4" t="s">
        <v>21</v>
      </c>
      <c r="E7637" s="4">
        <v>35.0</v>
      </c>
      <c r="F7637" s="4">
        <v>3439.39</v>
      </c>
      <c r="G7637" s="4">
        <v>0.05</v>
      </c>
      <c r="H7637" s="4" t="s">
        <v>56</v>
      </c>
      <c r="I7637" s="6">
        <v>1057.62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2">C7637+0</f>
        <v>39972</v>
      </c>
    </row>
    <row r="7638" ht="12.75" customHeight="1">
      <c r="A7638" s="4">
        <v>7595.0</v>
      </c>
      <c r="B7638" s="4">
        <v>54342.0</v>
      </c>
      <c r="C7638" s="5">
        <f t="shared" si="3241"/>
        <v>39972</v>
      </c>
      <c r="D7638" s="4" t="s">
        <v>21</v>
      </c>
      <c r="E7638" s="4">
        <v>2.0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2"/>
        <v>39972</v>
      </c>
    </row>
    <row r="7639" ht="12.75" customHeight="1">
      <c r="A7639" s="4">
        <v>7635.0</v>
      </c>
      <c r="B7639" s="4">
        <v>54656.0</v>
      </c>
      <c r="C7639" s="5">
        <f>DATE(2012,12,31)-42</f>
        <v>41232</v>
      </c>
      <c r="D7639" s="4" t="s">
        <v>30</v>
      </c>
      <c r="E7639" s="4">
        <v>22.0</v>
      </c>
      <c r="F7639" s="4">
        <v>109.52</v>
      </c>
      <c r="G7639" s="4">
        <v>0.09</v>
      </c>
      <c r="H7639" s="4" t="s">
        <v>56</v>
      </c>
      <c r="I7639" s="6">
        <v>-73.34700000000001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ht="12.75" customHeight="1">
      <c r="A7640" s="4">
        <v>7664.0</v>
      </c>
      <c r="B7640" s="4">
        <v>54949.0</v>
      </c>
      <c r="C7640" s="5">
        <f t="shared" ref="C7640:C7641" si="3243">DATE(2012,12,31)-1239</f>
        <v>40035</v>
      </c>
      <c r="D7640" s="4" t="s">
        <v>21</v>
      </c>
      <c r="E7640" s="4">
        <v>32.0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ht="12.75" customHeight="1">
      <c r="A7641" s="4">
        <v>7665.0</v>
      </c>
      <c r="B7641" s="4">
        <v>54949.0</v>
      </c>
      <c r="C7641" s="5">
        <f t="shared" si="3243"/>
        <v>40035</v>
      </c>
      <c r="D7641" s="4" t="s">
        <v>21</v>
      </c>
      <c r="E7641" s="4">
        <v>7.0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ht="12.75" customHeight="1">
      <c r="A7642" s="4">
        <v>7802.0</v>
      </c>
      <c r="B7642" s="4">
        <v>55813.0</v>
      </c>
      <c r="C7642" s="5">
        <f>DATE(2012,12,31)-156</f>
        <v>41118</v>
      </c>
      <c r="D7642" s="4" t="s">
        <v>21</v>
      </c>
      <c r="E7642" s="4">
        <v>39.0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70.71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ht="12.75" customHeight="1">
      <c r="A7643" s="4">
        <v>7910.0</v>
      </c>
      <c r="B7643" s="4">
        <v>56577.0</v>
      </c>
      <c r="C7643" s="5">
        <f>DATE(2012,12,31)-425</f>
        <v>40849</v>
      </c>
      <c r="D7643" s="4" t="s">
        <v>78</v>
      </c>
      <c r="E7643" s="4">
        <v>19.0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4">C7643+2</f>
        <v>40851</v>
      </c>
    </row>
    <row r="7644" ht="12.75" customHeight="1">
      <c r="A7644" s="4">
        <v>7954.0</v>
      </c>
      <c r="B7644" s="4">
        <v>56834.0</v>
      </c>
      <c r="C7644" s="5">
        <f t="shared" ref="C7644:C7645" si="3245">DATE(2012,12,31)-610</f>
        <v>40664</v>
      </c>
      <c r="D7644" s="4" t="s">
        <v>30</v>
      </c>
      <c r="E7644" s="4">
        <v>22.0</v>
      </c>
      <c r="F7644" s="4">
        <v>1900.47</v>
      </c>
      <c r="G7644" s="4">
        <v>0.0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4"/>
        <v>40666</v>
      </c>
    </row>
    <row r="7645" ht="12.75" customHeight="1">
      <c r="A7645" s="4">
        <v>7955.0</v>
      </c>
      <c r="B7645" s="4">
        <v>56834.0</v>
      </c>
      <c r="C7645" s="5">
        <f t="shared" si="3245"/>
        <v>40664</v>
      </c>
      <c r="D7645" s="4" t="s">
        <v>30</v>
      </c>
      <c r="E7645" s="4">
        <v>33.0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ht="12.75" customHeight="1">
      <c r="A7646" s="4">
        <v>8031.0</v>
      </c>
      <c r="B7646" s="4">
        <v>57380.0</v>
      </c>
      <c r="C7646" s="5">
        <f>DATE(2012,12,31)-438</f>
        <v>40836</v>
      </c>
      <c r="D7646" s="4" t="s">
        <v>21</v>
      </c>
      <c r="E7646" s="4">
        <v>3.0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ht="12.75" customHeight="1">
      <c r="A7647" s="4">
        <v>8213.0</v>
      </c>
      <c r="B7647" s="4">
        <v>58722.0</v>
      </c>
      <c r="C7647" s="5">
        <f>DATE(2012,12,31)-81</f>
        <v>41193</v>
      </c>
      <c r="D7647" s="4" t="s">
        <v>78</v>
      </c>
      <c r="E7647" s="4">
        <v>45.0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42.0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6">C7647+2</f>
        <v>41195</v>
      </c>
    </row>
    <row r="7648" ht="12.75" customHeight="1">
      <c r="A7648" s="4">
        <v>8249.0</v>
      </c>
      <c r="B7648" s="4">
        <v>58981.0</v>
      </c>
      <c r="C7648" s="5">
        <f>DATE(2012,12,31)-700</f>
        <v>40574</v>
      </c>
      <c r="D7648" s="4" t="s">
        <v>30</v>
      </c>
      <c r="E7648" s="4">
        <v>28.0</v>
      </c>
      <c r="F7648" s="4">
        <v>1262.75</v>
      </c>
      <c r="G7648" s="4">
        <v>0.07</v>
      </c>
      <c r="H7648" s="4" t="s">
        <v>22</v>
      </c>
      <c r="I7648" s="6">
        <v>422.23</v>
      </c>
      <c r="J7648" s="4">
        <v>46.89</v>
      </c>
      <c r="K7648" s="4">
        <v>5.1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6"/>
        <v>40576</v>
      </c>
    </row>
    <row r="7649" ht="12.75" customHeight="1">
      <c r="A7649" s="4">
        <v>8356.0</v>
      </c>
      <c r="B7649" s="4">
        <v>59686.0</v>
      </c>
      <c r="C7649" s="5">
        <f>DATE(2012,12,31)-664</f>
        <v>40610</v>
      </c>
      <c r="D7649" s="4" t="s">
        <v>21</v>
      </c>
      <c r="E7649" s="4">
        <v>41.0</v>
      </c>
      <c r="F7649" s="4">
        <v>243.37</v>
      </c>
      <c r="G7649" s="4">
        <v>0.01</v>
      </c>
      <c r="H7649" s="4" t="s">
        <v>22</v>
      </c>
      <c r="I7649" s="6">
        <v>-106.421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ht="12.75" customHeight="1">
      <c r="A7650" s="4">
        <v>939.0</v>
      </c>
      <c r="B7650" s="4">
        <v>6791.0</v>
      </c>
      <c r="C7650" s="5">
        <f>DATE(2012,12,31)-699</f>
        <v>40575</v>
      </c>
      <c r="D7650" s="4" t="s">
        <v>63</v>
      </c>
      <c r="E7650" s="4">
        <v>14.0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ht="12.75" customHeight="1">
      <c r="A7651" s="4">
        <v>1359.0</v>
      </c>
      <c r="B7651" s="4">
        <v>9895.0</v>
      </c>
      <c r="C7651" s="5">
        <f t="shared" ref="C7651:C7653" si="3247">DATE(2012,12,31)-986</f>
        <v>40288</v>
      </c>
      <c r="D7651" s="4" t="s">
        <v>21</v>
      </c>
      <c r="E7651" s="4">
        <v>9.0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</v>
      </c>
      <c r="U7651" s="5">
        <f t="shared" ref="U7651:U7652" si="3248">C7651+4</f>
        <v>40292</v>
      </c>
    </row>
    <row r="7652" ht="12.75" customHeight="1">
      <c r="A7652" s="4">
        <v>1640.0</v>
      </c>
      <c r="B7652" s="4">
        <v>11846.0</v>
      </c>
      <c r="C7652" s="5">
        <f t="shared" si="3247"/>
        <v>40288</v>
      </c>
      <c r="D7652" s="4" t="s">
        <v>21</v>
      </c>
      <c r="E7652" s="4">
        <v>49.0</v>
      </c>
      <c r="F7652" s="4">
        <v>7319.85</v>
      </c>
      <c r="G7652" s="4">
        <v>0.03</v>
      </c>
      <c r="H7652" s="4" t="s">
        <v>22</v>
      </c>
      <c r="I7652" s="6">
        <v>611.43</v>
      </c>
      <c r="J7652" s="4">
        <v>152.48</v>
      </c>
      <c r="K7652" s="4">
        <v>4.0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8"/>
        <v>40292</v>
      </c>
    </row>
    <row r="7653" ht="12.75" customHeight="1">
      <c r="A7653" s="4">
        <v>1641.0</v>
      </c>
      <c r="B7653" s="4">
        <v>11846.0</v>
      </c>
      <c r="C7653" s="5">
        <f t="shared" si="3247"/>
        <v>40288</v>
      </c>
      <c r="D7653" s="4" t="s">
        <v>21</v>
      </c>
      <c r="E7653" s="4">
        <v>28.0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8.79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ht="12.75" customHeight="1">
      <c r="A7654" s="4">
        <v>1733.0</v>
      </c>
      <c r="B7654" s="4">
        <v>12450.0</v>
      </c>
      <c r="C7654" s="5">
        <f>DATE(2012,12,31)-1390</f>
        <v>39884</v>
      </c>
      <c r="D7654" s="4" t="s">
        <v>45</v>
      </c>
      <c r="E7654" s="4">
        <v>15.0</v>
      </c>
      <c r="F7654" s="4">
        <v>1146.41</v>
      </c>
      <c r="G7654" s="4">
        <v>0.0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ht="12.75" customHeight="1">
      <c r="A7655" s="4">
        <v>2290.0</v>
      </c>
      <c r="B7655" s="4">
        <v>16518.0</v>
      </c>
      <c r="C7655" s="5">
        <f t="shared" ref="C7655:C7656" si="3249">DATE(2012,12,31)-93</f>
        <v>41181</v>
      </c>
      <c r="D7655" s="4" t="s">
        <v>78</v>
      </c>
      <c r="E7655" s="4">
        <v>4.0</v>
      </c>
      <c r="F7655" s="4">
        <v>80.29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ht="12.75" customHeight="1">
      <c r="A7656" s="4">
        <v>2291.0</v>
      </c>
      <c r="B7656" s="4">
        <v>16518.0</v>
      </c>
      <c r="C7656" s="5">
        <f t="shared" si="3249"/>
        <v>41181</v>
      </c>
      <c r="D7656" s="4" t="s">
        <v>78</v>
      </c>
      <c r="E7656" s="4">
        <v>36.0</v>
      </c>
      <c r="F7656" s="4">
        <v>2628.9224999999997</v>
      </c>
      <c r="G7656" s="4">
        <v>0.03</v>
      </c>
      <c r="H7656" s="4" t="s">
        <v>22</v>
      </c>
      <c r="I7656" s="6">
        <v>832.194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</v>
      </c>
      <c r="U7656" s="5">
        <f>C7656+3</f>
        <v>41184</v>
      </c>
    </row>
    <row r="7657" ht="12.75" customHeight="1">
      <c r="A7657" s="4">
        <v>2459.0</v>
      </c>
      <c r="B7657" s="4">
        <v>17860.0</v>
      </c>
      <c r="C7657" s="5">
        <f>DATE(2012,12,31)-635</f>
        <v>40639</v>
      </c>
      <c r="D7657" s="4" t="s">
        <v>78</v>
      </c>
      <c r="E7657" s="4">
        <v>16.0</v>
      </c>
      <c r="F7657" s="4">
        <v>139.0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0.58</v>
      </c>
      <c r="U7657" s="5">
        <f>C7657+2</f>
        <v>40641</v>
      </c>
    </row>
    <row r="7658" ht="12.75" customHeight="1">
      <c r="A7658" s="4">
        <v>2465.0</v>
      </c>
      <c r="B7658" s="4">
        <v>17952.0</v>
      </c>
      <c r="C7658" s="5">
        <f>DATE(2012,12,31)-812</f>
        <v>40462</v>
      </c>
      <c r="D7658" s="4" t="s">
        <v>63</v>
      </c>
      <c r="E7658" s="4">
        <v>28.0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ht="12.75" customHeight="1">
      <c r="A7659" s="4">
        <v>2578.0</v>
      </c>
      <c r="B7659" s="4">
        <v>18596.0</v>
      </c>
      <c r="C7659" s="5">
        <f t="shared" ref="C7659:C7660" si="3250">DATE(2012,12,31)-90</f>
        <v>41184</v>
      </c>
      <c r="D7659" s="4" t="s">
        <v>21</v>
      </c>
      <c r="E7659" s="4">
        <v>42.0</v>
      </c>
      <c r="F7659" s="4">
        <v>4917.69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30.0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1">C7659+2</f>
        <v>41186</v>
      </c>
    </row>
    <row r="7660" ht="12.75" customHeight="1">
      <c r="A7660" s="4">
        <v>2579.0</v>
      </c>
      <c r="B7660" s="4">
        <v>18596.0</v>
      </c>
      <c r="C7660" s="5">
        <f t="shared" si="3250"/>
        <v>41184</v>
      </c>
      <c r="D7660" s="4" t="s">
        <v>21</v>
      </c>
      <c r="E7660" s="4">
        <v>32.0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1"/>
        <v>41186</v>
      </c>
    </row>
    <row r="7661" ht="12.75" customHeight="1">
      <c r="A7661" s="4">
        <v>2957.0</v>
      </c>
      <c r="B7661" s="4">
        <v>21410.0</v>
      </c>
      <c r="C7661" s="5">
        <f>DATE(2012,12,31)-244</f>
        <v>41030</v>
      </c>
      <c r="D7661" s="4" t="s">
        <v>78</v>
      </c>
      <c r="E7661" s="4">
        <v>16.0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1"/>
        <v>41032</v>
      </c>
    </row>
    <row r="7662" ht="12.75" customHeight="1">
      <c r="A7662" s="4">
        <v>3148.0</v>
      </c>
      <c r="B7662" s="4">
        <v>22563.0</v>
      </c>
      <c r="C7662" s="5">
        <f>DATE(2012,12,31)-225</f>
        <v>41049</v>
      </c>
      <c r="D7662" s="4" t="s">
        <v>78</v>
      </c>
      <c r="E7662" s="4">
        <v>32.0</v>
      </c>
      <c r="F7662" s="4">
        <v>251.51</v>
      </c>
      <c r="G7662" s="4">
        <v>0.06</v>
      </c>
      <c r="H7662" s="4" t="s">
        <v>22</v>
      </c>
      <c r="I7662" s="6">
        <v>-9.78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ht="12.75" customHeight="1">
      <c r="A7663" s="4">
        <v>3553.0</v>
      </c>
      <c r="B7663" s="4">
        <v>25318.0</v>
      </c>
      <c r="C7663" s="5">
        <f>DATE(2012,12,31)-408</f>
        <v>40866</v>
      </c>
      <c r="D7663" s="4" t="s">
        <v>78</v>
      </c>
      <c r="E7663" s="4">
        <v>1.0</v>
      </c>
      <c r="F7663" s="4">
        <v>3.2</v>
      </c>
      <c r="G7663" s="4">
        <v>0.09</v>
      </c>
      <c r="H7663" s="4" t="s">
        <v>22</v>
      </c>
      <c r="I7663" s="6">
        <v>-3.1625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2">C7663+2</f>
        <v>40868</v>
      </c>
    </row>
    <row r="7664" ht="12.75" customHeight="1">
      <c r="A7664" s="4">
        <v>3732.0</v>
      </c>
      <c r="B7664" s="4">
        <v>26688.0</v>
      </c>
      <c r="C7664" s="5">
        <f t="shared" ref="C7664:C7665" si="3253">DATE(2012,12,31)-866</f>
        <v>40408</v>
      </c>
      <c r="D7664" s="4" t="s">
        <v>63</v>
      </c>
      <c r="E7664" s="4">
        <v>21.0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0.57</v>
      </c>
      <c r="U7664" s="5">
        <f t="shared" si="3252"/>
        <v>40410</v>
      </c>
    </row>
    <row r="7665" ht="12.75" customHeight="1">
      <c r="A7665" s="4">
        <v>3733.0</v>
      </c>
      <c r="B7665" s="4">
        <v>26688.0</v>
      </c>
      <c r="C7665" s="5">
        <f t="shared" si="3253"/>
        <v>40408</v>
      </c>
      <c r="D7665" s="4" t="s">
        <v>63</v>
      </c>
      <c r="E7665" s="4">
        <v>7.0</v>
      </c>
      <c r="F7665" s="4">
        <v>69.4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ht="12.75" customHeight="1">
      <c r="A7666" s="4">
        <v>3762.0</v>
      </c>
      <c r="B7666" s="4">
        <v>26881.0</v>
      </c>
      <c r="C7666" s="5">
        <f>DATE(2012,12,31)-1248</f>
        <v>40026</v>
      </c>
      <c r="D7666" s="4" t="s">
        <v>21</v>
      </c>
      <c r="E7666" s="4">
        <v>26.0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ht="12.75" customHeight="1">
      <c r="A7667" s="4">
        <v>3763.0</v>
      </c>
      <c r="B7667" s="4">
        <v>26887.0</v>
      </c>
      <c r="C7667" s="5">
        <f t="shared" ref="C7667:C7668" si="3254">DATE(2012,12,31)-596</f>
        <v>40678</v>
      </c>
      <c r="D7667" s="4" t="s">
        <v>78</v>
      </c>
      <c r="E7667" s="4">
        <v>38.0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</v>
      </c>
      <c r="U7667" s="5">
        <f>C7667+1</f>
        <v>40679</v>
      </c>
    </row>
    <row r="7668" ht="12.75" customHeight="1">
      <c r="A7668" s="4">
        <v>3764.0</v>
      </c>
      <c r="B7668" s="4">
        <v>26887.0</v>
      </c>
      <c r="C7668" s="5">
        <f t="shared" si="3254"/>
        <v>40678</v>
      </c>
      <c r="D7668" s="4" t="s">
        <v>78</v>
      </c>
      <c r="E7668" s="4">
        <v>23.0</v>
      </c>
      <c r="F7668" s="4">
        <v>193.84</v>
      </c>
      <c r="G7668" s="4">
        <v>0.07</v>
      </c>
      <c r="H7668" s="4" t="s">
        <v>56</v>
      </c>
      <c r="I7668" s="6">
        <v>-117.1045</v>
      </c>
      <c r="J7668" s="4">
        <v>8.04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ht="12.75" customHeight="1">
      <c r="A7669" s="4">
        <v>4184.0</v>
      </c>
      <c r="B7669" s="4">
        <v>29761.0</v>
      </c>
      <c r="C7669" s="5">
        <f t="shared" ref="C7669:C7671" si="3255">DATE(2012,12,31)-181</f>
        <v>41093</v>
      </c>
      <c r="D7669" s="4" t="s">
        <v>63</v>
      </c>
      <c r="E7669" s="4">
        <v>48.0</v>
      </c>
      <c r="F7669" s="4">
        <v>1463.105</v>
      </c>
      <c r="G7669" s="4">
        <v>0.06</v>
      </c>
      <c r="H7669" s="4" t="s">
        <v>22</v>
      </c>
      <c r="I7669" s="6">
        <v>446.994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0.57</v>
      </c>
      <c r="U7669" s="5">
        <f>C7669+1</f>
        <v>41094</v>
      </c>
    </row>
    <row r="7670" ht="12.75" customHeight="1">
      <c r="A7670" s="4">
        <v>4185.0</v>
      </c>
      <c r="B7670" s="4">
        <v>29761.0</v>
      </c>
      <c r="C7670" s="5">
        <f t="shared" si="3255"/>
        <v>41093</v>
      </c>
      <c r="D7670" s="4" t="s">
        <v>63</v>
      </c>
      <c r="E7670" s="4">
        <v>42.0</v>
      </c>
      <c r="F7670" s="4">
        <v>1085.4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ht="12.75" customHeight="1">
      <c r="A7671" s="4">
        <v>4186.0</v>
      </c>
      <c r="B7671" s="4">
        <v>29761.0</v>
      </c>
      <c r="C7671" s="5">
        <f t="shared" si="3255"/>
        <v>41093</v>
      </c>
      <c r="D7671" s="4" t="s">
        <v>63</v>
      </c>
      <c r="E7671" s="4">
        <v>19.0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ht="12.75" customHeight="1">
      <c r="A7672" s="4">
        <v>4462.0</v>
      </c>
      <c r="B7672" s="4">
        <v>31810.0</v>
      </c>
      <c r="C7672" s="5">
        <f>DATE(2012,12,31)-1320</f>
        <v>39954</v>
      </c>
      <c r="D7672" s="4" t="s">
        <v>78</v>
      </c>
      <c r="E7672" s="4">
        <v>46.0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ht="12.75" customHeight="1">
      <c r="A7673" s="4">
        <v>5131.0</v>
      </c>
      <c r="B7673" s="4">
        <v>36548.0</v>
      </c>
      <c r="C7673" s="5">
        <f>DATE(2012,12,31)-793</f>
        <v>40481</v>
      </c>
      <c r="D7673" s="4" t="s">
        <v>21</v>
      </c>
      <c r="E7673" s="4">
        <v>8.0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ht="12.75" customHeight="1">
      <c r="A7674" s="4">
        <v>5581.0</v>
      </c>
      <c r="B7674" s="4">
        <v>39585.0</v>
      </c>
      <c r="C7674" s="5">
        <f>DATE(2012,12,31)-368</f>
        <v>40906</v>
      </c>
      <c r="D7674" s="4" t="s">
        <v>45</v>
      </c>
      <c r="E7674" s="4">
        <v>32.0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6">C7674+1</f>
        <v>40907</v>
      </c>
    </row>
    <row r="7675" ht="12.75" customHeight="1">
      <c r="A7675" s="4">
        <v>5890.0</v>
      </c>
      <c r="B7675" s="4">
        <v>41793.0</v>
      </c>
      <c r="C7675" s="5">
        <f>DATE(2012,12,31)-1326</f>
        <v>39948</v>
      </c>
      <c r="D7675" s="4" t="s">
        <v>30</v>
      </c>
      <c r="E7675" s="4">
        <v>48.0</v>
      </c>
      <c r="F7675" s="4">
        <v>1286.87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6"/>
        <v>39949</v>
      </c>
    </row>
    <row r="7676" ht="12.75" customHeight="1">
      <c r="A7676" s="4">
        <v>6062.0</v>
      </c>
      <c r="B7676" s="4">
        <v>42949.0</v>
      </c>
      <c r="C7676" s="5">
        <f t="shared" ref="C7676:C7677" si="3257">DATE(2012,12,31)-1320</f>
        <v>39954</v>
      </c>
      <c r="D7676" s="4" t="s">
        <v>45</v>
      </c>
      <c r="E7676" s="4">
        <v>40.0</v>
      </c>
      <c r="F7676" s="4">
        <v>202.11</v>
      </c>
      <c r="G7676" s="4">
        <v>0.08</v>
      </c>
      <c r="H7676" s="4" t="s">
        <v>22</v>
      </c>
      <c r="I7676" s="6">
        <v>-17.49</v>
      </c>
      <c r="J7676" s="4">
        <v>5.0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6"/>
        <v>39955</v>
      </c>
    </row>
    <row r="7677" ht="12.75" customHeight="1">
      <c r="A7677" s="4">
        <v>6063.0</v>
      </c>
      <c r="B7677" s="4">
        <v>42949.0</v>
      </c>
      <c r="C7677" s="5">
        <f t="shared" si="3257"/>
        <v>39954</v>
      </c>
      <c r="D7677" s="4" t="s">
        <v>45</v>
      </c>
      <c r="E7677" s="4">
        <v>49.0</v>
      </c>
      <c r="F7677" s="4">
        <v>630.99</v>
      </c>
      <c r="G7677" s="4">
        <v>0.07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8">C7677+2</f>
        <v>39956</v>
      </c>
    </row>
    <row r="7678" ht="12.75" customHeight="1">
      <c r="A7678" s="4">
        <v>6075.0</v>
      </c>
      <c r="B7678" s="4">
        <v>43044.0</v>
      </c>
      <c r="C7678" s="5">
        <f t="shared" ref="C7678:C7679" si="3259">DATE(2012,12,31)-1171</f>
        <v>40103</v>
      </c>
      <c r="D7678" s="4" t="s">
        <v>63</v>
      </c>
      <c r="E7678" s="4">
        <v>23.0</v>
      </c>
      <c r="F7678" s="4">
        <v>103.5</v>
      </c>
      <c r="G7678" s="4">
        <v>0.06</v>
      </c>
      <c r="H7678" s="4" t="s">
        <v>22</v>
      </c>
      <c r="I7678" s="6">
        <v>-73.071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8"/>
        <v>40105</v>
      </c>
    </row>
    <row r="7679" ht="12.75" customHeight="1">
      <c r="A7679" s="4">
        <v>6076.0</v>
      </c>
      <c r="B7679" s="4">
        <v>43044.0</v>
      </c>
      <c r="C7679" s="5">
        <f t="shared" si="3259"/>
        <v>40103</v>
      </c>
      <c r="D7679" s="4" t="s">
        <v>63</v>
      </c>
      <c r="E7679" s="4">
        <v>3.0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8"/>
        <v>40105</v>
      </c>
    </row>
    <row r="7680" ht="12.75" customHeight="1">
      <c r="A7680" s="4">
        <v>6466.0</v>
      </c>
      <c r="B7680" s="4">
        <v>46048.0</v>
      </c>
      <c r="C7680" s="5">
        <f t="shared" ref="C7680:C7681" si="3260">DATE(2012,12,31)-20</f>
        <v>41254</v>
      </c>
      <c r="D7680" s="4" t="s">
        <v>63</v>
      </c>
      <c r="E7680" s="4">
        <v>10.0</v>
      </c>
      <c r="F7680" s="4">
        <v>135.77</v>
      </c>
      <c r="G7680" s="4">
        <v>0.05</v>
      </c>
      <c r="H7680" s="4" t="s">
        <v>56</v>
      </c>
      <c r="I7680" s="6">
        <v>0.5299999999999976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8"/>
        <v>41256</v>
      </c>
    </row>
    <row r="7681" ht="12.75" customHeight="1">
      <c r="A7681" s="4">
        <v>6467.0</v>
      </c>
      <c r="B7681" s="4">
        <v>46048.0</v>
      </c>
      <c r="C7681" s="5">
        <f t="shared" si="3260"/>
        <v>41254</v>
      </c>
      <c r="D7681" s="4" t="s">
        <v>63</v>
      </c>
      <c r="E7681" s="4">
        <v>35.0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8"/>
        <v>41256</v>
      </c>
    </row>
    <row r="7682" ht="12.75" customHeight="1">
      <c r="A7682" s="4">
        <v>6788.0</v>
      </c>
      <c r="B7682" s="4">
        <v>48354.0</v>
      </c>
      <c r="C7682" s="5">
        <f>DATE(2012,12,31)-621</f>
        <v>40653</v>
      </c>
      <c r="D7682" s="4" t="s">
        <v>63</v>
      </c>
      <c r="E7682" s="4">
        <v>25.0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ht="12.75" customHeight="1">
      <c r="A7683" s="4">
        <v>6793.0</v>
      </c>
      <c r="B7683" s="4">
        <v>48416.0</v>
      </c>
      <c r="C7683" s="5">
        <f>DATE(2012,12,31)-1274</f>
        <v>40000</v>
      </c>
      <c r="D7683" s="4" t="s">
        <v>45</v>
      </c>
      <c r="E7683" s="4">
        <v>23.0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ht="12.75" customHeight="1">
      <c r="A7684" s="4">
        <v>6968.0</v>
      </c>
      <c r="B7684" s="4">
        <v>49798.0</v>
      </c>
      <c r="C7684" s="5">
        <f t="shared" ref="C7684:C7685" si="3261">DATE(2012,12,31)-23</f>
        <v>41251</v>
      </c>
      <c r="D7684" s="4" t="s">
        <v>78</v>
      </c>
      <c r="E7684" s="4">
        <v>5.0</v>
      </c>
      <c r="F7684" s="4">
        <v>1424.95</v>
      </c>
      <c r="G7684" s="4">
        <v>0.09</v>
      </c>
      <c r="H7684" s="4" t="s">
        <v>31</v>
      </c>
      <c r="I7684" s="6">
        <v>-517.83</v>
      </c>
      <c r="J7684" s="4">
        <v>280.98</v>
      </c>
      <c r="K7684" s="4">
        <v>57.0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ht="12.75" customHeight="1">
      <c r="A7685" s="4">
        <v>6969.0</v>
      </c>
      <c r="B7685" s="4">
        <v>49798.0</v>
      </c>
      <c r="C7685" s="5">
        <f t="shared" si="3261"/>
        <v>41251</v>
      </c>
      <c r="D7685" s="4" t="s">
        <v>78</v>
      </c>
      <c r="E7685" s="4">
        <v>29.0</v>
      </c>
      <c r="F7685" s="4">
        <v>321.5</v>
      </c>
      <c r="G7685" s="4">
        <v>0.03</v>
      </c>
      <c r="H7685" s="4" t="s">
        <v>22</v>
      </c>
      <c r="I7685" s="6">
        <v>20.31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0.57</v>
      </c>
      <c r="U7685" s="5">
        <f>C7685+0</f>
        <v>41251</v>
      </c>
    </row>
    <row r="7686" ht="12.75" customHeight="1">
      <c r="A7686" s="4">
        <v>7073.0</v>
      </c>
      <c r="B7686" s="4">
        <v>50470.0</v>
      </c>
      <c r="C7686" s="5">
        <f>DATE(2012,12,31)-861</f>
        <v>40413</v>
      </c>
      <c r="D7686" s="4" t="s">
        <v>21</v>
      </c>
      <c r="E7686" s="4">
        <v>38.0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0.57</v>
      </c>
      <c r="U7686" s="5">
        <f>C7686+5</f>
        <v>40418</v>
      </c>
    </row>
    <row r="7687" ht="12.75" customHeight="1">
      <c r="A7687" s="4">
        <v>7418.0</v>
      </c>
      <c r="B7687" s="4">
        <v>52900.0</v>
      </c>
      <c r="C7687" s="5">
        <f>DATE(2012,12,31)-591</f>
        <v>40683</v>
      </c>
      <c r="D7687" s="4" t="s">
        <v>30</v>
      </c>
      <c r="E7687" s="4">
        <v>16.0</v>
      </c>
      <c r="F7687" s="4">
        <v>101.14</v>
      </c>
      <c r="G7687" s="4">
        <v>0.0</v>
      </c>
      <c r="H7687" s="4" t="s">
        <v>22</v>
      </c>
      <c r="I7687" s="6">
        <v>-32.62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2">C7687+2</f>
        <v>40685</v>
      </c>
    </row>
    <row r="7688" ht="12.75" customHeight="1">
      <c r="A7688" s="4">
        <v>8070.0</v>
      </c>
      <c r="B7688" s="4">
        <v>57572.0</v>
      </c>
      <c r="C7688" s="5">
        <f t="shared" ref="C7688:C7689" si="3263">DATE(2012,12,31)-538</f>
        <v>40736</v>
      </c>
      <c r="D7688" s="4" t="s">
        <v>63</v>
      </c>
      <c r="E7688" s="4">
        <v>30.0</v>
      </c>
      <c r="F7688" s="4">
        <v>139.08</v>
      </c>
      <c r="G7688" s="4">
        <v>0.1</v>
      </c>
      <c r="H7688" s="4" t="s">
        <v>22</v>
      </c>
      <c r="I7688" s="6">
        <v>-120.04</v>
      </c>
      <c r="J7688" s="4">
        <v>4.98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2"/>
        <v>40738</v>
      </c>
    </row>
    <row r="7689" ht="12.75" customHeight="1">
      <c r="A7689" s="4">
        <v>8071.0</v>
      </c>
      <c r="B7689" s="4">
        <v>57572.0</v>
      </c>
      <c r="C7689" s="5">
        <f t="shared" si="3263"/>
        <v>40736</v>
      </c>
      <c r="D7689" s="4" t="s">
        <v>63</v>
      </c>
      <c r="E7689" s="4">
        <v>9.0</v>
      </c>
      <c r="F7689" s="4">
        <v>75.28</v>
      </c>
      <c r="G7689" s="4">
        <v>0.0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ht="12.75" customHeight="1">
      <c r="A7690" s="4">
        <v>8097.0</v>
      </c>
      <c r="B7690" s="4">
        <v>57766.0</v>
      </c>
      <c r="C7690" s="5">
        <f>DATE(2012,12,31)-976</f>
        <v>40298</v>
      </c>
      <c r="D7690" s="4" t="s">
        <v>30</v>
      </c>
      <c r="E7690" s="4">
        <v>17.0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19.99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ht="12.75" customHeight="1">
      <c r="A7691" s="4">
        <v>8189.0</v>
      </c>
      <c r="B7691" s="4">
        <v>58566.0</v>
      </c>
      <c r="C7691" s="5">
        <f t="shared" ref="C7691:C7692" si="3264">DATE(2012,12,31)-496</f>
        <v>40778</v>
      </c>
      <c r="D7691" s="4" t="s">
        <v>45</v>
      </c>
      <c r="E7691" s="4">
        <v>45.0</v>
      </c>
      <c r="F7691" s="4">
        <v>4680.89</v>
      </c>
      <c r="G7691" s="4">
        <v>0.07</v>
      </c>
      <c r="H7691" s="4" t="s">
        <v>22</v>
      </c>
      <c r="I7691" s="6">
        <v>693.01</v>
      </c>
      <c r="J7691" s="4">
        <v>105.29</v>
      </c>
      <c r="K7691" s="4">
        <v>10.12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ht="12.75" customHeight="1">
      <c r="A7692" s="4">
        <v>8190.0</v>
      </c>
      <c r="B7692" s="4">
        <v>58566.0</v>
      </c>
      <c r="C7692" s="5">
        <f t="shared" si="3264"/>
        <v>40778</v>
      </c>
      <c r="D7692" s="4" t="s">
        <v>45</v>
      </c>
      <c r="E7692" s="4">
        <v>42.0</v>
      </c>
      <c r="F7692" s="4">
        <v>2414.9945</v>
      </c>
      <c r="G7692" s="4">
        <v>0.01</v>
      </c>
      <c r="H7692" s="4" t="s">
        <v>56</v>
      </c>
      <c r="I7692" s="6">
        <v>624.708</v>
      </c>
      <c r="J7692" s="4">
        <v>65.99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0.58</v>
      </c>
      <c r="U7692" s="5">
        <f>C7692+2</f>
        <v>40780</v>
      </c>
    </row>
    <row r="7693" ht="12.75" customHeight="1">
      <c r="A7693" s="4">
        <v>8204.0</v>
      </c>
      <c r="B7693" s="4">
        <v>58658.0</v>
      </c>
      <c r="C7693" s="5">
        <f t="shared" ref="C7693:C7695" si="3265">DATE(2012,12,31)-203</f>
        <v>41071</v>
      </c>
      <c r="D7693" s="4" t="s">
        <v>63</v>
      </c>
      <c r="E7693" s="4">
        <v>7.0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6">C7693+1</f>
        <v>41072</v>
      </c>
    </row>
    <row r="7694" ht="12.75" customHeight="1">
      <c r="A7694" s="4">
        <v>8205.0</v>
      </c>
      <c r="B7694" s="4">
        <v>58658.0</v>
      </c>
      <c r="C7694" s="5">
        <f t="shared" si="3265"/>
        <v>41071</v>
      </c>
      <c r="D7694" s="4" t="s">
        <v>63</v>
      </c>
      <c r="E7694" s="4">
        <v>41.0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6"/>
        <v>41072</v>
      </c>
    </row>
    <row r="7695" ht="12.75" customHeight="1">
      <c r="A7695" s="4">
        <v>8206.0</v>
      </c>
      <c r="B7695" s="4">
        <v>58658.0</v>
      </c>
      <c r="C7695" s="5">
        <f t="shared" si="3265"/>
        <v>41071</v>
      </c>
      <c r="D7695" s="4" t="s">
        <v>63</v>
      </c>
      <c r="E7695" s="4">
        <v>46.0</v>
      </c>
      <c r="F7695" s="4">
        <v>760.8009999999999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ht="12.75" customHeight="1">
      <c r="A7696" s="4">
        <v>8271.0</v>
      </c>
      <c r="B7696" s="4">
        <v>59139.0</v>
      </c>
      <c r="C7696" s="5">
        <f t="shared" ref="C7696:C7697" si="3267">DATE(2012,12,31)-702</f>
        <v>40572</v>
      </c>
      <c r="D7696" s="4" t="s">
        <v>78</v>
      </c>
      <c r="E7696" s="4">
        <v>12.0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8">C7696+1</f>
        <v>40573</v>
      </c>
    </row>
    <row r="7697" ht="12.75" customHeight="1">
      <c r="A7697" s="4">
        <v>8272.0</v>
      </c>
      <c r="B7697" s="4">
        <v>59139.0</v>
      </c>
      <c r="C7697" s="5">
        <f t="shared" si="3267"/>
        <v>40572</v>
      </c>
      <c r="D7697" s="4" t="s">
        <v>78</v>
      </c>
      <c r="E7697" s="4">
        <v>38.0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8"/>
        <v>40573</v>
      </c>
    </row>
    <row r="7698" ht="12.75" customHeight="1">
      <c r="A7698" s="4">
        <v>8391.0</v>
      </c>
      <c r="B7698" s="4">
        <v>59942.0</v>
      </c>
      <c r="C7698" s="5">
        <f>DATE(2012,12,31)-1422</f>
        <v>39852</v>
      </c>
      <c r="D7698" s="4" t="s">
        <v>63</v>
      </c>
      <c r="E7698" s="4">
        <v>47.0</v>
      </c>
      <c r="F7698" s="4">
        <v>714.46</v>
      </c>
      <c r="G7698" s="4">
        <v>0.07</v>
      </c>
      <c r="H7698" s="4" t="s">
        <v>22</v>
      </c>
      <c r="I7698" s="6">
        <v>-268.65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9">C7698+2</f>
        <v>39854</v>
      </c>
    </row>
    <row r="7699" ht="12.75" customHeight="1">
      <c r="A7699" s="4">
        <v>747.0</v>
      </c>
      <c r="B7699" s="4">
        <v>5350.0</v>
      </c>
      <c r="C7699" s="5">
        <f>DATE(2012,12,31)-814</f>
        <v>40460</v>
      </c>
      <c r="D7699" s="4" t="s">
        <v>21</v>
      </c>
      <c r="E7699" s="4">
        <v>39.0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9"/>
        <v>40462</v>
      </c>
    </row>
    <row r="7700" ht="12.75" customHeight="1">
      <c r="A7700" s="4">
        <v>943.0</v>
      </c>
      <c r="B7700" s="4">
        <v>6850.0</v>
      </c>
      <c r="C7700" s="5">
        <f t="shared" ref="C7700:C7703" si="3270">DATE(2012,12,31)-1054</f>
        <v>40220</v>
      </c>
      <c r="D7700" s="4" t="s">
        <v>30</v>
      </c>
      <c r="E7700" s="4">
        <v>8.0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ht="12.75" customHeight="1">
      <c r="A7701" s="4">
        <v>944.0</v>
      </c>
      <c r="B7701" s="4">
        <v>6850.0</v>
      </c>
      <c r="C7701" s="5">
        <f t="shared" si="3270"/>
        <v>40220</v>
      </c>
      <c r="D7701" s="4" t="s">
        <v>30</v>
      </c>
      <c r="E7701" s="4">
        <v>41.0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ht="12.75" customHeight="1">
      <c r="A7702" s="4">
        <v>945.0</v>
      </c>
      <c r="B7702" s="4">
        <v>6850.0</v>
      </c>
      <c r="C7702" s="5">
        <f t="shared" si="3270"/>
        <v>40220</v>
      </c>
      <c r="D7702" s="4" t="s">
        <v>30</v>
      </c>
      <c r="E7702" s="4">
        <v>34.0</v>
      </c>
      <c r="F7702" s="4">
        <v>2126.72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ht="12.75" customHeight="1">
      <c r="A7703" s="4">
        <v>946.0</v>
      </c>
      <c r="B7703" s="4">
        <v>6850.0</v>
      </c>
      <c r="C7703" s="5">
        <f t="shared" si="3270"/>
        <v>40220</v>
      </c>
      <c r="D7703" s="4" t="s">
        <v>30</v>
      </c>
      <c r="E7703" s="4">
        <v>26.0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1">C7703+1</f>
        <v>40221</v>
      </c>
    </row>
    <row r="7704" ht="12.75" customHeight="1">
      <c r="A7704" s="4">
        <v>1028.0</v>
      </c>
      <c r="B7704" s="4">
        <v>7488.0</v>
      </c>
      <c r="C7704" s="5">
        <f>DATE(2012,12,31)-242</f>
        <v>41032</v>
      </c>
      <c r="D7704" s="4" t="s">
        <v>78</v>
      </c>
      <c r="E7704" s="4">
        <v>9.0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1"/>
        <v>41033</v>
      </c>
    </row>
    <row r="7705" ht="12.75" customHeight="1">
      <c r="A7705" s="4">
        <v>1033.0</v>
      </c>
      <c r="B7705" s="4">
        <v>7552.0</v>
      </c>
      <c r="C7705" s="5">
        <f t="shared" ref="C7705:C7706" si="3272">DATE(2012,12,31)-112</f>
        <v>41162</v>
      </c>
      <c r="D7705" s="4" t="s">
        <v>78</v>
      </c>
      <c r="E7705" s="4">
        <v>47.0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</v>
      </c>
      <c r="U7705" s="5">
        <f t="shared" ref="U7705:U7707" si="3273">C7705+2</f>
        <v>41164</v>
      </c>
    </row>
    <row r="7706" ht="12.75" customHeight="1">
      <c r="A7706" s="4">
        <v>1034.0</v>
      </c>
      <c r="B7706" s="4">
        <v>7552.0</v>
      </c>
      <c r="C7706" s="5">
        <f t="shared" si="3272"/>
        <v>41162</v>
      </c>
      <c r="D7706" s="4" t="s">
        <v>78</v>
      </c>
      <c r="E7706" s="4">
        <v>49.0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3"/>
        <v>41164</v>
      </c>
    </row>
    <row r="7707" ht="12.75" customHeight="1">
      <c r="A7707" s="4">
        <v>1039.0</v>
      </c>
      <c r="B7707" s="4">
        <v>7585.0</v>
      </c>
      <c r="C7707" s="5">
        <f>DATE(2012,12,31)-592</f>
        <v>40682</v>
      </c>
      <c r="D7707" s="4" t="s">
        <v>30</v>
      </c>
      <c r="E7707" s="4">
        <v>34.0</v>
      </c>
      <c r="F7707" s="4">
        <v>650.1395</v>
      </c>
      <c r="G7707" s="4">
        <v>0.0</v>
      </c>
      <c r="H7707" s="4" t="s">
        <v>22</v>
      </c>
      <c r="I7707" s="6">
        <v>22.572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3"/>
        <v>40684</v>
      </c>
    </row>
    <row r="7708" ht="12.75" customHeight="1">
      <c r="A7708" s="4">
        <v>1133.0</v>
      </c>
      <c r="B7708" s="4">
        <v>8289.0</v>
      </c>
      <c r="C7708" s="5">
        <f>DATE(2012,12,31)-64</f>
        <v>41210</v>
      </c>
      <c r="D7708" s="4" t="s">
        <v>21</v>
      </c>
      <c r="E7708" s="4">
        <v>38.0</v>
      </c>
      <c r="F7708" s="4">
        <v>572.74</v>
      </c>
      <c r="G7708" s="4">
        <v>0.0</v>
      </c>
      <c r="H7708" s="4" t="s">
        <v>22</v>
      </c>
      <c r="I7708" s="6">
        <v>53.312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ht="12.75" customHeight="1">
      <c r="A7709" s="4">
        <v>1188.0</v>
      </c>
      <c r="B7709" s="4">
        <v>8679.0</v>
      </c>
      <c r="C7709" s="5">
        <f>DATE(2012,12,31)-239</f>
        <v>41035</v>
      </c>
      <c r="D7709" s="4" t="s">
        <v>63</v>
      </c>
      <c r="E7709" s="4">
        <v>46.0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ht="12.75" customHeight="1">
      <c r="A7710" s="4">
        <v>1740.0</v>
      </c>
      <c r="B7710" s="4">
        <v>12481.0</v>
      </c>
      <c r="C7710" s="5">
        <f t="shared" ref="C7710:C7711" si="3274">DATE(2012,12,31)-540</f>
        <v>40734</v>
      </c>
      <c r="D7710" s="4" t="s">
        <v>78</v>
      </c>
      <c r="E7710" s="4">
        <v>37.0</v>
      </c>
      <c r="F7710" s="4">
        <v>744.0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ht="12.75" customHeight="1">
      <c r="A7711" s="4">
        <v>1741.0</v>
      </c>
      <c r="B7711" s="4">
        <v>12481.0</v>
      </c>
      <c r="C7711" s="5">
        <f t="shared" si="3274"/>
        <v>40734</v>
      </c>
      <c r="D7711" s="4" t="s">
        <v>78</v>
      </c>
      <c r="E7711" s="4">
        <v>12.0</v>
      </c>
      <c r="F7711" s="4">
        <v>388.8665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ht="12.75" customHeight="1">
      <c r="A7712" s="4">
        <v>1804.0</v>
      </c>
      <c r="B7712" s="4">
        <v>12902.0</v>
      </c>
      <c r="C7712" s="5">
        <f>DATE(2012,12,31)-794</f>
        <v>40480</v>
      </c>
      <c r="D7712" s="4" t="s">
        <v>45</v>
      </c>
      <c r="E7712" s="4">
        <v>30.0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5">C7712+2</f>
        <v>40482</v>
      </c>
    </row>
    <row r="7713" ht="12.75" customHeight="1">
      <c r="A7713" s="4">
        <v>2789.0</v>
      </c>
      <c r="B7713" s="4">
        <v>20128.0</v>
      </c>
      <c r="C7713" s="5">
        <f t="shared" ref="C7713:C7714" si="3276">DATE(2012,12,31)-1218</f>
        <v>40056</v>
      </c>
      <c r="D7713" s="4" t="s">
        <v>45</v>
      </c>
      <c r="E7713" s="4">
        <v>32.0</v>
      </c>
      <c r="F7713" s="4">
        <v>279.43</v>
      </c>
      <c r="G7713" s="4">
        <v>0.0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5"/>
        <v>40058</v>
      </c>
    </row>
    <row r="7714" ht="12.75" customHeight="1">
      <c r="A7714" s="4">
        <v>2790.0</v>
      </c>
      <c r="B7714" s="4">
        <v>20128.0</v>
      </c>
      <c r="C7714" s="5">
        <f t="shared" si="3276"/>
        <v>40056</v>
      </c>
      <c r="D7714" s="4" t="s">
        <v>45</v>
      </c>
      <c r="E7714" s="4">
        <v>5.0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19.99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5"/>
        <v>40058</v>
      </c>
    </row>
    <row r="7715" ht="12.75" customHeight="1">
      <c r="A7715" s="4">
        <v>2861.0</v>
      </c>
      <c r="B7715" s="4">
        <v>20642.0</v>
      </c>
      <c r="C7715" s="5">
        <f>DATE(2012,12,31)-226</f>
        <v>41048</v>
      </c>
      <c r="D7715" s="4" t="s">
        <v>30</v>
      </c>
      <c r="E7715" s="4">
        <v>47.0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45.0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ht="12.75" customHeight="1">
      <c r="A7716" s="4">
        <v>3486.0</v>
      </c>
      <c r="B7716" s="4">
        <v>24804.0</v>
      </c>
      <c r="C7716" s="5">
        <f>DATE(2012,12,31)-584</f>
        <v>40690</v>
      </c>
      <c r="D7716" s="4" t="s">
        <v>45</v>
      </c>
      <c r="E7716" s="4">
        <v>20.0</v>
      </c>
      <c r="F7716" s="4">
        <v>211.42</v>
      </c>
      <c r="G7716" s="4">
        <v>0.0</v>
      </c>
      <c r="H7716" s="4" t="s">
        <v>22</v>
      </c>
      <c r="I7716" s="6">
        <v>-113.52</v>
      </c>
      <c r="J7716" s="4">
        <v>9.71</v>
      </c>
      <c r="K7716" s="4">
        <v>9.45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ht="12.75" customHeight="1">
      <c r="A7717" s="4">
        <v>3971.0</v>
      </c>
      <c r="B7717" s="4">
        <v>28357.0</v>
      </c>
      <c r="C7717" s="5">
        <f t="shared" ref="C7717:C7718" si="3277">DATE(2012,12,31)-955</f>
        <v>40319</v>
      </c>
      <c r="D7717" s="4" t="s">
        <v>45</v>
      </c>
      <c r="E7717" s="4">
        <v>50.0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8">C7717+1</f>
        <v>40320</v>
      </c>
    </row>
    <row r="7718" ht="12.75" customHeight="1">
      <c r="A7718" s="4">
        <v>3972.0</v>
      </c>
      <c r="B7718" s="4">
        <v>28357.0</v>
      </c>
      <c r="C7718" s="5">
        <f t="shared" si="3277"/>
        <v>40319</v>
      </c>
      <c r="D7718" s="4" t="s">
        <v>45</v>
      </c>
      <c r="E7718" s="4">
        <v>43.0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8"/>
        <v>40320</v>
      </c>
    </row>
    <row r="7719" ht="12.75" customHeight="1">
      <c r="A7719" s="4">
        <v>4355.0</v>
      </c>
      <c r="B7719" s="4">
        <v>31043.0</v>
      </c>
      <c r="C7719" s="5">
        <f t="shared" ref="C7719:C7720" si="3279">DATE(2012,12,31)-1265</f>
        <v>40009</v>
      </c>
      <c r="D7719" s="4" t="s">
        <v>30</v>
      </c>
      <c r="E7719" s="4">
        <v>49.0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8"/>
        <v>40010</v>
      </c>
    </row>
    <row r="7720" ht="12.75" customHeight="1">
      <c r="A7720" s="4">
        <v>4356.0</v>
      </c>
      <c r="B7720" s="4">
        <v>31043.0</v>
      </c>
      <c r="C7720" s="5">
        <f t="shared" si="3279"/>
        <v>40009</v>
      </c>
      <c r="D7720" s="4" t="s">
        <v>30</v>
      </c>
      <c r="E7720" s="4">
        <v>3.0</v>
      </c>
      <c r="F7720" s="4">
        <v>221.4675</v>
      </c>
      <c r="G7720" s="4">
        <v>0.0</v>
      </c>
      <c r="H7720" s="4" t="s">
        <v>22</v>
      </c>
      <c r="I7720" s="6">
        <v>-302.225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8"/>
        <v>40010</v>
      </c>
    </row>
    <row r="7721" ht="12.75" customHeight="1">
      <c r="A7721" s="4">
        <v>4547.0</v>
      </c>
      <c r="B7721" s="4">
        <v>32355.0</v>
      </c>
      <c r="C7721" s="5">
        <f t="shared" ref="C7721:C7722" si="3280">DATE(2012,12,31)-1321</f>
        <v>39953</v>
      </c>
      <c r="D7721" s="4" t="s">
        <v>45</v>
      </c>
      <c r="E7721" s="4">
        <v>34.0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ht="12.75" customHeight="1">
      <c r="A7722" s="4">
        <v>4548.0</v>
      </c>
      <c r="B7722" s="4">
        <v>32355.0</v>
      </c>
      <c r="C7722" s="5">
        <f t="shared" si="3280"/>
        <v>39953</v>
      </c>
      <c r="D7722" s="4" t="s">
        <v>45</v>
      </c>
      <c r="E7722" s="4">
        <v>50.0</v>
      </c>
      <c r="F7722" s="4">
        <v>355.03</v>
      </c>
      <c r="G7722" s="4">
        <v>0.0</v>
      </c>
      <c r="H7722" s="4" t="s">
        <v>22</v>
      </c>
      <c r="I7722" s="6">
        <v>-33.31</v>
      </c>
      <c r="J7722" s="4">
        <v>6.48</v>
      </c>
      <c r="K7722" s="4">
        <v>5.11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ht="12.75" customHeight="1">
      <c r="A7723" s="4">
        <v>4735.0</v>
      </c>
      <c r="B7723" s="4">
        <v>33700.0</v>
      </c>
      <c r="C7723" s="5">
        <f>DATE(2012,12,31)-634</f>
        <v>40640</v>
      </c>
      <c r="D7723" s="4" t="s">
        <v>21</v>
      </c>
      <c r="E7723" s="4">
        <v>36.0</v>
      </c>
      <c r="F7723" s="4">
        <v>260.13</v>
      </c>
      <c r="G7723" s="4">
        <v>0.0</v>
      </c>
      <c r="H7723" s="4" t="s">
        <v>22</v>
      </c>
      <c r="I7723" s="6">
        <v>-133.98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ht="12.75" customHeight="1">
      <c r="A7724" s="4">
        <v>5017.0</v>
      </c>
      <c r="B7724" s="4">
        <v>35811.0</v>
      </c>
      <c r="C7724" s="5">
        <f t="shared" ref="C7724:C7725" si="3281">DATE(2012,12,31)-363</f>
        <v>40911</v>
      </c>
      <c r="D7724" s="4" t="s">
        <v>78</v>
      </c>
      <c r="E7724" s="4">
        <v>49.0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ht="12.75" customHeight="1">
      <c r="A7725" s="4">
        <v>5018.0</v>
      </c>
      <c r="B7725" s="4">
        <v>35811.0</v>
      </c>
      <c r="C7725" s="5">
        <f t="shared" si="3281"/>
        <v>40911</v>
      </c>
      <c r="D7725" s="4" t="s">
        <v>78</v>
      </c>
      <c r="E7725" s="4">
        <v>6.0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</v>
      </c>
      <c r="U7725" s="5">
        <f>C7725+2</f>
        <v>40913</v>
      </c>
    </row>
    <row r="7726" ht="12.75" customHeight="1">
      <c r="A7726" s="4">
        <v>5433.0</v>
      </c>
      <c r="B7726" s="4">
        <v>38598.0</v>
      </c>
      <c r="C7726" s="5">
        <f t="shared" ref="C7726:C7728" si="3282">DATE(2012,12,31)-1234</f>
        <v>40040</v>
      </c>
      <c r="D7726" s="4" t="s">
        <v>21</v>
      </c>
      <c r="E7726" s="4">
        <v>17.0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ht="12.75" customHeight="1">
      <c r="A7727" s="4">
        <v>5434.0</v>
      </c>
      <c r="B7727" s="4">
        <v>38598.0</v>
      </c>
      <c r="C7727" s="5">
        <f t="shared" si="3282"/>
        <v>40040</v>
      </c>
      <c r="D7727" s="4" t="s">
        <v>21</v>
      </c>
      <c r="E7727" s="4">
        <v>24.0</v>
      </c>
      <c r="F7727" s="4">
        <v>324.97</v>
      </c>
      <c r="G7727" s="4">
        <v>0.07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ht="12.75" customHeight="1">
      <c r="A7728" s="4">
        <v>5435.0</v>
      </c>
      <c r="B7728" s="4">
        <v>38598.0</v>
      </c>
      <c r="C7728" s="5">
        <f t="shared" si="3282"/>
        <v>40040</v>
      </c>
      <c r="D7728" s="4" t="s">
        <v>21</v>
      </c>
      <c r="E7728" s="4">
        <v>27.0</v>
      </c>
      <c r="F7728" s="4">
        <v>451.52</v>
      </c>
      <c r="G7728" s="4">
        <v>0.01</v>
      </c>
      <c r="H7728" s="4" t="s">
        <v>22</v>
      </c>
      <c r="I7728" s="6">
        <v>-70.5222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3">C7728+7</f>
        <v>40047</v>
      </c>
    </row>
    <row r="7729" ht="12.75" customHeight="1">
      <c r="A7729" s="4">
        <v>5732.0</v>
      </c>
      <c r="B7729" s="4">
        <v>40678.0</v>
      </c>
      <c r="C7729" s="5">
        <f>DATE(2012,12,31)-978</f>
        <v>40296</v>
      </c>
      <c r="D7729" s="4" t="s">
        <v>21</v>
      </c>
      <c r="E7729" s="4">
        <v>42.0</v>
      </c>
      <c r="F7729" s="4">
        <v>2753.07</v>
      </c>
      <c r="G7729" s="4">
        <v>0.07</v>
      </c>
      <c r="H7729" s="4" t="s">
        <v>22</v>
      </c>
      <c r="I7729" s="6">
        <v>551.3355</v>
      </c>
      <c r="J7729" s="4">
        <v>67.28</v>
      </c>
      <c r="K7729" s="4">
        <v>19.99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3"/>
        <v>40303</v>
      </c>
    </row>
    <row r="7730" ht="12.75" customHeight="1">
      <c r="A7730" s="4">
        <v>5803.0</v>
      </c>
      <c r="B7730" s="4">
        <v>41154.0</v>
      </c>
      <c r="C7730" s="5">
        <f>DATE(2012,12,31)-1341</f>
        <v>39933</v>
      </c>
      <c r="D7730" s="4" t="s">
        <v>21</v>
      </c>
      <c r="E7730" s="4">
        <v>43.0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</v>
      </c>
      <c r="U7730" s="5">
        <f>C7730+2</f>
        <v>39935</v>
      </c>
    </row>
    <row r="7731" ht="12.75" customHeight="1">
      <c r="A7731" s="4">
        <v>6199.0</v>
      </c>
      <c r="B7731" s="4">
        <v>43909.0</v>
      </c>
      <c r="C7731" s="5">
        <f>DATE(2012,12,31)-1454</f>
        <v>39820</v>
      </c>
      <c r="D7731" s="4" t="s">
        <v>30</v>
      </c>
      <c r="E7731" s="4">
        <v>46.0</v>
      </c>
      <c r="F7731" s="4">
        <v>737.25</v>
      </c>
      <c r="G7731" s="4">
        <v>0.08</v>
      </c>
      <c r="H7731" s="4" t="s">
        <v>22</v>
      </c>
      <c r="I7731" s="6">
        <v>-199.134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ht="12.75" customHeight="1">
      <c r="A7732" s="4">
        <v>6382.0</v>
      </c>
      <c r="B7732" s="4">
        <v>45346.0</v>
      </c>
      <c r="C7732" s="5">
        <f>DATE(2012,12,31)-46</f>
        <v>41228</v>
      </c>
      <c r="D7732" s="4" t="s">
        <v>30</v>
      </c>
      <c r="E7732" s="4">
        <v>37.0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ht="12.75" customHeight="1">
      <c r="A7733" s="4">
        <v>6510.0</v>
      </c>
      <c r="B7733" s="4">
        <v>46336.0</v>
      </c>
      <c r="C7733" s="5">
        <f>DATE(2012,12,31)-521</f>
        <v>40753</v>
      </c>
      <c r="D7733" s="4" t="s">
        <v>30</v>
      </c>
      <c r="E7733" s="4">
        <v>31.0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ht="12.75" customHeight="1">
      <c r="A7734" s="4">
        <v>7342.0</v>
      </c>
      <c r="B7734" s="4">
        <v>52320.0</v>
      </c>
      <c r="C7734" s="5">
        <f>DATE(2012,12,31)-98</f>
        <v>41176</v>
      </c>
      <c r="D7734" s="4" t="s">
        <v>21</v>
      </c>
      <c r="E7734" s="4">
        <v>41.0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</v>
      </c>
      <c r="U7734" s="5">
        <f>C7734+4</f>
        <v>41180</v>
      </c>
    </row>
    <row r="7735" ht="12.75" customHeight="1">
      <c r="A7735" s="4">
        <v>7351.0</v>
      </c>
      <c r="B7735" s="4">
        <v>52357.0</v>
      </c>
      <c r="C7735" s="5">
        <f>DATE(2012,12,31)-1215</f>
        <v>40059</v>
      </c>
      <c r="D7735" s="4" t="s">
        <v>45</v>
      </c>
      <c r="E7735" s="4">
        <v>49.0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4">C7735+2</f>
        <v>40061</v>
      </c>
    </row>
    <row r="7736" ht="12.75" customHeight="1">
      <c r="A7736" s="4">
        <v>7507.0</v>
      </c>
      <c r="B7736" s="4">
        <v>53573.0</v>
      </c>
      <c r="C7736" s="5">
        <f>DATE(2012,12,31)-1387</f>
        <v>39887</v>
      </c>
      <c r="D7736" s="4" t="s">
        <v>45</v>
      </c>
      <c r="E7736" s="4">
        <v>6.0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4"/>
        <v>39889</v>
      </c>
    </row>
    <row r="7737" ht="12.75" customHeight="1">
      <c r="A7737" s="4">
        <v>7887.0</v>
      </c>
      <c r="B7737" s="4">
        <v>56420.0</v>
      </c>
      <c r="C7737" s="5">
        <f t="shared" ref="C7737:C7740" si="3285">DATE(2012,12,31)-526</f>
        <v>40748</v>
      </c>
      <c r="D7737" s="4" t="s">
        <v>21</v>
      </c>
      <c r="E7737" s="4">
        <v>16.0</v>
      </c>
      <c r="F7737" s="4">
        <v>597.44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</v>
      </c>
      <c r="U7737" s="5">
        <f>C7737+4</f>
        <v>40752</v>
      </c>
    </row>
    <row r="7738" ht="12.75" customHeight="1">
      <c r="A7738" s="4">
        <v>7888.0</v>
      </c>
      <c r="B7738" s="4">
        <v>56420.0</v>
      </c>
      <c r="C7738" s="5">
        <f t="shared" si="3285"/>
        <v>40748</v>
      </c>
      <c r="D7738" s="4" t="s">
        <v>21</v>
      </c>
      <c r="E7738" s="4">
        <v>26.0</v>
      </c>
      <c r="F7738" s="4">
        <v>132.23</v>
      </c>
      <c r="G7738" s="4">
        <v>0.07</v>
      </c>
      <c r="H7738" s="4" t="s">
        <v>22</v>
      </c>
      <c r="I7738" s="6">
        <v>22.25</v>
      </c>
      <c r="J7738" s="4">
        <v>5.08</v>
      </c>
      <c r="K7738" s="4">
        <v>2.03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ht="12.75" customHeight="1">
      <c r="A7739" s="4">
        <v>7889.0</v>
      </c>
      <c r="B7739" s="4">
        <v>56420.0</v>
      </c>
      <c r="C7739" s="5">
        <f t="shared" si="3285"/>
        <v>40748</v>
      </c>
      <c r="D7739" s="4" t="s">
        <v>21</v>
      </c>
      <c r="E7739" s="4">
        <v>22.0</v>
      </c>
      <c r="F7739" s="4">
        <v>2403.1369999999997</v>
      </c>
      <c r="G7739" s="4">
        <v>0.0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0.57</v>
      </c>
      <c r="U7739" s="5">
        <f>C7739+5</f>
        <v>40753</v>
      </c>
    </row>
    <row r="7740" ht="12.75" customHeight="1">
      <c r="A7740" s="4">
        <v>7890.0</v>
      </c>
      <c r="B7740" s="4">
        <v>56420.0</v>
      </c>
      <c r="C7740" s="5">
        <f t="shared" si="3285"/>
        <v>40748</v>
      </c>
      <c r="D7740" s="4" t="s">
        <v>21</v>
      </c>
      <c r="E7740" s="4">
        <v>48.0</v>
      </c>
      <c r="F7740" s="4">
        <v>5138.335</v>
      </c>
      <c r="G7740" s="4">
        <v>0.02</v>
      </c>
      <c r="H7740" s="4" t="s">
        <v>22</v>
      </c>
      <c r="I7740" s="6">
        <v>1422.198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0.57</v>
      </c>
      <c r="U7740" s="5">
        <f>C7740+2</f>
        <v>40750</v>
      </c>
    </row>
    <row r="7741" ht="12.75" customHeight="1">
      <c r="A7741" s="4">
        <v>8038.0</v>
      </c>
      <c r="B7741" s="4">
        <v>57412.0</v>
      </c>
      <c r="C7741" s="5">
        <f>DATE(2012,12,31)-1267</f>
        <v>40007</v>
      </c>
      <c r="D7741" s="4" t="s">
        <v>21</v>
      </c>
      <c r="E7741" s="4">
        <v>34.0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6">C7741+0</f>
        <v>40007</v>
      </c>
    </row>
    <row r="7742" ht="12.75" customHeight="1">
      <c r="A7742" s="4">
        <v>11.0</v>
      </c>
      <c r="B7742" s="4">
        <v>66.0</v>
      </c>
      <c r="C7742" s="5">
        <f>DATE(2012,12,31)-1442</f>
        <v>39832</v>
      </c>
      <c r="D7742" s="4" t="s">
        <v>21</v>
      </c>
      <c r="E7742" s="4">
        <v>41.0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</v>
      </c>
      <c r="U7742" s="5">
        <f t="shared" si="3286"/>
        <v>39832</v>
      </c>
    </row>
    <row r="7743" ht="12.75" customHeight="1">
      <c r="A7743" s="4">
        <v>251.0</v>
      </c>
      <c r="B7743" s="4">
        <v>1762.0</v>
      </c>
      <c r="C7743" s="5">
        <f t="shared" ref="C7743:C7745" si="3287">DATE(2012,12,31)-1230</f>
        <v>40044</v>
      </c>
      <c r="D7743" s="4" t="s">
        <v>45</v>
      </c>
      <c r="E7743" s="4">
        <v>29.0</v>
      </c>
      <c r="F7743" s="4">
        <v>857.11</v>
      </c>
      <c r="G7743" s="4">
        <v>0.07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ht="12.75" customHeight="1">
      <c r="A7744" s="4">
        <v>252.0</v>
      </c>
      <c r="B7744" s="4">
        <v>1762.0</v>
      </c>
      <c r="C7744" s="5">
        <f t="shared" si="3287"/>
        <v>40044</v>
      </c>
      <c r="D7744" s="4" t="s">
        <v>45</v>
      </c>
      <c r="E7744" s="4">
        <v>11.0</v>
      </c>
      <c r="F7744" s="4">
        <v>69.6</v>
      </c>
      <c r="G7744" s="4">
        <v>0.0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8">C7744+1</f>
        <v>40045</v>
      </c>
    </row>
    <row r="7745" ht="12.75" customHeight="1">
      <c r="A7745" s="4">
        <v>253.0</v>
      </c>
      <c r="B7745" s="4">
        <v>1762.0</v>
      </c>
      <c r="C7745" s="5">
        <f t="shared" si="3287"/>
        <v>40044</v>
      </c>
      <c r="D7745" s="4" t="s">
        <v>45</v>
      </c>
      <c r="E7745" s="4">
        <v>43.0</v>
      </c>
      <c r="F7745" s="4">
        <v>1279.505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</v>
      </c>
      <c r="U7745" s="5">
        <f t="shared" si="3288"/>
        <v>40045</v>
      </c>
    </row>
    <row r="7746" ht="12.75" customHeight="1">
      <c r="A7746" s="4">
        <v>859.0</v>
      </c>
      <c r="B7746" s="4">
        <v>6150.0</v>
      </c>
      <c r="C7746" s="5">
        <f>DATE(2012,12,31)-91</f>
        <v>41183</v>
      </c>
      <c r="D7746" s="4" t="s">
        <v>78</v>
      </c>
      <c r="E7746" s="4">
        <v>38.0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8"/>
        <v>41184</v>
      </c>
    </row>
    <row r="7747" ht="12.75" customHeight="1">
      <c r="A7747" s="4">
        <v>879.0</v>
      </c>
      <c r="B7747" s="4">
        <v>6310.0</v>
      </c>
      <c r="C7747" s="5">
        <f>DATE(2012,12,31)-1338</f>
        <v>39936</v>
      </c>
      <c r="D7747" s="4" t="s">
        <v>45</v>
      </c>
      <c r="E7747" s="4">
        <v>27.0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8"/>
        <v>39937</v>
      </c>
    </row>
    <row r="7748" ht="12.75" customHeight="1">
      <c r="A7748" s="4">
        <v>1321.0</v>
      </c>
      <c r="B7748" s="4">
        <v>9664.0</v>
      </c>
      <c r="C7748" s="5">
        <f>DATE(2012,12,31)-999</f>
        <v>40275</v>
      </c>
      <c r="D7748" s="4" t="s">
        <v>30</v>
      </c>
      <c r="E7748" s="4">
        <v>13.0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ht="12.75" customHeight="1">
      <c r="A7749" s="4">
        <v>1545.0</v>
      </c>
      <c r="B7749" s="4">
        <v>11168.0</v>
      </c>
      <c r="C7749" s="5">
        <f>DATE(2012,12,31)-71</f>
        <v>41203</v>
      </c>
      <c r="D7749" s="4" t="s">
        <v>78</v>
      </c>
      <c r="E7749" s="4">
        <v>35.0</v>
      </c>
      <c r="F7749" s="4">
        <v>182.86</v>
      </c>
      <c r="G7749" s="4">
        <v>0.0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9">C7749+2</f>
        <v>41205</v>
      </c>
    </row>
    <row r="7750" ht="12.75" customHeight="1">
      <c r="A7750" s="4">
        <v>1725.0</v>
      </c>
      <c r="B7750" s="4">
        <v>12417.0</v>
      </c>
      <c r="C7750" s="5">
        <f>DATE(2012,12,31)-799</f>
        <v>40475</v>
      </c>
      <c r="D7750" s="4" t="s">
        <v>78</v>
      </c>
      <c r="E7750" s="4">
        <v>19.0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9"/>
        <v>40477</v>
      </c>
    </row>
    <row r="7751" ht="12.75" customHeight="1">
      <c r="A7751" s="4">
        <v>1899.0</v>
      </c>
      <c r="B7751" s="4">
        <v>13607.0</v>
      </c>
      <c r="C7751" s="5">
        <f t="shared" ref="C7751:C7753" si="3290">DATE(2012,12,31)-774</f>
        <v>40500</v>
      </c>
      <c r="D7751" s="4" t="s">
        <v>78</v>
      </c>
      <c r="E7751" s="4">
        <v>12.0</v>
      </c>
      <c r="F7751" s="4">
        <v>440.6</v>
      </c>
      <c r="G7751" s="4">
        <v>0.07</v>
      </c>
      <c r="H7751" s="4" t="s">
        <v>22</v>
      </c>
      <c r="I7751" s="6">
        <v>2.970000000000013</v>
      </c>
      <c r="J7751" s="4">
        <v>39.48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1">C7751+1</f>
        <v>40501</v>
      </c>
    </row>
    <row r="7752" ht="12.75" customHeight="1">
      <c r="A7752" s="4">
        <v>1900.0</v>
      </c>
      <c r="B7752" s="4">
        <v>13607.0</v>
      </c>
      <c r="C7752" s="5">
        <f t="shared" si="3290"/>
        <v>40500</v>
      </c>
      <c r="D7752" s="4" t="s">
        <v>78</v>
      </c>
      <c r="E7752" s="4">
        <v>37.0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1"/>
        <v>40501</v>
      </c>
    </row>
    <row r="7753" ht="12.75" customHeight="1">
      <c r="A7753" s="4">
        <v>1901.0</v>
      </c>
      <c r="B7753" s="4">
        <v>13607.0</v>
      </c>
      <c r="C7753" s="5">
        <f t="shared" si="3290"/>
        <v>40500</v>
      </c>
      <c r="D7753" s="4" t="s">
        <v>78</v>
      </c>
      <c r="E7753" s="4">
        <v>13.0</v>
      </c>
      <c r="F7753" s="4">
        <v>315.29</v>
      </c>
      <c r="G7753" s="4">
        <v>0.0</v>
      </c>
      <c r="H7753" s="4" t="s">
        <v>22</v>
      </c>
      <c r="I7753" s="6">
        <v>-361.82</v>
      </c>
      <c r="J7753" s="4">
        <v>20.34</v>
      </c>
      <c r="K7753" s="4">
        <v>35.0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ht="12.75" customHeight="1">
      <c r="A7754" s="4">
        <v>2047.0</v>
      </c>
      <c r="B7754" s="4">
        <v>14597.0</v>
      </c>
      <c r="C7754" s="5">
        <f t="shared" ref="C7754:C7755" si="3292">DATE(2012,12,31)-854</f>
        <v>40420</v>
      </c>
      <c r="D7754" s="4" t="s">
        <v>78</v>
      </c>
      <c r="E7754" s="4">
        <v>41.0</v>
      </c>
      <c r="F7754" s="4">
        <v>320.42</v>
      </c>
      <c r="G7754" s="4">
        <v>0.03</v>
      </c>
      <c r="H7754" s="4" t="s">
        <v>56</v>
      </c>
      <c r="I7754" s="6">
        <v>-66.3665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3">C7754+1</f>
        <v>40421</v>
      </c>
    </row>
    <row r="7755" ht="12.75" customHeight="1">
      <c r="A7755" s="4">
        <v>2048.0</v>
      </c>
      <c r="B7755" s="4">
        <v>14597.0</v>
      </c>
      <c r="C7755" s="5">
        <f t="shared" si="3292"/>
        <v>40420</v>
      </c>
      <c r="D7755" s="4" t="s">
        <v>78</v>
      </c>
      <c r="E7755" s="4">
        <v>35.0</v>
      </c>
      <c r="F7755" s="4">
        <v>266.64</v>
      </c>
      <c r="G7755" s="4">
        <v>0.07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3"/>
        <v>40421</v>
      </c>
    </row>
    <row r="7756" ht="12.75" customHeight="1">
      <c r="A7756" s="4">
        <v>2102.0</v>
      </c>
      <c r="B7756" s="4">
        <v>15015.0</v>
      </c>
      <c r="C7756" s="5">
        <f>DATE(2012,12,31)-767</f>
        <v>40507</v>
      </c>
      <c r="D7756" s="4" t="s">
        <v>30</v>
      </c>
      <c r="E7756" s="4">
        <v>47.0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3"/>
        <v>40508</v>
      </c>
    </row>
    <row r="7757" ht="12.75" customHeight="1">
      <c r="A7757" s="4">
        <v>2415.0</v>
      </c>
      <c r="B7757" s="4">
        <v>17539.0</v>
      </c>
      <c r="C7757" s="5">
        <f t="shared" ref="C7757:C7758" si="3294">DATE(2012,12,31)-473</f>
        <v>40801</v>
      </c>
      <c r="D7757" s="4" t="s">
        <v>45</v>
      </c>
      <c r="E7757" s="4">
        <v>28.0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5.0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3"/>
        <v>40802</v>
      </c>
    </row>
    <row r="7758" ht="12.75" customHeight="1">
      <c r="A7758" s="4">
        <v>2416.0</v>
      </c>
      <c r="B7758" s="4">
        <v>17539.0</v>
      </c>
      <c r="C7758" s="5">
        <f t="shared" si="3294"/>
        <v>40801</v>
      </c>
      <c r="D7758" s="4" t="s">
        <v>45</v>
      </c>
      <c r="E7758" s="4">
        <v>10.0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3"/>
        <v>40802</v>
      </c>
    </row>
    <row r="7759" ht="12.75" customHeight="1">
      <c r="A7759" s="4">
        <v>2492.0</v>
      </c>
      <c r="B7759" s="4">
        <v>18145.0</v>
      </c>
      <c r="C7759" s="5">
        <f>DATE(2012,12,31)-849</f>
        <v>40425</v>
      </c>
      <c r="D7759" s="4" t="s">
        <v>63</v>
      </c>
      <c r="E7759" s="4">
        <v>47.0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3"/>
        <v>40426</v>
      </c>
    </row>
    <row r="7760" ht="12.75" customHeight="1">
      <c r="A7760" s="4">
        <v>2709.0</v>
      </c>
      <c r="B7760" s="4">
        <v>19559.0</v>
      </c>
      <c r="C7760" s="5">
        <f t="shared" ref="C7760:C7762" si="3295">DATE(2012,12,31)-991</f>
        <v>40283</v>
      </c>
      <c r="D7760" s="4" t="s">
        <v>30</v>
      </c>
      <c r="E7760" s="4">
        <v>31.0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ht="12.75" customHeight="1">
      <c r="A7761" s="4">
        <v>2710.0</v>
      </c>
      <c r="B7761" s="4">
        <v>19559.0</v>
      </c>
      <c r="C7761" s="5">
        <f t="shared" si="3295"/>
        <v>40283</v>
      </c>
      <c r="D7761" s="4" t="s">
        <v>30</v>
      </c>
      <c r="E7761" s="4">
        <v>18.0</v>
      </c>
      <c r="F7761" s="4">
        <v>2445.212</v>
      </c>
      <c r="G7761" s="4">
        <v>0.02</v>
      </c>
      <c r="H7761" s="4" t="s">
        <v>56</v>
      </c>
      <c r="I7761" s="6">
        <v>275.769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0.58</v>
      </c>
      <c r="U7761" s="5">
        <f>C7761+1</f>
        <v>40284</v>
      </c>
    </row>
    <row r="7762" ht="12.75" customHeight="1">
      <c r="A7762" s="4">
        <v>2711.0</v>
      </c>
      <c r="B7762" s="4">
        <v>19559.0</v>
      </c>
      <c r="C7762" s="5">
        <f t="shared" si="3295"/>
        <v>40283</v>
      </c>
      <c r="D7762" s="4" t="s">
        <v>30</v>
      </c>
      <c r="E7762" s="4">
        <v>14.0</v>
      </c>
      <c r="F7762" s="4">
        <v>1032.0275</v>
      </c>
      <c r="G7762" s="4">
        <v>0.07</v>
      </c>
      <c r="H7762" s="4" t="s">
        <v>56</v>
      </c>
      <c r="I7762" s="6">
        <v>97.398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</v>
      </c>
      <c r="U7762" s="5">
        <f>C7762+3</f>
        <v>40286</v>
      </c>
    </row>
    <row r="7763" ht="12.75" customHeight="1">
      <c r="A7763" s="4">
        <v>2924.0</v>
      </c>
      <c r="B7763" s="4">
        <v>21188.0</v>
      </c>
      <c r="C7763" s="5">
        <f>DATE(2012,12,31)-467</f>
        <v>40807</v>
      </c>
      <c r="D7763" s="4" t="s">
        <v>78</v>
      </c>
      <c r="E7763" s="4">
        <v>29.0</v>
      </c>
      <c r="F7763" s="4">
        <v>21046.74</v>
      </c>
      <c r="G7763" s="4">
        <v>0.04</v>
      </c>
      <c r="H7763" s="4" t="s">
        <v>22</v>
      </c>
      <c r="I7763" s="6">
        <v>5217.267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6">C7763+2</f>
        <v>40809</v>
      </c>
    </row>
    <row r="7764" ht="12.75" customHeight="1">
      <c r="A7764" s="4">
        <v>2941.0</v>
      </c>
      <c r="B7764" s="4">
        <v>21318.0</v>
      </c>
      <c r="C7764" s="5">
        <f>DATE(2012,12,31)-911</f>
        <v>40363</v>
      </c>
      <c r="D7764" s="4" t="s">
        <v>30</v>
      </c>
      <c r="E7764" s="4">
        <v>40.0</v>
      </c>
      <c r="F7764" s="4">
        <v>1384.34</v>
      </c>
      <c r="G7764" s="4">
        <v>0.1</v>
      </c>
      <c r="H7764" s="4" t="s">
        <v>22</v>
      </c>
      <c r="I7764" s="6">
        <v>562.309</v>
      </c>
      <c r="J7764" s="4">
        <v>37.7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6"/>
        <v>40365</v>
      </c>
    </row>
    <row r="7765" ht="12.75" customHeight="1">
      <c r="A7765" s="4">
        <v>3029.0</v>
      </c>
      <c r="B7765" s="4">
        <v>21792.0</v>
      </c>
      <c r="C7765" s="5">
        <f>DATE(2012,12,31)-97</f>
        <v>41177</v>
      </c>
      <c r="D7765" s="4" t="s">
        <v>45</v>
      </c>
      <c r="E7765" s="4">
        <v>26.0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6"/>
        <v>41179</v>
      </c>
    </row>
    <row r="7766" ht="12.75" customHeight="1">
      <c r="A7766" s="4">
        <v>3041.0</v>
      </c>
      <c r="B7766" s="4">
        <v>21831.0</v>
      </c>
      <c r="C7766" s="5">
        <f>DATE(2012,12,31)-1199</f>
        <v>40075</v>
      </c>
      <c r="D7766" s="4" t="s">
        <v>45</v>
      </c>
      <c r="E7766" s="4">
        <v>6.0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ht="12.75" customHeight="1">
      <c r="A7767" s="4">
        <v>3171.0</v>
      </c>
      <c r="B7767" s="4">
        <v>22818.0</v>
      </c>
      <c r="C7767" s="5">
        <f t="shared" ref="C7767:C7768" si="3297">DATE(2012,12,31)-1319</f>
        <v>39955</v>
      </c>
      <c r="D7767" s="4" t="s">
        <v>78</v>
      </c>
      <c r="E7767" s="4">
        <v>50.0</v>
      </c>
      <c r="F7767" s="4">
        <v>6277.75</v>
      </c>
      <c r="G7767" s="4">
        <v>0.1</v>
      </c>
      <c r="H7767" s="4" t="s">
        <v>31</v>
      </c>
      <c r="I7767" s="6">
        <v>-592.43</v>
      </c>
      <c r="J7767" s="4">
        <v>130.98</v>
      </c>
      <c r="K7767" s="4">
        <v>30.0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ht="12.75" customHeight="1">
      <c r="A7768" s="4">
        <v>3172.0</v>
      </c>
      <c r="B7768" s="4">
        <v>22818.0</v>
      </c>
      <c r="C7768" s="5">
        <f t="shared" si="3297"/>
        <v>39955</v>
      </c>
      <c r="D7768" s="4" t="s">
        <v>21</v>
      </c>
      <c r="E7768" s="4">
        <v>19.0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4.0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ht="12.75" customHeight="1">
      <c r="A7769" s="4">
        <v>3482.0</v>
      </c>
      <c r="B7769" s="4">
        <v>24801.0</v>
      </c>
      <c r="C7769" s="5">
        <f t="shared" ref="C7769:C7771" si="3298">DATE(2012,12,31)-46</f>
        <v>41228</v>
      </c>
      <c r="D7769" s="4" t="s">
        <v>30</v>
      </c>
      <c r="E7769" s="4">
        <v>3.0</v>
      </c>
      <c r="F7769" s="4">
        <v>18.91</v>
      </c>
      <c r="G7769" s="4">
        <v>0.0</v>
      </c>
      <c r="H7769" s="4" t="s">
        <v>22</v>
      </c>
      <c r="I7769" s="6">
        <v>-16.353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9">C7769+1</f>
        <v>41229</v>
      </c>
    </row>
    <row r="7770" ht="12.75" customHeight="1">
      <c r="A7770" s="4">
        <v>3483.0</v>
      </c>
      <c r="B7770" s="4">
        <v>24801.0</v>
      </c>
      <c r="C7770" s="5">
        <f t="shared" si="3298"/>
        <v>41228</v>
      </c>
      <c r="D7770" s="4" t="s">
        <v>30</v>
      </c>
      <c r="E7770" s="4">
        <v>7.0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9"/>
        <v>41229</v>
      </c>
    </row>
    <row r="7771" ht="12.75" customHeight="1">
      <c r="A7771" s="4">
        <v>3484.0</v>
      </c>
      <c r="B7771" s="4">
        <v>24801.0</v>
      </c>
      <c r="C7771" s="5">
        <f t="shared" si="3298"/>
        <v>41228</v>
      </c>
      <c r="D7771" s="4" t="s">
        <v>30</v>
      </c>
      <c r="E7771" s="4">
        <v>10.0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0.57</v>
      </c>
      <c r="U7771" s="5">
        <f t="shared" si="3299"/>
        <v>41229</v>
      </c>
    </row>
    <row r="7772" ht="12.75" customHeight="1">
      <c r="A7772" s="4">
        <v>3714.0</v>
      </c>
      <c r="B7772" s="4">
        <v>26529.0</v>
      </c>
      <c r="C7772" s="5">
        <f>DATE(2012,12,31)-703</f>
        <v>40571</v>
      </c>
      <c r="D7772" s="4" t="s">
        <v>21</v>
      </c>
      <c r="E7772" s="4">
        <v>17.0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ht="12.75" customHeight="1">
      <c r="A7773" s="4">
        <v>3893.0</v>
      </c>
      <c r="B7773" s="4">
        <v>27780.0</v>
      </c>
      <c r="C7773" s="5">
        <f t="shared" ref="C7773:C7775" si="3300">DATE(2012,12,31)-72</f>
        <v>41202</v>
      </c>
      <c r="D7773" s="4" t="s">
        <v>78</v>
      </c>
      <c r="E7773" s="4">
        <v>18.0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ht="12.75" customHeight="1">
      <c r="A7774" s="4">
        <v>3894.0</v>
      </c>
      <c r="B7774" s="4">
        <v>27780.0</v>
      </c>
      <c r="C7774" s="5">
        <f t="shared" si="3300"/>
        <v>41202</v>
      </c>
      <c r="D7774" s="4" t="s">
        <v>78</v>
      </c>
      <c r="E7774" s="4">
        <v>39.0</v>
      </c>
      <c r="F7774" s="4">
        <v>147.71</v>
      </c>
      <c r="G7774" s="4">
        <v>0.0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ht="12.75" customHeight="1">
      <c r="A7775" s="4">
        <v>3895.0</v>
      </c>
      <c r="B7775" s="4">
        <v>27780.0</v>
      </c>
      <c r="C7775" s="5">
        <f t="shared" si="3300"/>
        <v>41202</v>
      </c>
      <c r="D7775" s="4" t="s">
        <v>78</v>
      </c>
      <c r="E7775" s="4">
        <v>39.0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ht="12.75" customHeight="1">
      <c r="A7776" s="4">
        <v>3904.0</v>
      </c>
      <c r="B7776" s="4">
        <v>27843.0</v>
      </c>
      <c r="C7776" s="5">
        <f>DATE(2012,12,31)-848</f>
        <v>40426</v>
      </c>
      <c r="D7776" s="4" t="s">
        <v>63</v>
      </c>
      <c r="E7776" s="4">
        <v>26.0</v>
      </c>
      <c r="F7776" s="4">
        <v>139.61</v>
      </c>
      <c r="G7776" s="4">
        <v>0.01</v>
      </c>
      <c r="H7776" s="4" t="s">
        <v>22</v>
      </c>
      <c r="I7776" s="6">
        <v>-92.04</v>
      </c>
      <c r="J7776" s="4">
        <v>4.89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ht="12.75" customHeight="1">
      <c r="A7777" s="4">
        <v>4030.0</v>
      </c>
      <c r="B7777" s="4">
        <v>28773.0</v>
      </c>
      <c r="C7777" s="5">
        <f>DATE(2012,12,31)-690</f>
        <v>40584</v>
      </c>
      <c r="D7777" s="4" t="s">
        <v>21</v>
      </c>
      <c r="E7777" s="4">
        <v>48.0</v>
      </c>
      <c r="F7777" s="4">
        <v>2174.419</v>
      </c>
      <c r="G7777" s="4">
        <v>0.05</v>
      </c>
      <c r="H7777" s="4" t="s">
        <v>22</v>
      </c>
      <c r="I7777" s="6">
        <v>-211.695</v>
      </c>
      <c r="J7777" s="4">
        <v>55.99</v>
      </c>
      <c r="K7777" s="4">
        <v>5.0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ht="12.75" customHeight="1">
      <c r="A7778" s="4">
        <v>4323.0</v>
      </c>
      <c r="B7778" s="4">
        <v>30786.0</v>
      </c>
      <c r="C7778" s="5">
        <f t="shared" ref="C7778:C7779" si="3301">DATE(2012,12,31)-168</f>
        <v>41106</v>
      </c>
      <c r="D7778" s="4" t="s">
        <v>63</v>
      </c>
      <c r="E7778" s="4">
        <v>23.0</v>
      </c>
      <c r="F7778" s="4">
        <v>65.91</v>
      </c>
      <c r="G7778" s="4">
        <v>0.01</v>
      </c>
      <c r="H7778" s="4" t="s">
        <v>22</v>
      </c>
      <c r="I7778" s="6">
        <v>0.7600000000000007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ht="12.75" customHeight="1">
      <c r="A7779" s="4">
        <v>4324.0</v>
      </c>
      <c r="B7779" s="4">
        <v>30786.0</v>
      </c>
      <c r="C7779" s="5">
        <f t="shared" si="3301"/>
        <v>41106</v>
      </c>
      <c r="D7779" s="4" t="s">
        <v>63</v>
      </c>
      <c r="E7779" s="4">
        <v>4.0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0.58</v>
      </c>
      <c r="U7779" s="5">
        <f>C7779+1</f>
        <v>41107</v>
      </c>
    </row>
    <row r="7780" ht="12.75" customHeight="1">
      <c r="A7780" s="4">
        <v>4461.0</v>
      </c>
      <c r="B7780" s="4">
        <v>31809.0</v>
      </c>
      <c r="C7780" s="5">
        <f>DATE(2012,12,31)-887</f>
        <v>40387</v>
      </c>
      <c r="D7780" s="4" t="s">
        <v>30</v>
      </c>
      <c r="E7780" s="4">
        <v>1.0</v>
      </c>
      <c r="F7780" s="4">
        <v>15.0</v>
      </c>
      <c r="G7780" s="4">
        <v>0.1</v>
      </c>
      <c r="H7780" s="4" t="s">
        <v>22</v>
      </c>
      <c r="I7780" s="6">
        <v>-13.74</v>
      </c>
      <c r="J7780" s="4">
        <v>9.78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ht="12.75" customHeight="1">
      <c r="A7781" s="4">
        <v>4481.0</v>
      </c>
      <c r="B7781" s="4">
        <v>31878.0</v>
      </c>
      <c r="C7781" s="5">
        <f t="shared" ref="C7781:C7782" si="3302">DATE(2012,12,31)-379</f>
        <v>40895</v>
      </c>
      <c r="D7781" s="4" t="s">
        <v>63</v>
      </c>
      <c r="E7781" s="4">
        <v>14.0</v>
      </c>
      <c r="F7781" s="4">
        <v>138.95</v>
      </c>
      <c r="G7781" s="4">
        <v>0.04</v>
      </c>
      <c r="H7781" s="4" t="s">
        <v>22</v>
      </c>
      <c r="I7781" s="6">
        <v>9.63</v>
      </c>
      <c r="J7781" s="4">
        <v>9.27</v>
      </c>
      <c r="K7781" s="4">
        <v>4.39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ht="12.75" customHeight="1">
      <c r="A7782" s="4">
        <v>4482.0</v>
      </c>
      <c r="B7782" s="4">
        <v>31878.0</v>
      </c>
      <c r="C7782" s="5">
        <f t="shared" si="3302"/>
        <v>40895</v>
      </c>
      <c r="D7782" s="4" t="s">
        <v>63</v>
      </c>
      <c r="E7782" s="4">
        <v>42.0</v>
      </c>
      <c r="F7782" s="4">
        <v>5678.5525</v>
      </c>
      <c r="G7782" s="4">
        <v>0.01</v>
      </c>
      <c r="H7782" s="4" t="s">
        <v>22</v>
      </c>
      <c r="I7782" s="6">
        <v>1727.775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</v>
      </c>
      <c r="U7782" s="5">
        <f>C7782+1</f>
        <v>40896</v>
      </c>
    </row>
    <row r="7783" ht="12.75" customHeight="1">
      <c r="A7783" s="4">
        <v>4910.0</v>
      </c>
      <c r="B7783" s="4">
        <v>34976.0</v>
      </c>
      <c r="C7783" s="5">
        <f t="shared" ref="C7783:C7784" si="3303">DATE(2012,12,31)-37</f>
        <v>41237</v>
      </c>
      <c r="D7783" s="4" t="s">
        <v>63</v>
      </c>
      <c r="E7783" s="4">
        <v>45.0</v>
      </c>
      <c r="F7783" s="4">
        <v>4475.0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74.35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0.57</v>
      </c>
      <c r="U7783" s="5">
        <f>C7783+2</f>
        <v>41239</v>
      </c>
    </row>
    <row r="7784" ht="12.75" customHeight="1">
      <c r="A7784" s="4">
        <v>4911.0</v>
      </c>
      <c r="B7784" s="4">
        <v>34976.0</v>
      </c>
      <c r="C7784" s="5">
        <f t="shared" si="3303"/>
        <v>41237</v>
      </c>
      <c r="D7784" s="4" t="s">
        <v>63</v>
      </c>
      <c r="E7784" s="4">
        <v>29.0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ht="12.75" customHeight="1">
      <c r="A7785" s="4">
        <v>4913.0</v>
      </c>
      <c r="B7785" s="4">
        <v>34979.0</v>
      </c>
      <c r="C7785" s="5">
        <f>DATE(2012,12,31)-825</f>
        <v>40449</v>
      </c>
      <c r="D7785" s="4" t="s">
        <v>78</v>
      </c>
      <c r="E7785" s="4">
        <v>15.0</v>
      </c>
      <c r="F7785" s="4">
        <v>609.97</v>
      </c>
      <c r="G7785" s="4">
        <v>0.0</v>
      </c>
      <c r="H7785" s="4" t="s">
        <v>22</v>
      </c>
      <c r="I7785" s="6">
        <v>62.93</v>
      </c>
      <c r="J7785" s="4">
        <v>39.48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ht="12.75" customHeight="1">
      <c r="A7786" s="4">
        <v>4941.0</v>
      </c>
      <c r="B7786" s="4">
        <v>35139.0</v>
      </c>
      <c r="C7786" s="5">
        <f>DATE(2012,12,31)-1078</f>
        <v>40196</v>
      </c>
      <c r="D7786" s="4" t="s">
        <v>30</v>
      </c>
      <c r="E7786" s="4">
        <v>29.0</v>
      </c>
      <c r="F7786" s="4">
        <v>264.78</v>
      </c>
      <c r="G7786" s="4">
        <v>0.02</v>
      </c>
      <c r="H7786" s="4" t="s">
        <v>22</v>
      </c>
      <c r="I7786" s="6">
        <v>53.0485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ht="12.75" customHeight="1">
      <c r="A7787" s="4">
        <v>5132.0</v>
      </c>
      <c r="B7787" s="4">
        <v>36608.0</v>
      </c>
      <c r="C7787" s="5">
        <f t="shared" ref="C7787:C7788" si="3304">DATE(2012,12,31)-460</f>
        <v>40814</v>
      </c>
      <c r="D7787" s="4" t="s">
        <v>21</v>
      </c>
      <c r="E7787" s="4">
        <v>40.0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</v>
      </c>
      <c r="U7787" s="5">
        <f>C7787+4</f>
        <v>40818</v>
      </c>
    </row>
    <row r="7788" ht="12.75" customHeight="1">
      <c r="A7788" s="4">
        <v>5133.0</v>
      </c>
      <c r="B7788" s="4">
        <v>36608.0</v>
      </c>
      <c r="C7788" s="5">
        <f t="shared" si="3304"/>
        <v>40814</v>
      </c>
      <c r="D7788" s="4" t="s">
        <v>21</v>
      </c>
      <c r="E7788" s="4">
        <v>49.0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19.99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ht="12.75" customHeight="1">
      <c r="A7789" s="4">
        <v>5204.0</v>
      </c>
      <c r="B7789" s="4">
        <v>36994.0</v>
      </c>
      <c r="C7789" s="5">
        <f>DATE(2012,12,31)-563</f>
        <v>40711</v>
      </c>
      <c r="D7789" s="4" t="s">
        <v>78</v>
      </c>
      <c r="E7789" s="4">
        <v>40.0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130.98</v>
      </c>
      <c r="K7789" s="4">
        <v>30.0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ht="12.75" customHeight="1">
      <c r="A7790" s="4">
        <v>5484.0</v>
      </c>
      <c r="B7790" s="4">
        <v>38944.0</v>
      </c>
      <c r="C7790" s="5">
        <f t="shared" ref="C7790:C7792" si="3305">DATE(2012,12,31)-986</f>
        <v>40288</v>
      </c>
      <c r="D7790" s="4" t="s">
        <v>63</v>
      </c>
      <c r="E7790" s="4">
        <v>17.0</v>
      </c>
      <c r="F7790" s="4">
        <v>1873.349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0.57</v>
      </c>
      <c r="U7790" s="5">
        <f t="shared" ref="U7790:U7791" si="3306">C7790+1</f>
        <v>40289</v>
      </c>
    </row>
    <row r="7791" ht="12.75" customHeight="1">
      <c r="A7791" s="4">
        <v>5485.0</v>
      </c>
      <c r="B7791" s="4">
        <v>38944.0</v>
      </c>
      <c r="C7791" s="5">
        <f t="shared" si="3305"/>
        <v>40288</v>
      </c>
      <c r="D7791" s="4" t="s">
        <v>63</v>
      </c>
      <c r="E7791" s="4">
        <v>46.0</v>
      </c>
      <c r="F7791" s="4">
        <v>24639.8</v>
      </c>
      <c r="G7791" s="4">
        <v>0.01</v>
      </c>
      <c r="H7791" s="4" t="s">
        <v>31</v>
      </c>
      <c r="I7791" s="6">
        <v>8614.79</v>
      </c>
      <c r="J7791" s="4">
        <v>500.98</v>
      </c>
      <c r="K7791" s="4">
        <v>26.0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6"/>
        <v>40289</v>
      </c>
    </row>
    <row r="7792" ht="12.75" customHeight="1">
      <c r="A7792" s="4">
        <v>5486.0</v>
      </c>
      <c r="B7792" s="4">
        <v>38944.0</v>
      </c>
      <c r="C7792" s="5">
        <f t="shared" si="3305"/>
        <v>40288</v>
      </c>
      <c r="D7792" s="4" t="s">
        <v>63</v>
      </c>
      <c r="E7792" s="4">
        <v>32.0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ht="12.75" customHeight="1">
      <c r="A7793" s="4">
        <v>5510.0</v>
      </c>
      <c r="B7793" s="4">
        <v>39075.0</v>
      </c>
      <c r="C7793" s="5">
        <f>DATE(2012,12,31)-316</f>
        <v>40958</v>
      </c>
      <c r="D7793" s="4" t="s">
        <v>45</v>
      </c>
      <c r="E7793" s="4">
        <v>50.0</v>
      </c>
      <c r="F7793" s="4">
        <v>512.33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ht="12.75" customHeight="1">
      <c r="A7794" s="4">
        <v>5566.0</v>
      </c>
      <c r="B7794" s="4">
        <v>39425.0</v>
      </c>
      <c r="C7794" s="5">
        <f>DATE(2012,12,31)-137</f>
        <v>41137</v>
      </c>
      <c r="D7794" s="4" t="s">
        <v>78</v>
      </c>
      <c r="E7794" s="4">
        <v>23.0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65.99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0.58</v>
      </c>
      <c r="U7794" s="5">
        <f>C7794+2</f>
        <v>41139</v>
      </c>
    </row>
    <row r="7795" ht="12.75" customHeight="1">
      <c r="A7795" s="4">
        <v>5911.0</v>
      </c>
      <c r="B7795" s="4">
        <v>41921.0</v>
      </c>
      <c r="C7795" s="5">
        <f t="shared" ref="C7795:C7796" si="3307">DATE(2012,12,31)-312</f>
        <v>40962</v>
      </c>
      <c r="D7795" s="4" t="s">
        <v>63</v>
      </c>
      <c r="E7795" s="4">
        <v>32.0</v>
      </c>
      <c r="F7795" s="4">
        <v>16313.51</v>
      </c>
      <c r="G7795" s="4">
        <v>0.04</v>
      </c>
      <c r="H7795" s="4" t="s">
        <v>31</v>
      </c>
      <c r="I7795" s="6">
        <v>4860.73</v>
      </c>
      <c r="J7795" s="4">
        <v>500.98</v>
      </c>
      <c r="K7795" s="4">
        <v>26.0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ht="12.75" customHeight="1">
      <c r="A7796" s="4">
        <v>5912.0</v>
      </c>
      <c r="B7796" s="4">
        <v>41921.0</v>
      </c>
      <c r="C7796" s="5">
        <f t="shared" si="3307"/>
        <v>40962</v>
      </c>
      <c r="D7796" s="4" t="s">
        <v>63</v>
      </c>
      <c r="E7796" s="4">
        <v>29.0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ht="12.75" customHeight="1">
      <c r="A7797" s="4">
        <v>6060.0</v>
      </c>
      <c r="B7797" s="4">
        <v>42945.0</v>
      </c>
      <c r="C7797" s="5">
        <f>DATE(2012,12,31)-2</f>
        <v>41272</v>
      </c>
      <c r="D7797" s="4" t="s">
        <v>45</v>
      </c>
      <c r="E7797" s="4">
        <v>45.0</v>
      </c>
      <c r="F7797" s="4">
        <v>178.7</v>
      </c>
      <c r="G7797" s="4">
        <v>0.07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ht="12.75" customHeight="1">
      <c r="A7798" s="4">
        <v>6072.0</v>
      </c>
      <c r="B7798" s="4">
        <v>43013.0</v>
      </c>
      <c r="C7798" s="5">
        <f>DATE(2012,12,31)-619</f>
        <v>40655</v>
      </c>
      <c r="D7798" s="4" t="s">
        <v>21</v>
      </c>
      <c r="E7798" s="4">
        <v>50.0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</v>
      </c>
      <c r="U7798" s="5">
        <f>C7798+4</f>
        <v>40659</v>
      </c>
    </row>
    <row r="7799" ht="12.75" customHeight="1">
      <c r="A7799" s="4">
        <v>6081.0</v>
      </c>
      <c r="B7799" s="4">
        <v>43104.0</v>
      </c>
      <c r="C7799" s="5">
        <f>DATE(2012,12,31)-64</f>
        <v>41210</v>
      </c>
      <c r="D7799" s="4" t="s">
        <v>30</v>
      </c>
      <c r="E7799" s="4">
        <v>50.0</v>
      </c>
      <c r="F7799" s="4">
        <v>4648.52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14.0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ht="12.75" customHeight="1">
      <c r="A7800" s="4">
        <v>6113.0</v>
      </c>
      <c r="B7800" s="4">
        <v>43301.0</v>
      </c>
      <c r="C7800" s="5">
        <f t="shared" ref="C7800:C7801" si="3308">DATE(2012,12,31)-1228</f>
        <v>40046</v>
      </c>
      <c r="D7800" s="4" t="s">
        <v>78</v>
      </c>
      <c r="E7800" s="4">
        <v>33.0</v>
      </c>
      <c r="F7800" s="4">
        <v>3537.84</v>
      </c>
      <c r="G7800" s="4">
        <v>0.0</v>
      </c>
      <c r="H7800" s="4" t="s">
        <v>31</v>
      </c>
      <c r="I7800" s="6">
        <v>-80.86</v>
      </c>
      <c r="J7800" s="4">
        <v>100.89</v>
      </c>
      <c r="K7800" s="4">
        <v>42.0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ht="12.75" customHeight="1">
      <c r="A7801" s="4">
        <v>6114.0</v>
      </c>
      <c r="B7801" s="4">
        <v>43301.0</v>
      </c>
      <c r="C7801" s="5">
        <f t="shared" si="3308"/>
        <v>40046</v>
      </c>
      <c r="D7801" s="4" t="s">
        <v>78</v>
      </c>
      <c r="E7801" s="4">
        <v>43.0</v>
      </c>
      <c r="F7801" s="4">
        <v>2221.2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35.0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ht="12.75" customHeight="1">
      <c r="A7802" s="4">
        <v>6337.0</v>
      </c>
      <c r="B7802" s="4">
        <v>44935.0</v>
      </c>
      <c r="C7802" s="5">
        <f t="shared" ref="C7802:C7803" si="3309">DATE(2012,12,31)-775</f>
        <v>40499</v>
      </c>
      <c r="D7802" s="4" t="s">
        <v>30</v>
      </c>
      <c r="E7802" s="4">
        <v>39.0</v>
      </c>
      <c r="F7802" s="4">
        <v>9362.73</v>
      </c>
      <c r="G7802" s="4">
        <v>0.0</v>
      </c>
      <c r="H7802" s="4" t="s">
        <v>22</v>
      </c>
      <c r="I7802" s="6">
        <v>2766.29</v>
      </c>
      <c r="J7802" s="4">
        <v>232.58</v>
      </c>
      <c r="K7802" s="4">
        <v>19.99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10">C7802+1</f>
        <v>40500</v>
      </c>
    </row>
    <row r="7803" ht="12.75" customHeight="1">
      <c r="A7803" s="4">
        <v>6338.0</v>
      </c>
      <c r="B7803" s="4">
        <v>44935.0</v>
      </c>
      <c r="C7803" s="5">
        <f t="shared" si="3309"/>
        <v>40499</v>
      </c>
      <c r="D7803" s="4" t="s">
        <v>30</v>
      </c>
      <c r="E7803" s="4">
        <v>37.0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10"/>
        <v>40500</v>
      </c>
    </row>
    <row r="7804" ht="12.75" customHeight="1">
      <c r="A7804" s="4">
        <v>6348.0</v>
      </c>
      <c r="B7804" s="4">
        <v>44995.0</v>
      </c>
      <c r="C7804" s="5">
        <f>DATE(2012,12,31)-1243</f>
        <v>40031</v>
      </c>
      <c r="D7804" s="4" t="s">
        <v>30</v>
      </c>
      <c r="E7804" s="4">
        <v>46.0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</v>
      </c>
      <c r="U7804" s="5">
        <f t="shared" si="3310"/>
        <v>40032</v>
      </c>
    </row>
    <row r="7805" ht="12.75" customHeight="1">
      <c r="A7805" s="4">
        <v>6460.0</v>
      </c>
      <c r="B7805" s="4">
        <v>45989.0</v>
      </c>
      <c r="C7805" s="5">
        <f>DATE(2012,12,31)-861</f>
        <v>40413</v>
      </c>
      <c r="D7805" s="4" t="s">
        <v>30</v>
      </c>
      <c r="E7805" s="4">
        <v>26.0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1">C7805+0</f>
        <v>40413</v>
      </c>
    </row>
    <row r="7806" ht="12.75" customHeight="1">
      <c r="A7806" s="4">
        <v>6963.0</v>
      </c>
      <c r="B7806" s="4">
        <v>49767.0</v>
      </c>
      <c r="C7806" s="5">
        <f t="shared" ref="C7806:C7808" si="3312">DATE(2012,12,31)-784</f>
        <v>40490</v>
      </c>
      <c r="D7806" s="4" t="s">
        <v>78</v>
      </c>
      <c r="E7806" s="4">
        <v>43.0</v>
      </c>
      <c r="F7806" s="4">
        <v>634.38</v>
      </c>
      <c r="G7806" s="4">
        <v>0.09</v>
      </c>
      <c r="H7806" s="4" t="s">
        <v>22</v>
      </c>
      <c r="I7806" s="6">
        <v>272.4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1"/>
        <v>40490</v>
      </c>
    </row>
    <row r="7807" ht="12.75" customHeight="1">
      <c r="A7807" s="4">
        <v>6964.0</v>
      </c>
      <c r="B7807" s="4">
        <v>49767.0</v>
      </c>
      <c r="C7807" s="5">
        <f t="shared" si="3312"/>
        <v>40490</v>
      </c>
      <c r="D7807" s="4" t="s">
        <v>78</v>
      </c>
      <c r="E7807" s="4">
        <v>39.0</v>
      </c>
      <c r="F7807" s="4">
        <v>5196.19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ht="12.75" customHeight="1">
      <c r="A7808" s="4">
        <v>6965.0</v>
      </c>
      <c r="B7808" s="4">
        <v>49767.0</v>
      </c>
      <c r="C7808" s="5">
        <f t="shared" si="3312"/>
        <v>40490</v>
      </c>
      <c r="D7808" s="4" t="s">
        <v>78</v>
      </c>
      <c r="E7808" s="4">
        <v>7.0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3">C7808+2</f>
        <v>40492</v>
      </c>
    </row>
    <row r="7809" ht="12.75" customHeight="1">
      <c r="A7809" s="4">
        <v>7181.0</v>
      </c>
      <c r="B7809" s="4">
        <v>51239.0</v>
      </c>
      <c r="C7809" s="5">
        <f>DATE(2012,12,31)-312</f>
        <v>40962</v>
      </c>
      <c r="D7809" s="4" t="s">
        <v>21</v>
      </c>
      <c r="E7809" s="4">
        <v>48.0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60.0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</v>
      </c>
      <c r="U7809" s="5">
        <f t="shared" si="3313"/>
        <v>40964</v>
      </c>
    </row>
    <row r="7810" ht="12.75" customHeight="1">
      <c r="A7810" s="4">
        <v>7187.0</v>
      </c>
      <c r="B7810" s="4">
        <v>51269.0</v>
      </c>
      <c r="C7810" s="5">
        <f t="shared" ref="C7810:C7811" si="3314">DATE(2012,12,31)-354</f>
        <v>40920</v>
      </c>
      <c r="D7810" s="4" t="s">
        <v>30</v>
      </c>
      <c r="E7810" s="4">
        <v>2.0</v>
      </c>
      <c r="F7810" s="4">
        <v>21.07</v>
      </c>
      <c r="G7810" s="4">
        <v>0.0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5">C7810+1</f>
        <v>40921</v>
      </c>
    </row>
    <row r="7811" ht="12.75" customHeight="1">
      <c r="A7811" s="4">
        <v>7188.0</v>
      </c>
      <c r="B7811" s="4">
        <v>51269.0</v>
      </c>
      <c r="C7811" s="5">
        <f t="shared" si="3314"/>
        <v>40920</v>
      </c>
      <c r="D7811" s="4" t="s">
        <v>78</v>
      </c>
      <c r="E7811" s="4">
        <v>20.0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5"/>
        <v>40921</v>
      </c>
    </row>
    <row r="7812" ht="12.75" customHeight="1">
      <c r="A7812" s="4">
        <v>7560.0</v>
      </c>
      <c r="B7812" s="4">
        <v>54084.0</v>
      </c>
      <c r="C7812" s="5">
        <f>DATE(2012,12,31)-478</f>
        <v>40796</v>
      </c>
      <c r="D7812" s="4" t="s">
        <v>78</v>
      </c>
      <c r="E7812" s="4">
        <v>3.0</v>
      </c>
      <c r="F7812" s="4">
        <v>160.52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</v>
      </c>
      <c r="U7812" s="5">
        <f>C7812+2</f>
        <v>40798</v>
      </c>
    </row>
    <row r="7813" ht="12.75" customHeight="1">
      <c r="A7813" s="4">
        <v>7588.0</v>
      </c>
      <c r="B7813" s="4">
        <v>54307.0</v>
      </c>
      <c r="C7813" s="5">
        <f t="shared" ref="C7813:C7814" si="3316">DATE(2012,12,31)-358</f>
        <v>40916</v>
      </c>
      <c r="D7813" s="4" t="s">
        <v>30</v>
      </c>
      <c r="E7813" s="4">
        <v>15.0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0.58</v>
      </c>
      <c r="U7813" s="5">
        <f t="shared" ref="U7813:U7815" si="3317">C7813+1</f>
        <v>40917</v>
      </c>
    </row>
    <row r="7814" ht="12.75" customHeight="1">
      <c r="A7814" s="4">
        <v>7589.0</v>
      </c>
      <c r="B7814" s="4">
        <v>54307.0</v>
      </c>
      <c r="C7814" s="5">
        <f t="shared" si="3316"/>
        <v>40916</v>
      </c>
      <c r="D7814" s="4" t="s">
        <v>30</v>
      </c>
      <c r="E7814" s="4">
        <v>14.0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7"/>
        <v>40917</v>
      </c>
    </row>
    <row r="7815" ht="12.75" customHeight="1">
      <c r="A7815" s="4">
        <v>7675.0</v>
      </c>
      <c r="B7815" s="4">
        <v>55014.0</v>
      </c>
      <c r="C7815" s="5">
        <f>DATE(2012,12,31)-791</f>
        <v>40483</v>
      </c>
      <c r="D7815" s="4" t="s">
        <v>30</v>
      </c>
      <c r="E7815" s="4">
        <v>38.0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</v>
      </c>
      <c r="U7815" s="5">
        <f t="shared" si="3317"/>
        <v>40484</v>
      </c>
    </row>
    <row r="7816" ht="12.75" customHeight="1">
      <c r="A7816" s="4">
        <v>7805.0</v>
      </c>
      <c r="B7816" s="4">
        <v>55845.0</v>
      </c>
      <c r="C7816" s="5">
        <f>DATE(2012,12,31)-529</f>
        <v>40745</v>
      </c>
      <c r="D7816" s="4" t="s">
        <v>21</v>
      </c>
      <c r="E7816" s="4">
        <v>29.0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150.98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ht="12.75" customHeight="1">
      <c r="A7817" s="4">
        <v>7806.0</v>
      </c>
      <c r="B7817" s="4">
        <v>55846.0</v>
      </c>
      <c r="C7817" s="5">
        <f>DATE(2012,12,31)-1260</f>
        <v>40014</v>
      </c>
      <c r="D7817" s="4" t="s">
        <v>45</v>
      </c>
      <c r="E7817" s="4">
        <v>30.0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8">C7817+0</f>
        <v>40014</v>
      </c>
    </row>
    <row r="7818" ht="12.75" customHeight="1">
      <c r="A7818" s="4">
        <v>7982.0</v>
      </c>
      <c r="B7818" s="4">
        <v>57063.0</v>
      </c>
      <c r="C7818" s="5">
        <f t="shared" ref="C7818:C7819" si="3319">DATE(2012,12,31)-578</f>
        <v>40696</v>
      </c>
      <c r="D7818" s="4" t="s">
        <v>63</v>
      </c>
      <c r="E7818" s="4">
        <v>26.0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8"/>
        <v>40696</v>
      </c>
    </row>
    <row r="7819" ht="12.75" customHeight="1">
      <c r="A7819" s="4">
        <v>7983.0</v>
      </c>
      <c r="B7819" s="4">
        <v>57063.0</v>
      </c>
      <c r="C7819" s="5">
        <f t="shared" si="3319"/>
        <v>40696</v>
      </c>
      <c r="D7819" s="4" t="s">
        <v>63</v>
      </c>
      <c r="E7819" s="4">
        <v>22.0</v>
      </c>
      <c r="F7819" s="4">
        <v>41.18</v>
      </c>
      <c r="G7819" s="4">
        <v>0.07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ht="12.75" customHeight="1">
      <c r="A7820" s="4">
        <v>7986.0</v>
      </c>
      <c r="B7820" s="4">
        <v>57093.0</v>
      </c>
      <c r="C7820" s="5">
        <f t="shared" ref="C7820:C7821" si="3320">DATE(2012,12,31)-243</f>
        <v>41031</v>
      </c>
      <c r="D7820" s="4" t="s">
        <v>21</v>
      </c>
      <c r="E7820" s="4">
        <v>3.0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1">C7820+7</f>
        <v>41038</v>
      </c>
    </row>
    <row r="7821" ht="12.75" customHeight="1">
      <c r="A7821" s="4">
        <v>7987.0</v>
      </c>
      <c r="B7821" s="4">
        <v>57093.0</v>
      </c>
      <c r="C7821" s="5">
        <f t="shared" si="3320"/>
        <v>41031</v>
      </c>
      <c r="D7821" s="4" t="s">
        <v>21</v>
      </c>
      <c r="E7821" s="4">
        <v>47.0</v>
      </c>
      <c r="F7821" s="4">
        <v>744.64</v>
      </c>
      <c r="G7821" s="4">
        <v>0.0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1"/>
        <v>41038</v>
      </c>
    </row>
    <row r="7822" ht="12.75" customHeight="1">
      <c r="A7822" s="4">
        <v>8304.0</v>
      </c>
      <c r="B7822" s="4">
        <v>59329.0</v>
      </c>
      <c r="C7822" s="5">
        <f t="shared" ref="C7822:C7825" si="3322">DATE(2012,12,31)-27</f>
        <v>41247</v>
      </c>
      <c r="D7822" s="4" t="s">
        <v>78</v>
      </c>
      <c r="E7822" s="4">
        <v>35.0</v>
      </c>
      <c r="F7822" s="4">
        <v>128.12</v>
      </c>
      <c r="G7822" s="4">
        <v>0.08</v>
      </c>
      <c r="H7822" s="4" t="s">
        <v>22</v>
      </c>
      <c r="I7822" s="6">
        <v>-135.5965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ht="12.75" customHeight="1">
      <c r="A7823" s="4">
        <v>8305.0</v>
      </c>
      <c r="B7823" s="4">
        <v>59329.0</v>
      </c>
      <c r="C7823" s="5">
        <f t="shared" si="3322"/>
        <v>41247</v>
      </c>
      <c r="D7823" s="4" t="s">
        <v>78</v>
      </c>
      <c r="E7823" s="4">
        <v>25.0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ht="12.75" customHeight="1">
      <c r="A7824" s="4">
        <v>8306.0</v>
      </c>
      <c r="B7824" s="4">
        <v>59329.0</v>
      </c>
      <c r="C7824" s="5">
        <f t="shared" si="3322"/>
        <v>41247</v>
      </c>
      <c r="D7824" s="4" t="s">
        <v>78</v>
      </c>
      <c r="E7824" s="4">
        <v>41.0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ht="12.75" customHeight="1">
      <c r="A7825" s="4">
        <v>8307.0</v>
      </c>
      <c r="B7825" s="4">
        <v>59329.0</v>
      </c>
      <c r="C7825" s="5">
        <f t="shared" si="3322"/>
        <v>41247</v>
      </c>
      <c r="D7825" s="4" t="s">
        <v>78</v>
      </c>
      <c r="E7825" s="4">
        <v>41.0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ht="12.75" customHeight="1">
      <c r="A7826" s="4">
        <v>9.0</v>
      </c>
      <c r="B7826" s="4">
        <v>36.0</v>
      </c>
      <c r="C7826" s="5">
        <f>DATE(2012,12,31)-425</f>
        <v>40849</v>
      </c>
      <c r="D7826" s="4" t="s">
        <v>78</v>
      </c>
      <c r="E7826" s="4">
        <v>46.0</v>
      </c>
      <c r="F7826" s="4">
        <v>2484.7455</v>
      </c>
      <c r="G7826" s="4">
        <v>0.1</v>
      </c>
      <c r="H7826" s="4" t="s">
        <v>22</v>
      </c>
      <c r="I7826" s="6">
        <v>657.477</v>
      </c>
      <c r="J7826" s="4">
        <v>65.99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</v>
      </c>
      <c r="U7826" s="5">
        <f>C7826+0</f>
        <v>40849</v>
      </c>
    </row>
    <row r="7827" ht="12.75" customHeight="1">
      <c r="A7827" s="4">
        <v>28.0</v>
      </c>
      <c r="B7827" s="4">
        <v>194.0</v>
      </c>
      <c r="C7827" s="5">
        <f t="shared" ref="C7827:C7828" si="3323">DATE(2012,12,31)-271</f>
        <v>41003</v>
      </c>
      <c r="D7827" s="4" t="s">
        <v>63</v>
      </c>
      <c r="E7827" s="4">
        <v>49.0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4">C7827+2</f>
        <v>41005</v>
      </c>
    </row>
    <row r="7828" ht="12.75" customHeight="1">
      <c r="A7828" s="4">
        <v>29.0</v>
      </c>
      <c r="B7828" s="4">
        <v>194.0</v>
      </c>
      <c r="C7828" s="5">
        <f t="shared" si="3323"/>
        <v>41003</v>
      </c>
      <c r="D7828" s="4" t="s">
        <v>63</v>
      </c>
      <c r="E7828" s="4">
        <v>6.0</v>
      </c>
      <c r="F7828" s="4">
        <v>20.19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4"/>
        <v>41005</v>
      </c>
    </row>
    <row r="7829" ht="12.75" customHeight="1">
      <c r="A7829" s="4">
        <v>65.0</v>
      </c>
      <c r="B7829" s="4">
        <v>384.0</v>
      </c>
      <c r="C7829" s="5">
        <f>DATE(2012,12,31)-304</f>
        <v>40970</v>
      </c>
      <c r="D7829" s="4" t="s">
        <v>21</v>
      </c>
      <c r="E7829" s="4">
        <v>50.0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ht="12.75" customHeight="1">
      <c r="A7830" s="4">
        <v>120.0</v>
      </c>
      <c r="B7830" s="4">
        <v>774.0</v>
      </c>
      <c r="C7830" s="5">
        <f>DATE(2012,12,31)-394</f>
        <v>40880</v>
      </c>
      <c r="D7830" s="4" t="s">
        <v>78</v>
      </c>
      <c r="E7830" s="4">
        <v>17.0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</v>
      </c>
      <c r="K7830" s="4">
        <v>49.0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5">C7830+2</f>
        <v>40882</v>
      </c>
    </row>
    <row r="7831" ht="12.75" customHeight="1">
      <c r="A7831" s="4">
        <v>163.0</v>
      </c>
      <c r="B7831" s="4">
        <v>1027.0</v>
      </c>
      <c r="C7831" s="5">
        <f>DATE(2012,12,31)-212</f>
        <v>41062</v>
      </c>
      <c r="D7831" s="4" t="s">
        <v>63</v>
      </c>
      <c r="E7831" s="4">
        <v>19.0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</v>
      </c>
      <c r="U7831" s="5">
        <f t="shared" si="3325"/>
        <v>41064</v>
      </c>
    </row>
    <row r="7832" ht="12.75" customHeight="1">
      <c r="A7832" s="4">
        <v>171.0</v>
      </c>
      <c r="B7832" s="4">
        <v>1060.0</v>
      </c>
      <c r="C7832" s="5">
        <f>DATE(2012,12,31)-1045</f>
        <v>40229</v>
      </c>
      <c r="D7832" s="4" t="s">
        <v>63</v>
      </c>
      <c r="E7832" s="4">
        <v>30.0</v>
      </c>
      <c r="F7832" s="4">
        <v>1187.55</v>
      </c>
      <c r="G7832" s="4">
        <v>0.0</v>
      </c>
      <c r="H7832" s="4" t="s">
        <v>22</v>
      </c>
      <c r="I7832" s="6">
        <v>532.61</v>
      </c>
      <c r="J7832" s="4">
        <v>37.7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5"/>
        <v>40231</v>
      </c>
    </row>
    <row r="7833" ht="12.75" customHeight="1">
      <c r="A7833" s="4">
        <v>190.0</v>
      </c>
      <c r="B7833" s="4">
        <v>1280.0</v>
      </c>
      <c r="C7833" s="5">
        <f>DATE(2012,12,31)-1086</f>
        <v>40188</v>
      </c>
      <c r="D7833" s="4" t="s">
        <v>21</v>
      </c>
      <c r="E7833" s="4">
        <v>40.0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ht="12.75" customHeight="1">
      <c r="A7834" s="4">
        <v>254.0</v>
      </c>
      <c r="B7834" s="4">
        <v>1764.0</v>
      </c>
      <c r="C7834" s="5">
        <f>DATE(2012,12,31)-282</f>
        <v>40992</v>
      </c>
      <c r="D7834" s="4" t="s">
        <v>78</v>
      </c>
      <c r="E7834" s="4">
        <v>7.0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ht="12.75" customHeight="1">
      <c r="A7835" s="4">
        <v>261.0</v>
      </c>
      <c r="B7835" s="4">
        <v>1824.0</v>
      </c>
      <c r="C7835" s="5">
        <f t="shared" ref="C7835:C7836" si="3326">DATE(2012,12,31)-1337</f>
        <v>39937</v>
      </c>
      <c r="D7835" s="4" t="s">
        <v>78</v>
      </c>
      <c r="E7835" s="4">
        <v>39.0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ht="12.75" customHeight="1">
      <c r="A7836" s="4">
        <v>262.0</v>
      </c>
      <c r="B7836" s="4">
        <v>1824.0</v>
      </c>
      <c r="C7836" s="5">
        <f t="shared" si="3326"/>
        <v>39937</v>
      </c>
      <c r="D7836" s="4" t="s">
        <v>78</v>
      </c>
      <c r="E7836" s="4">
        <v>2.0</v>
      </c>
      <c r="F7836" s="4">
        <v>17.06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ht="12.75" customHeight="1">
      <c r="A7837" s="4">
        <v>358.0</v>
      </c>
      <c r="B7837" s="4">
        <v>2503.0</v>
      </c>
      <c r="C7837" s="5">
        <f t="shared" ref="C7837:C7839" si="3327">DATE(2012,12,31)-926</f>
        <v>40348</v>
      </c>
      <c r="D7837" s="4" t="s">
        <v>63</v>
      </c>
      <c r="E7837" s="4">
        <v>21.0</v>
      </c>
      <c r="F7837" s="4">
        <v>91.15</v>
      </c>
      <c r="G7837" s="4">
        <v>0.03</v>
      </c>
      <c r="H7837" s="4" t="s">
        <v>22</v>
      </c>
      <c r="I7837" s="6">
        <v>-71.5415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8">C7837+1</f>
        <v>40349</v>
      </c>
    </row>
    <row r="7838" ht="12.75" customHeight="1">
      <c r="A7838" s="4">
        <v>359.0</v>
      </c>
      <c r="B7838" s="4">
        <v>2503.0</v>
      </c>
      <c r="C7838" s="5">
        <f t="shared" si="3327"/>
        <v>40348</v>
      </c>
      <c r="D7838" s="4" t="s">
        <v>63</v>
      </c>
      <c r="E7838" s="4">
        <v>46.0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8"/>
        <v>40349</v>
      </c>
    </row>
    <row r="7839" ht="12.75" customHeight="1">
      <c r="A7839" s="4">
        <v>360.0</v>
      </c>
      <c r="B7839" s="4">
        <v>2503.0</v>
      </c>
      <c r="C7839" s="5">
        <f t="shared" si="3327"/>
        <v>40348</v>
      </c>
      <c r="D7839" s="4" t="s">
        <v>63</v>
      </c>
      <c r="E7839" s="4">
        <v>9.0</v>
      </c>
      <c r="F7839" s="4">
        <v>162.1545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4.81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0.58</v>
      </c>
      <c r="U7839" s="5">
        <f t="shared" ref="U7839:U7840" si="3329">C7839+2</f>
        <v>40350</v>
      </c>
    </row>
    <row r="7840" ht="12.75" customHeight="1">
      <c r="A7840" s="4">
        <v>595.0</v>
      </c>
      <c r="B7840" s="4">
        <v>4069.0</v>
      </c>
      <c r="C7840" s="5">
        <f t="shared" ref="C7840:C7842" si="3330">DATE(2012,12,31)-233</f>
        <v>41041</v>
      </c>
      <c r="D7840" s="4" t="s">
        <v>63</v>
      </c>
      <c r="E7840" s="4">
        <v>8.0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9"/>
        <v>41043</v>
      </c>
    </row>
    <row r="7841" ht="12.75" customHeight="1">
      <c r="A7841" s="4">
        <v>596.0</v>
      </c>
      <c r="B7841" s="4">
        <v>4069.0</v>
      </c>
      <c r="C7841" s="5">
        <f t="shared" si="3330"/>
        <v>41041</v>
      </c>
      <c r="D7841" s="4" t="s">
        <v>63</v>
      </c>
      <c r="E7841" s="4">
        <v>47.0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ht="12.75" customHeight="1">
      <c r="A7842" s="4">
        <v>597.0</v>
      </c>
      <c r="B7842" s="4">
        <v>4069.0</v>
      </c>
      <c r="C7842" s="5">
        <f t="shared" si="3330"/>
        <v>41041</v>
      </c>
      <c r="D7842" s="4" t="s">
        <v>63</v>
      </c>
      <c r="E7842" s="4">
        <v>30.0</v>
      </c>
      <c r="F7842" s="4">
        <v>78.46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ht="12.75" customHeight="1">
      <c r="A7843" s="4">
        <v>659.0</v>
      </c>
      <c r="B7843" s="4">
        <v>4645.0</v>
      </c>
      <c r="C7843" s="5">
        <f t="shared" ref="C7843:C7845" si="3331">DATE(2012,12,31)-1199</f>
        <v>40075</v>
      </c>
      <c r="D7843" s="4" t="s">
        <v>78</v>
      </c>
      <c r="E7843" s="4">
        <v>30.0</v>
      </c>
      <c r="F7843" s="4">
        <v>920.0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4.0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ht="12.75" customHeight="1">
      <c r="A7844" s="4">
        <v>660.0</v>
      </c>
      <c r="B7844" s="4">
        <v>4645.0</v>
      </c>
      <c r="C7844" s="5">
        <f t="shared" si="3331"/>
        <v>40075</v>
      </c>
      <c r="D7844" s="4" t="s">
        <v>78</v>
      </c>
      <c r="E7844" s="4">
        <v>7.0</v>
      </c>
      <c r="F7844" s="4">
        <v>104.2</v>
      </c>
      <c r="G7844" s="4">
        <v>0.05</v>
      </c>
      <c r="H7844" s="4" t="s">
        <v>22</v>
      </c>
      <c r="I7844" s="6">
        <v>-8.53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0.58</v>
      </c>
      <c r="U7844" s="5">
        <f t="shared" ref="U7844:U7848" si="3332">C7844+2</f>
        <v>40077</v>
      </c>
    </row>
    <row r="7845" ht="12.75" customHeight="1">
      <c r="A7845" s="4">
        <v>661.0</v>
      </c>
      <c r="B7845" s="4">
        <v>4645.0</v>
      </c>
      <c r="C7845" s="5">
        <f t="shared" si="3331"/>
        <v>40075</v>
      </c>
      <c r="D7845" s="4" t="s">
        <v>78</v>
      </c>
      <c r="E7845" s="4">
        <v>11.0</v>
      </c>
      <c r="F7845" s="4">
        <v>3563.88</v>
      </c>
      <c r="G7845" s="4">
        <v>0.0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2"/>
        <v>40077</v>
      </c>
    </row>
    <row r="7846" ht="12.75" customHeight="1">
      <c r="A7846" s="4">
        <v>811.0</v>
      </c>
      <c r="B7846" s="4">
        <v>5858.0</v>
      </c>
      <c r="C7846" s="5">
        <f t="shared" ref="C7846:C7847" si="3333">DATE(2012,12,31)-171</f>
        <v>41103</v>
      </c>
      <c r="D7846" s="4" t="s">
        <v>45</v>
      </c>
      <c r="E7846" s="4">
        <v>48.0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0.58</v>
      </c>
      <c r="U7846" s="5">
        <f t="shared" si="3332"/>
        <v>41105</v>
      </c>
    </row>
    <row r="7847" ht="12.75" customHeight="1">
      <c r="A7847" s="4">
        <v>812.0</v>
      </c>
      <c r="B7847" s="4">
        <v>5858.0</v>
      </c>
      <c r="C7847" s="5">
        <f t="shared" si="3333"/>
        <v>41103</v>
      </c>
      <c r="D7847" s="4" t="s">
        <v>45</v>
      </c>
      <c r="E7847" s="4">
        <v>29.0</v>
      </c>
      <c r="F7847" s="4">
        <v>5382.3105</v>
      </c>
      <c r="G7847" s="4">
        <v>0.0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0.58</v>
      </c>
      <c r="U7847" s="5">
        <f t="shared" si="3332"/>
        <v>41105</v>
      </c>
    </row>
    <row r="7848" ht="12.75" customHeight="1">
      <c r="A7848" s="4">
        <v>877.0</v>
      </c>
      <c r="B7848" s="4">
        <v>6304.0</v>
      </c>
      <c r="C7848" s="5">
        <f>DATE(2012,12,31)-508</f>
        <v>40766</v>
      </c>
      <c r="D7848" s="4" t="s">
        <v>30</v>
      </c>
      <c r="E7848" s="4">
        <v>30.0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2"/>
        <v>40768</v>
      </c>
    </row>
    <row r="7849" ht="12.75" customHeight="1">
      <c r="A7849" s="4">
        <v>923.0</v>
      </c>
      <c r="B7849" s="4">
        <v>6661.0</v>
      </c>
      <c r="C7849" s="5">
        <f t="shared" ref="C7849:C7850" si="3334">DATE(2012,12,31)-990</f>
        <v>40284</v>
      </c>
      <c r="D7849" s="4" t="s">
        <v>21</v>
      </c>
      <c r="E7849" s="4">
        <v>47.0</v>
      </c>
      <c r="F7849" s="4">
        <v>19224.92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49.0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ht="12.75" customHeight="1">
      <c r="A7850" s="4">
        <v>924.0</v>
      </c>
      <c r="B7850" s="4">
        <v>6661.0</v>
      </c>
      <c r="C7850" s="5">
        <f t="shared" si="3334"/>
        <v>40284</v>
      </c>
      <c r="D7850" s="4" t="s">
        <v>21</v>
      </c>
      <c r="E7850" s="4">
        <v>39.0</v>
      </c>
      <c r="F7850" s="4">
        <v>778.62</v>
      </c>
      <c r="G7850" s="4">
        <v>0.0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ht="12.75" customHeight="1">
      <c r="A7851" s="4">
        <v>934.0</v>
      </c>
      <c r="B7851" s="4">
        <v>6757.0</v>
      </c>
      <c r="C7851" s="5">
        <f t="shared" ref="C7851:C7852" si="3335">DATE(2012,12,31)-334</f>
        <v>40940</v>
      </c>
      <c r="D7851" s="4" t="s">
        <v>63</v>
      </c>
      <c r="E7851" s="4">
        <v>27.0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0.57</v>
      </c>
      <c r="U7851" s="5">
        <f>C7851+2</f>
        <v>40942</v>
      </c>
    </row>
    <row r="7852" ht="12.75" customHeight="1">
      <c r="A7852" s="4">
        <v>935.0</v>
      </c>
      <c r="B7852" s="4">
        <v>6757.0</v>
      </c>
      <c r="C7852" s="5">
        <f t="shared" si="3335"/>
        <v>40940</v>
      </c>
      <c r="D7852" s="4" t="s">
        <v>63</v>
      </c>
      <c r="E7852" s="4">
        <v>11.0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ht="12.75" customHeight="1">
      <c r="A7853" s="4">
        <v>1071.0</v>
      </c>
      <c r="B7853" s="4">
        <v>7904.0</v>
      </c>
      <c r="C7853" s="5">
        <f>DATE(2012,12,31)-949</f>
        <v>40325</v>
      </c>
      <c r="D7853" s="4" t="s">
        <v>21</v>
      </c>
      <c r="E7853" s="4">
        <v>47.0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ht="12.75" customHeight="1">
      <c r="A7854" s="4">
        <v>1074.0</v>
      </c>
      <c r="B7854" s="4">
        <v>7909.0</v>
      </c>
      <c r="C7854" s="5">
        <f>DATE(2012,12,31)-1458</f>
        <v>39816</v>
      </c>
      <c r="D7854" s="4" t="s">
        <v>30</v>
      </c>
      <c r="E7854" s="4">
        <v>29.0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ht="12.75" customHeight="1">
      <c r="A7855" s="4">
        <v>1179.0</v>
      </c>
      <c r="B7855" s="4">
        <v>8614.0</v>
      </c>
      <c r="C7855" s="5">
        <f>DATE(2012,12,31)-1306</f>
        <v>39968</v>
      </c>
      <c r="D7855" s="4" t="s">
        <v>21</v>
      </c>
      <c r="E7855" s="4">
        <v>13.0</v>
      </c>
      <c r="F7855" s="4">
        <v>1289.127</v>
      </c>
      <c r="G7855" s="4">
        <v>0.06</v>
      </c>
      <c r="H7855" s="4" t="s">
        <v>22</v>
      </c>
      <c r="I7855" s="6">
        <v>-16.335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0.58</v>
      </c>
      <c r="U7855" s="5">
        <f>C7855+2</f>
        <v>39970</v>
      </c>
    </row>
    <row r="7856" ht="12.75" customHeight="1">
      <c r="A7856" s="4">
        <v>1271.0</v>
      </c>
      <c r="B7856" s="4">
        <v>9249.0</v>
      </c>
      <c r="C7856" s="5">
        <f t="shared" ref="C7856:C7858" si="3336">DATE(2012,12,31)-957</f>
        <v>40317</v>
      </c>
      <c r="D7856" s="4" t="s">
        <v>30</v>
      </c>
      <c r="E7856" s="4">
        <v>46.0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7">C7856+1</f>
        <v>40318</v>
      </c>
    </row>
    <row r="7857" ht="12.75" customHeight="1">
      <c r="A7857" s="4">
        <v>1272.0</v>
      </c>
      <c r="B7857" s="4">
        <v>9249.0</v>
      </c>
      <c r="C7857" s="5">
        <f t="shared" si="3336"/>
        <v>40317</v>
      </c>
      <c r="D7857" s="4" t="s">
        <v>30</v>
      </c>
      <c r="E7857" s="4">
        <v>42.0</v>
      </c>
      <c r="F7857" s="4">
        <v>1546.8</v>
      </c>
      <c r="G7857" s="4">
        <v>0.07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0.57</v>
      </c>
      <c r="U7857" s="5">
        <f t="shared" si="3337"/>
        <v>40318</v>
      </c>
    </row>
    <row r="7858" ht="12.75" customHeight="1">
      <c r="A7858" s="4">
        <v>1273.0</v>
      </c>
      <c r="B7858" s="4">
        <v>9249.0</v>
      </c>
      <c r="C7858" s="5">
        <f t="shared" si="3336"/>
        <v>40317</v>
      </c>
      <c r="D7858" s="4" t="s">
        <v>30</v>
      </c>
      <c r="E7858" s="4">
        <v>35.0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8">C7858+2</f>
        <v>40319</v>
      </c>
    </row>
    <row r="7859" ht="12.75" customHeight="1">
      <c r="A7859" s="4">
        <v>1318.0</v>
      </c>
      <c r="B7859" s="4">
        <v>9639.0</v>
      </c>
      <c r="C7859" s="5">
        <f t="shared" ref="C7859:C7861" si="3339">DATE(2012,12,31)-848</f>
        <v>40426</v>
      </c>
      <c r="D7859" s="4" t="s">
        <v>45</v>
      </c>
      <c r="E7859" s="4">
        <v>47.0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8"/>
        <v>40428</v>
      </c>
    </row>
    <row r="7860" ht="12.75" customHeight="1">
      <c r="A7860" s="4">
        <v>1319.0</v>
      </c>
      <c r="B7860" s="4">
        <v>9639.0</v>
      </c>
      <c r="C7860" s="5">
        <f t="shared" si="3339"/>
        <v>40426</v>
      </c>
      <c r="D7860" s="4" t="s">
        <v>45</v>
      </c>
      <c r="E7860" s="4">
        <v>11.0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40">C7860+0</f>
        <v>40426</v>
      </c>
    </row>
    <row r="7861" ht="12.75" customHeight="1">
      <c r="A7861" s="4">
        <v>1320.0</v>
      </c>
      <c r="B7861" s="4">
        <v>9639.0</v>
      </c>
      <c r="C7861" s="5">
        <f t="shared" si="3339"/>
        <v>40426</v>
      </c>
      <c r="D7861" s="4" t="s">
        <v>45</v>
      </c>
      <c r="E7861" s="4">
        <v>23.0</v>
      </c>
      <c r="F7861" s="4">
        <v>2610.894</v>
      </c>
      <c r="G7861" s="4">
        <v>0.0</v>
      </c>
      <c r="H7861" s="4" t="s">
        <v>22</v>
      </c>
      <c r="I7861" s="6">
        <v>516.1859999999999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40"/>
        <v>40426</v>
      </c>
    </row>
    <row r="7862" ht="12.75" customHeight="1">
      <c r="A7862" s="4">
        <v>1328.0</v>
      </c>
      <c r="B7862" s="4">
        <v>9696.0</v>
      </c>
      <c r="C7862" s="5">
        <f t="shared" ref="C7862:C7863" si="3341">DATE(2012,12,31)-681</f>
        <v>40593</v>
      </c>
      <c r="D7862" s="4" t="s">
        <v>45</v>
      </c>
      <c r="E7862" s="4">
        <v>15.0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2">C7862+2</f>
        <v>40595</v>
      </c>
    </row>
    <row r="7863" ht="12.75" customHeight="1">
      <c r="A7863" s="4">
        <v>1329.0</v>
      </c>
      <c r="B7863" s="4">
        <v>9696.0</v>
      </c>
      <c r="C7863" s="5">
        <f t="shared" si="3341"/>
        <v>40593</v>
      </c>
      <c r="D7863" s="4" t="s">
        <v>45</v>
      </c>
      <c r="E7863" s="4">
        <v>13.0</v>
      </c>
      <c r="F7863" s="4">
        <v>3335.27</v>
      </c>
      <c r="G7863" s="4">
        <v>0.03</v>
      </c>
      <c r="H7863" s="4" t="s">
        <v>31</v>
      </c>
      <c r="I7863" s="6">
        <v>539.69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</v>
      </c>
      <c r="U7863" s="5">
        <f t="shared" si="3342"/>
        <v>40595</v>
      </c>
    </row>
    <row r="7864" ht="12.75" customHeight="1">
      <c r="A7864" s="4">
        <v>1355.0</v>
      </c>
      <c r="B7864" s="4">
        <v>9888.0</v>
      </c>
      <c r="C7864" s="5">
        <f>DATE(2012,12,31)-1206</f>
        <v>40068</v>
      </c>
      <c r="D7864" s="4" t="s">
        <v>21</v>
      </c>
      <c r="E7864" s="4">
        <v>48.0</v>
      </c>
      <c r="F7864" s="4">
        <v>8374.132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</v>
      </c>
      <c r="U7864" s="5">
        <f>C7864+7</f>
        <v>40075</v>
      </c>
    </row>
    <row r="7865" ht="12.75" customHeight="1">
      <c r="A7865" s="4">
        <v>1508.0</v>
      </c>
      <c r="B7865" s="4">
        <v>10913.0</v>
      </c>
      <c r="C7865" s="5">
        <f>DATE(2012,12,31)-1059</f>
        <v>40215</v>
      </c>
      <c r="D7865" s="4" t="s">
        <v>21</v>
      </c>
      <c r="E7865" s="4">
        <v>27.0</v>
      </c>
      <c r="F7865" s="4">
        <v>5149.06</v>
      </c>
      <c r="G7865" s="4">
        <v>0.03</v>
      </c>
      <c r="H7865" s="4" t="s">
        <v>31</v>
      </c>
      <c r="I7865" s="6">
        <v>605.44</v>
      </c>
      <c r="J7865" s="4">
        <v>180.98</v>
      </c>
      <c r="K7865" s="4">
        <v>30.0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ht="12.75" customHeight="1">
      <c r="A7866" s="4">
        <v>1520.0</v>
      </c>
      <c r="B7866" s="4">
        <v>10981.0</v>
      </c>
      <c r="C7866" s="5">
        <f t="shared" ref="C7866:C7867" si="3343">DATE(2012,12,31)-962</f>
        <v>40312</v>
      </c>
      <c r="D7866" s="4" t="s">
        <v>30</v>
      </c>
      <c r="E7866" s="4">
        <v>41.0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4">C7866+2</f>
        <v>40314</v>
      </c>
    </row>
    <row r="7867" ht="12.75" customHeight="1">
      <c r="A7867" s="4">
        <v>1521.0</v>
      </c>
      <c r="B7867" s="4">
        <v>10981.0</v>
      </c>
      <c r="C7867" s="5">
        <f t="shared" si="3343"/>
        <v>40312</v>
      </c>
      <c r="D7867" s="4" t="s">
        <v>30</v>
      </c>
      <c r="E7867" s="4">
        <v>33.0</v>
      </c>
      <c r="F7867" s="4">
        <v>3630.146</v>
      </c>
      <c r="G7867" s="4">
        <v>0.04</v>
      </c>
      <c r="H7867" s="4" t="s">
        <v>22</v>
      </c>
      <c r="I7867" s="6">
        <v>951.6780000000001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</v>
      </c>
      <c r="U7867" s="5">
        <f t="shared" si="3344"/>
        <v>40314</v>
      </c>
    </row>
    <row r="7868" ht="12.75" customHeight="1">
      <c r="A7868" s="4">
        <v>1773.0</v>
      </c>
      <c r="B7868" s="4">
        <v>12707.0</v>
      </c>
      <c r="C7868" s="5">
        <f>DATE(2012,12,31)-947</f>
        <v>40327</v>
      </c>
      <c r="D7868" s="4" t="s">
        <v>30</v>
      </c>
      <c r="E7868" s="4">
        <v>20.0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4"/>
        <v>40329</v>
      </c>
    </row>
    <row r="7869" ht="12.75" customHeight="1">
      <c r="A7869" s="4">
        <v>1931.0</v>
      </c>
      <c r="B7869" s="4">
        <v>13799.0</v>
      </c>
      <c r="C7869" s="5">
        <f>DATE(2012,12,31)-761</f>
        <v>40513</v>
      </c>
      <c r="D7869" s="4" t="s">
        <v>78</v>
      </c>
      <c r="E7869" s="4">
        <v>5.0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4"/>
        <v>40515</v>
      </c>
    </row>
    <row r="7870" ht="12.75" customHeight="1">
      <c r="A7870" s="4">
        <v>1950.0</v>
      </c>
      <c r="B7870" s="4">
        <v>13959.0</v>
      </c>
      <c r="C7870" s="5">
        <f t="shared" ref="C7870:C7871" si="3345">DATE(2012,12,31)-1367</f>
        <v>39907</v>
      </c>
      <c r="D7870" s="4" t="s">
        <v>63</v>
      </c>
      <c r="E7870" s="4">
        <v>47.0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4"/>
        <v>39909</v>
      </c>
    </row>
    <row r="7871" ht="12.75" customHeight="1">
      <c r="A7871" s="4">
        <v>1951.0</v>
      </c>
      <c r="B7871" s="4">
        <v>13959.0</v>
      </c>
      <c r="C7871" s="5">
        <f t="shared" si="3345"/>
        <v>39907</v>
      </c>
      <c r="D7871" s="4" t="s">
        <v>63</v>
      </c>
      <c r="E7871" s="4">
        <v>19.0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4.0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4"/>
        <v>39909</v>
      </c>
    </row>
    <row r="7872" ht="12.75" customHeight="1">
      <c r="A7872" s="4">
        <v>1959.0</v>
      </c>
      <c r="B7872" s="4">
        <v>14016.0</v>
      </c>
      <c r="C7872" s="5">
        <f>DATE(2012,12,31)-173</f>
        <v>41101</v>
      </c>
      <c r="D7872" s="4" t="s">
        <v>21</v>
      </c>
      <c r="E7872" s="4">
        <v>9.0</v>
      </c>
      <c r="F7872" s="4">
        <v>1137.62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4"/>
        <v>41103</v>
      </c>
    </row>
    <row r="7873" ht="12.75" customHeight="1">
      <c r="A7873" s="4">
        <v>2044.0</v>
      </c>
      <c r="B7873" s="4">
        <v>14563.0</v>
      </c>
      <c r="C7873" s="5">
        <f>DATE(2012,12,31)-395</f>
        <v>40879</v>
      </c>
      <c r="D7873" s="4" t="s">
        <v>78</v>
      </c>
      <c r="E7873" s="4">
        <v>31.0</v>
      </c>
      <c r="F7873" s="4">
        <v>953.0455</v>
      </c>
      <c r="G7873" s="4">
        <v>0.02</v>
      </c>
      <c r="H7873" s="4" t="s">
        <v>22</v>
      </c>
      <c r="I7873" s="6">
        <v>298.467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6">C7873+1</f>
        <v>40880</v>
      </c>
    </row>
    <row r="7874" ht="12.75" customHeight="1">
      <c r="A7874" s="4">
        <v>2155.0</v>
      </c>
      <c r="B7874" s="4">
        <v>15428.0</v>
      </c>
      <c r="C7874" s="5">
        <f t="shared" ref="C7874:C7875" si="3347">DATE(2012,12,31)-691</f>
        <v>40583</v>
      </c>
      <c r="D7874" s="4" t="s">
        <v>78</v>
      </c>
      <c r="E7874" s="4">
        <v>50.0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4.0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6"/>
        <v>40584</v>
      </c>
    </row>
    <row r="7875" ht="12.75" customHeight="1">
      <c r="A7875" s="4">
        <v>2156.0</v>
      </c>
      <c r="B7875" s="4">
        <v>15428.0</v>
      </c>
      <c r="C7875" s="5">
        <f t="shared" si="3347"/>
        <v>40583</v>
      </c>
      <c r="D7875" s="4" t="s">
        <v>78</v>
      </c>
      <c r="E7875" s="4">
        <v>10.0</v>
      </c>
      <c r="F7875" s="4">
        <v>941.6215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0.57</v>
      </c>
      <c r="U7875" s="5">
        <f>C7875+3</f>
        <v>40586</v>
      </c>
    </row>
    <row r="7876" ht="12.75" customHeight="1">
      <c r="A7876" s="4">
        <v>2327.0</v>
      </c>
      <c r="B7876" s="4">
        <v>16772.0</v>
      </c>
      <c r="C7876" s="5">
        <f>DATE(2012,12,31)-5</f>
        <v>41269</v>
      </c>
      <c r="D7876" s="4" t="s">
        <v>30</v>
      </c>
      <c r="E7876" s="4">
        <v>38.0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8">C7876+2</f>
        <v>41271</v>
      </c>
    </row>
    <row r="7877" ht="12.75" customHeight="1">
      <c r="A7877" s="4">
        <v>2425.0</v>
      </c>
      <c r="B7877" s="4">
        <v>17573.0</v>
      </c>
      <c r="C7877" s="5">
        <f>DATE(2012,12,31)-484</f>
        <v>40790</v>
      </c>
      <c r="D7877" s="4" t="s">
        <v>21</v>
      </c>
      <c r="E7877" s="4">
        <v>47.0</v>
      </c>
      <c r="F7877" s="4">
        <v>21555.6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49.0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8"/>
        <v>40792</v>
      </c>
    </row>
    <row r="7878" ht="12.75" customHeight="1">
      <c r="A7878" s="4">
        <v>2488.0</v>
      </c>
      <c r="B7878" s="4">
        <v>18119.0</v>
      </c>
      <c r="C7878" s="5">
        <f>DATE(2012,12,31)-1286</f>
        <v>39988</v>
      </c>
      <c r="D7878" s="4" t="s">
        <v>21</v>
      </c>
      <c r="E7878" s="4">
        <v>37.0</v>
      </c>
      <c r="F7878" s="4">
        <v>347.84</v>
      </c>
      <c r="G7878" s="4">
        <v>0.0</v>
      </c>
      <c r="H7878" s="4" t="s">
        <v>22</v>
      </c>
      <c r="I7878" s="6">
        <v>-99.25</v>
      </c>
      <c r="J7878" s="4">
        <v>8.74</v>
      </c>
      <c r="K7878" s="4">
        <v>8.29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8"/>
        <v>39990</v>
      </c>
    </row>
    <row r="7879" ht="12.75" customHeight="1">
      <c r="A7879" s="4">
        <v>2527.0</v>
      </c>
      <c r="B7879" s="4">
        <v>18368.0</v>
      </c>
      <c r="C7879" s="5">
        <f t="shared" ref="C7879:C7881" si="3349">DATE(2012,12,31)-31</f>
        <v>41243</v>
      </c>
      <c r="D7879" s="4" t="s">
        <v>45</v>
      </c>
      <c r="E7879" s="4">
        <v>3.0</v>
      </c>
      <c r="F7879" s="4">
        <v>212.91</v>
      </c>
      <c r="G7879" s="4">
        <v>0.0</v>
      </c>
      <c r="H7879" s="4" t="s">
        <v>22</v>
      </c>
      <c r="I7879" s="6">
        <v>-65.15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8"/>
        <v>41245</v>
      </c>
    </row>
    <row r="7880" ht="12.75" customHeight="1">
      <c r="A7880" s="4">
        <v>2528.0</v>
      </c>
      <c r="B7880" s="4">
        <v>18368.0</v>
      </c>
      <c r="C7880" s="5">
        <f t="shared" si="3349"/>
        <v>41243</v>
      </c>
      <c r="D7880" s="4" t="s">
        <v>45</v>
      </c>
      <c r="E7880" s="4">
        <v>35.0</v>
      </c>
      <c r="F7880" s="4">
        <v>1275.61</v>
      </c>
      <c r="G7880" s="4">
        <v>0.08</v>
      </c>
      <c r="H7880" s="4" t="s">
        <v>22</v>
      </c>
      <c r="I7880" s="6">
        <v>517.33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ht="12.75" customHeight="1">
      <c r="A7881" s="4">
        <v>2529.0</v>
      </c>
      <c r="B7881" s="4">
        <v>18368.0</v>
      </c>
      <c r="C7881" s="5">
        <f t="shared" si="3349"/>
        <v>41243</v>
      </c>
      <c r="D7881" s="4" t="s">
        <v>45</v>
      </c>
      <c r="E7881" s="4">
        <v>3.0</v>
      </c>
      <c r="F7881" s="4">
        <v>5972.59</v>
      </c>
      <c r="G7881" s="4">
        <v>0.06</v>
      </c>
      <c r="H7881" s="4" t="s">
        <v>31</v>
      </c>
      <c r="I7881" s="6">
        <v>-4852.529399999999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</v>
      </c>
      <c r="U7881" s="5">
        <f>C7881+2</f>
        <v>41245</v>
      </c>
    </row>
    <row r="7882" ht="12.75" customHeight="1">
      <c r="A7882" s="4">
        <v>2682.0</v>
      </c>
      <c r="B7882" s="4">
        <v>19424.0</v>
      </c>
      <c r="C7882" s="5">
        <f t="shared" ref="C7882:C7883" si="3350">DATE(2012,12,31)-632</f>
        <v>40642</v>
      </c>
      <c r="D7882" s="4" t="s">
        <v>45</v>
      </c>
      <c r="E7882" s="4">
        <v>29.0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4.77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ht="12.75" customHeight="1">
      <c r="A7883" s="4">
        <v>2683.0</v>
      </c>
      <c r="B7883" s="4">
        <v>19424.0</v>
      </c>
      <c r="C7883" s="5">
        <f t="shared" si="3350"/>
        <v>40642</v>
      </c>
      <c r="D7883" s="4" t="s">
        <v>45</v>
      </c>
      <c r="E7883" s="4">
        <v>37.0</v>
      </c>
      <c r="F7883" s="4">
        <v>1129.055</v>
      </c>
      <c r="G7883" s="4">
        <v>0.05</v>
      </c>
      <c r="H7883" s="4" t="s">
        <v>22</v>
      </c>
      <c r="I7883" s="6">
        <v>337.725</v>
      </c>
      <c r="J7883" s="4">
        <v>35.99</v>
      </c>
      <c r="K7883" s="4">
        <v>1.1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</v>
      </c>
      <c r="U7883" s="5">
        <f t="shared" ref="U7883:U7884" si="3351">C7883+1</f>
        <v>40643</v>
      </c>
    </row>
    <row r="7884" ht="12.75" customHeight="1">
      <c r="A7884" s="4">
        <v>2684.0</v>
      </c>
      <c r="B7884" s="4">
        <v>19425.0</v>
      </c>
      <c r="C7884" s="5">
        <f>DATE(2012,12,31)-98</f>
        <v>41176</v>
      </c>
      <c r="D7884" s="4" t="s">
        <v>45</v>
      </c>
      <c r="E7884" s="4">
        <v>34.0</v>
      </c>
      <c r="F7884" s="4">
        <v>210.24</v>
      </c>
      <c r="G7884" s="4">
        <v>0.0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</v>
      </c>
      <c r="U7884" s="5">
        <f t="shared" si="3351"/>
        <v>41177</v>
      </c>
    </row>
    <row r="7885" ht="12.75" customHeight="1">
      <c r="A7885" s="4">
        <v>2744.0</v>
      </c>
      <c r="B7885" s="4">
        <v>19812.0</v>
      </c>
      <c r="C7885" s="5">
        <f>DATE(2012,12,31)-1004</f>
        <v>40270</v>
      </c>
      <c r="D7885" s="4" t="s">
        <v>21</v>
      </c>
      <c r="E7885" s="4">
        <v>3.0</v>
      </c>
      <c r="F7885" s="4">
        <v>1358.776</v>
      </c>
      <c r="G7885" s="4">
        <v>0.01</v>
      </c>
      <c r="H7885" s="4" t="s">
        <v>31</v>
      </c>
      <c r="I7885" s="6">
        <v>-163.2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ht="12.75" customHeight="1">
      <c r="A7886" s="4">
        <v>2979.0</v>
      </c>
      <c r="B7886" s="4">
        <v>21510.0</v>
      </c>
      <c r="C7886" s="5">
        <f>DATE(2012,12,31)-237</f>
        <v>41037</v>
      </c>
      <c r="D7886" s="4" t="s">
        <v>30</v>
      </c>
      <c r="E7886" s="4">
        <v>16.0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ht="12.75" customHeight="1">
      <c r="A7887" s="4">
        <v>3026.0</v>
      </c>
      <c r="B7887" s="4">
        <v>21763.0</v>
      </c>
      <c r="C7887" s="5">
        <f>DATE(2012,12,31)-217</f>
        <v>41057</v>
      </c>
      <c r="D7887" s="4" t="s">
        <v>21</v>
      </c>
      <c r="E7887" s="4">
        <v>22.0</v>
      </c>
      <c r="F7887" s="4">
        <v>1239.4445</v>
      </c>
      <c r="G7887" s="4">
        <v>0.07</v>
      </c>
      <c r="H7887" s="4" t="s">
        <v>22</v>
      </c>
      <c r="I7887" s="6">
        <v>165.50099999999998</v>
      </c>
      <c r="J7887" s="4">
        <v>65.99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ht="12.75" customHeight="1">
      <c r="A7888" s="4">
        <v>3101.0</v>
      </c>
      <c r="B7888" s="4">
        <v>22212.0</v>
      </c>
      <c r="C7888" s="5">
        <f>DATE(2012,12,31)-836</f>
        <v>40438</v>
      </c>
      <c r="D7888" s="4" t="s">
        <v>63</v>
      </c>
      <c r="E7888" s="4">
        <v>19.0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ht="12.75" customHeight="1">
      <c r="A7889" s="4">
        <v>3213.0</v>
      </c>
      <c r="B7889" s="4">
        <v>23046.0</v>
      </c>
      <c r="C7889" s="5">
        <f>DATE(2012,12,31)-817</f>
        <v>40457</v>
      </c>
      <c r="D7889" s="4" t="s">
        <v>78</v>
      </c>
      <c r="E7889" s="4">
        <v>33.0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8.95</v>
      </c>
      <c r="K7889" s="4">
        <v>2.01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ht="12.75" customHeight="1">
      <c r="A7890" s="4">
        <v>3230.0</v>
      </c>
      <c r="B7890" s="4">
        <v>23172.0</v>
      </c>
      <c r="C7890" s="5">
        <f>DATE(2012,12,31)-251</f>
        <v>41023</v>
      </c>
      <c r="D7890" s="4" t="s">
        <v>21</v>
      </c>
      <c r="E7890" s="4">
        <v>13.0</v>
      </c>
      <c r="F7890" s="4">
        <v>1191.73</v>
      </c>
      <c r="G7890" s="4">
        <v>0.07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ht="12.75" customHeight="1">
      <c r="A7891" s="4">
        <v>3301.0</v>
      </c>
      <c r="B7891" s="4">
        <v>23585.0</v>
      </c>
      <c r="C7891" s="5">
        <f>DATE(2012,12,31)-61</f>
        <v>41213</v>
      </c>
      <c r="D7891" s="4" t="s">
        <v>78</v>
      </c>
      <c r="E7891" s="4">
        <v>44.0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0.58</v>
      </c>
      <c r="U7891" s="5">
        <f t="shared" ref="U7891:U7892" si="3352">C7891+1</f>
        <v>41214</v>
      </c>
    </row>
    <row r="7892" ht="12.75" customHeight="1">
      <c r="A7892" s="4">
        <v>3340.0</v>
      </c>
      <c r="B7892" s="4">
        <v>23906.0</v>
      </c>
      <c r="C7892" s="5">
        <f>DATE(2012,12,31)-833</f>
        <v>40441</v>
      </c>
      <c r="D7892" s="4" t="s">
        <v>78</v>
      </c>
      <c r="E7892" s="4">
        <v>37.0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0.58</v>
      </c>
      <c r="U7892" s="5">
        <f t="shared" si="3352"/>
        <v>40442</v>
      </c>
    </row>
    <row r="7893" ht="12.75" customHeight="1">
      <c r="A7893" s="4">
        <v>3449.0</v>
      </c>
      <c r="B7893" s="4">
        <v>24583.0</v>
      </c>
      <c r="C7893" s="5">
        <f>DATE(2012,12,31)-510</f>
        <v>40764</v>
      </c>
      <c r="D7893" s="4" t="s">
        <v>78</v>
      </c>
      <c r="E7893" s="4">
        <v>17.0</v>
      </c>
      <c r="F7893" s="4">
        <v>42.29</v>
      </c>
      <c r="G7893" s="4">
        <v>0.06</v>
      </c>
      <c r="H7893" s="4" t="s">
        <v>22</v>
      </c>
      <c r="I7893" s="6">
        <v>-85.2725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ht="12.75" customHeight="1">
      <c r="A7894" s="4">
        <v>3540.0</v>
      </c>
      <c r="B7894" s="4">
        <v>25191.0</v>
      </c>
      <c r="C7894" s="5">
        <f>DATE(2012,12,31)-642</f>
        <v>40632</v>
      </c>
      <c r="D7894" s="4" t="s">
        <v>63</v>
      </c>
      <c r="E7894" s="4">
        <v>42.0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</v>
      </c>
      <c r="U7894" s="5">
        <f>C7894+0</f>
        <v>40632</v>
      </c>
    </row>
    <row r="7895" ht="12.75" customHeight="1">
      <c r="A7895" s="4">
        <v>3589.0</v>
      </c>
      <c r="B7895" s="4">
        <v>25603.0</v>
      </c>
      <c r="C7895" s="5">
        <f>DATE(2012,12,31)-667</f>
        <v>40607</v>
      </c>
      <c r="D7895" s="4" t="s">
        <v>21</v>
      </c>
      <c r="E7895" s="4">
        <v>23.0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ht="12.75" customHeight="1">
      <c r="A7896" s="4">
        <v>3623.0</v>
      </c>
      <c r="B7896" s="4">
        <v>25861.0</v>
      </c>
      <c r="C7896" s="5">
        <f>DATE(2012,12,31)-146</f>
        <v>41128</v>
      </c>
      <c r="D7896" s="4" t="s">
        <v>30</v>
      </c>
      <c r="E7896" s="4">
        <v>44.0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ht="12.75" customHeight="1">
      <c r="A7897" s="4">
        <v>3785.0</v>
      </c>
      <c r="B7897" s="4">
        <v>26979.0</v>
      </c>
      <c r="C7897" s="5">
        <f t="shared" ref="C7897:C7898" si="3353">DATE(2012,12,31)-278</f>
        <v>40996</v>
      </c>
      <c r="D7897" s="4" t="s">
        <v>63</v>
      </c>
      <c r="E7897" s="4">
        <v>43.0</v>
      </c>
      <c r="F7897" s="4">
        <v>337.01</v>
      </c>
      <c r="G7897" s="4">
        <v>0.05</v>
      </c>
      <c r="H7897" s="4" t="s">
        <v>22</v>
      </c>
      <c r="I7897" s="6">
        <v>147.2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4">C7897+2</f>
        <v>40998</v>
      </c>
    </row>
    <row r="7898" ht="12.75" customHeight="1">
      <c r="A7898" s="4">
        <v>3786.0</v>
      </c>
      <c r="B7898" s="4">
        <v>26979.0</v>
      </c>
      <c r="C7898" s="5">
        <f t="shared" si="3353"/>
        <v>40996</v>
      </c>
      <c r="D7898" s="4" t="s">
        <v>63</v>
      </c>
      <c r="E7898" s="4">
        <v>50.0</v>
      </c>
      <c r="F7898" s="4">
        <v>6093.242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4"/>
        <v>40998</v>
      </c>
    </row>
    <row r="7899" ht="12.75" customHeight="1">
      <c r="A7899" s="4">
        <v>3884.0</v>
      </c>
      <c r="B7899" s="4">
        <v>27746.0</v>
      </c>
      <c r="C7899" s="5">
        <f t="shared" ref="C7899:C7900" si="3355">DATE(2012,12,31)-758</f>
        <v>40516</v>
      </c>
      <c r="D7899" s="4" t="s">
        <v>78</v>
      </c>
      <c r="E7899" s="4">
        <v>3.0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6">C7899+1</f>
        <v>40517</v>
      </c>
    </row>
    <row r="7900" ht="12.75" customHeight="1">
      <c r="A7900" s="4">
        <v>3885.0</v>
      </c>
      <c r="B7900" s="4">
        <v>27746.0</v>
      </c>
      <c r="C7900" s="5">
        <f t="shared" si="3355"/>
        <v>40516</v>
      </c>
      <c r="D7900" s="4" t="s">
        <v>78</v>
      </c>
      <c r="E7900" s="4">
        <v>42.0</v>
      </c>
      <c r="F7900" s="4">
        <v>196.1</v>
      </c>
      <c r="G7900" s="4">
        <v>0.07</v>
      </c>
      <c r="H7900" s="4" t="s">
        <v>22</v>
      </c>
      <c r="I7900" s="6">
        <v>71.65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6"/>
        <v>40517</v>
      </c>
    </row>
    <row r="7901" ht="12.75" customHeight="1">
      <c r="A7901" s="4">
        <v>3905.0</v>
      </c>
      <c r="B7901" s="4">
        <v>27844.0</v>
      </c>
      <c r="C7901" s="5">
        <f>DATE(2012,12,31)-551</f>
        <v>40723</v>
      </c>
      <c r="D7901" s="4" t="s">
        <v>21</v>
      </c>
      <c r="E7901" s="4">
        <v>1.0</v>
      </c>
      <c r="F7901" s="4">
        <v>11.08</v>
      </c>
      <c r="G7901" s="4">
        <v>0.09</v>
      </c>
      <c r="H7901" s="4" t="s">
        <v>22</v>
      </c>
      <c r="I7901" s="6">
        <v>-9.6945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ht="12.75" customHeight="1">
      <c r="A7902" s="4">
        <v>3943.0</v>
      </c>
      <c r="B7902" s="4">
        <v>28097.0</v>
      </c>
      <c r="C7902" s="5">
        <f>DATE(2012,12,31)-1328</f>
        <v>39946</v>
      </c>
      <c r="D7902" s="4" t="s">
        <v>63</v>
      </c>
      <c r="E7902" s="4">
        <v>43.0</v>
      </c>
      <c r="F7902" s="4">
        <v>2438.7</v>
      </c>
      <c r="G7902" s="4">
        <v>0.0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ht="12.75" customHeight="1">
      <c r="A7903" s="4">
        <v>3962.0</v>
      </c>
      <c r="B7903" s="4">
        <v>28262.0</v>
      </c>
      <c r="C7903" s="5">
        <f>DATE(2012,12,31)-731</f>
        <v>40543</v>
      </c>
      <c r="D7903" s="4" t="s">
        <v>63</v>
      </c>
      <c r="E7903" s="4">
        <v>26.0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ht="12.75" customHeight="1">
      <c r="A7904" s="4">
        <v>3998.0</v>
      </c>
      <c r="B7904" s="4">
        <v>28519.0</v>
      </c>
      <c r="C7904" s="5">
        <f>DATE(2012,12,31)-923</f>
        <v>40351</v>
      </c>
      <c r="D7904" s="4" t="s">
        <v>30</v>
      </c>
      <c r="E7904" s="4">
        <v>4.0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</v>
      </c>
      <c r="U7904" s="5">
        <f t="shared" ref="U7904:U7905" si="3357">C7904+2</f>
        <v>40353</v>
      </c>
    </row>
    <row r="7905" ht="12.75" customHeight="1">
      <c r="A7905" s="4">
        <v>4079.0</v>
      </c>
      <c r="B7905" s="4">
        <v>29058.0</v>
      </c>
      <c r="C7905" s="5">
        <f>DATE(2012,12,31)-1093</f>
        <v>40181</v>
      </c>
      <c r="D7905" s="4" t="s">
        <v>30</v>
      </c>
      <c r="E7905" s="4">
        <v>33.0</v>
      </c>
      <c r="F7905" s="4">
        <v>28389.14</v>
      </c>
      <c r="G7905" s="4">
        <v>0.07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7"/>
        <v>40183</v>
      </c>
    </row>
    <row r="7906" ht="12.75" customHeight="1">
      <c r="A7906" s="4">
        <v>4094.0</v>
      </c>
      <c r="B7906" s="4">
        <v>29187.0</v>
      </c>
      <c r="C7906" s="5">
        <f t="shared" ref="C7906:C7910" si="3358">DATE(2012,12,31)-1249</f>
        <v>40025</v>
      </c>
      <c r="D7906" s="4" t="s">
        <v>21</v>
      </c>
      <c r="E7906" s="4">
        <v>5.0</v>
      </c>
      <c r="F7906" s="4">
        <v>142.3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9">C7906+4</f>
        <v>40029</v>
      </c>
    </row>
    <row r="7907" ht="12.75" customHeight="1">
      <c r="A7907" s="4">
        <v>4095.0</v>
      </c>
      <c r="B7907" s="4">
        <v>29187.0</v>
      </c>
      <c r="C7907" s="5">
        <f t="shared" si="3358"/>
        <v>40025</v>
      </c>
      <c r="D7907" s="4" t="s">
        <v>21</v>
      </c>
      <c r="E7907" s="4">
        <v>8.0</v>
      </c>
      <c r="F7907" s="4">
        <v>21.93</v>
      </c>
      <c r="G7907" s="4">
        <v>0.09</v>
      </c>
      <c r="H7907" s="4" t="s">
        <v>22</v>
      </c>
      <c r="I7907" s="6">
        <v>-37.789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9"/>
        <v>40029</v>
      </c>
    </row>
    <row r="7908" ht="12.75" customHeight="1">
      <c r="A7908" s="4">
        <v>4096.0</v>
      </c>
      <c r="B7908" s="4">
        <v>29187.0</v>
      </c>
      <c r="C7908" s="5">
        <f t="shared" si="3358"/>
        <v>40025</v>
      </c>
      <c r="D7908" s="4" t="s">
        <v>21</v>
      </c>
      <c r="E7908" s="4">
        <v>35.0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60">C7908+7</f>
        <v>40032</v>
      </c>
    </row>
    <row r="7909" ht="12.75" customHeight="1">
      <c r="A7909" s="4">
        <v>4097.0</v>
      </c>
      <c r="B7909" s="4">
        <v>29187.0</v>
      </c>
      <c r="C7909" s="5">
        <f t="shared" si="3358"/>
        <v>40025</v>
      </c>
      <c r="D7909" s="4" t="s">
        <v>21</v>
      </c>
      <c r="E7909" s="4">
        <v>10.0</v>
      </c>
      <c r="F7909" s="4">
        <v>75.58</v>
      </c>
      <c r="G7909" s="4">
        <v>0.0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60"/>
        <v>40032</v>
      </c>
    </row>
    <row r="7910" ht="12.75" customHeight="1">
      <c r="A7910" s="4">
        <v>4098.0</v>
      </c>
      <c r="B7910" s="4">
        <v>29187.0</v>
      </c>
      <c r="C7910" s="5">
        <f t="shared" si="3358"/>
        <v>40025</v>
      </c>
      <c r="D7910" s="4" t="s">
        <v>21</v>
      </c>
      <c r="E7910" s="4">
        <v>42.0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0.57</v>
      </c>
      <c r="U7910" s="5">
        <f>C7910+4</f>
        <v>40029</v>
      </c>
    </row>
    <row r="7911" ht="12.75" customHeight="1">
      <c r="A7911" s="4">
        <v>4120.0</v>
      </c>
      <c r="B7911" s="4">
        <v>29317.0</v>
      </c>
      <c r="C7911" s="5">
        <f t="shared" ref="C7911:C7913" si="3361">DATE(2012,12,31)-456</f>
        <v>40818</v>
      </c>
      <c r="D7911" s="4" t="s">
        <v>45</v>
      </c>
      <c r="E7911" s="4">
        <v>40.0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0.58</v>
      </c>
      <c r="U7911" s="5">
        <f>C7911+2</f>
        <v>40820</v>
      </c>
    </row>
    <row r="7912" ht="12.75" customHeight="1">
      <c r="A7912" s="4">
        <v>4121.0</v>
      </c>
      <c r="B7912" s="4">
        <v>29317.0</v>
      </c>
      <c r="C7912" s="5">
        <f t="shared" si="3361"/>
        <v>40818</v>
      </c>
      <c r="D7912" s="4" t="s">
        <v>45</v>
      </c>
      <c r="E7912" s="4">
        <v>20.0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16.06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</v>
      </c>
      <c r="U7912" s="5">
        <f>C7912+1</f>
        <v>40819</v>
      </c>
    </row>
    <row r="7913" ht="12.75" customHeight="1">
      <c r="A7913" s="4">
        <v>4122.0</v>
      </c>
      <c r="B7913" s="4">
        <v>29317.0</v>
      </c>
      <c r="C7913" s="5">
        <f t="shared" si="3361"/>
        <v>40818</v>
      </c>
      <c r="D7913" s="4" t="s">
        <v>45</v>
      </c>
      <c r="E7913" s="4">
        <v>31.0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ht="12.75" customHeight="1">
      <c r="A7914" s="4">
        <v>4221.0</v>
      </c>
      <c r="B7914" s="4">
        <v>29988.0</v>
      </c>
      <c r="C7914" s="5">
        <f>DATE(2012,12,31)-1298</f>
        <v>39976</v>
      </c>
      <c r="D7914" s="4" t="s">
        <v>30</v>
      </c>
      <c r="E7914" s="4">
        <v>12.0</v>
      </c>
      <c r="F7914" s="4">
        <v>5177.4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49.0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ht="12.75" customHeight="1">
      <c r="A7915" s="4">
        <v>4230.0</v>
      </c>
      <c r="B7915" s="4">
        <v>30051.0</v>
      </c>
      <c r="C7915" s="5">
        <f>DATE(2012,12,31)-286</f>
        <v>40988</v>
      </c>
      <c r="D7915" s="4" t="s">
        <v>45</v>
      </c>
      <c r="E7915" s="4">
        <v>42.0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</v>
      </c>
      <c r="U7915" s="5">
        <f t="shared" ref="U7915:U7916" si="3362">C7915+1</f>
        <v>40989</v>
      </c>
    </row>
    <row r="7916" ht="12.75" customHeight="1">
      <c r="A7916" s="4">
        <v>4245.0</v>
      </c>
      <c r="B7916" s="4">
        <v>30211.0</v>
      </c>
      <c r="C7916" s="5">
        <f>DATE(2012,12,31)-938</f>
        <v>40336</v>
      </c>
      <c r="D7916" s="4" t="s">
        <v>63</v>
      </c>
      <c r="E7916" s="4">
        <v>19.0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2"/>
        <v>40337</v>
      </c>
    </row>
    <row r="7917" ht="12.75" customHeight="1">
      <c r="A7917" s="4">
        <v>4271.0</v>
      </c>
      <c r="B7917" s="4">
        <v>30401.0</v>
      </c>
      <c r="C7917" s="5">
        <f>DATE(2012,12,31)-74</f>
        <v>41200</v>
      </c>
      <c r="D7917" s="4" t="s">
        <v>63</v>
      </c>
      <c r="E7917" s="4">
        <v>39.0</v>
      </c>
      <c r="F7917" s="4">
        <v>239.4</v>
      </c>
      <c r="G7917" s="4">
        <v>0.07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ht="12.75" customHeight="1">
      <c r="A7918" s="4">
        <v>4316.0</v>
      </c>
      <c r="B7918" s="4">
        <v>30757.0</v>
      </c>
      <c r="C7918" s="5">
        <f t="shared" ref="C7918:C7919" si="3363">DATE(2012,12,31)-736</f>
        <v>40538</v>
      </c>
      <c r="D7918" s="4" t="s">
        <v>63</v>
      </c>
      <c r="E7918" s="4">
        <v>5.0</v>
      </c>
      <c r="F7918" s="4">
        <v>21.32</v>
      </c>
      <c r="G7918" s="4">
        <v>0.08</v>
      </c>
      <c r="H7918" s="4" t="s">
        <v>56</v>
      </c>
      <c r="I7918" s="6">
        <v>2.2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ht="12.75" customHeight="1">
      <c r="A7919" s="4">
        <v>4317.0</v>
      </c>
      <c r="B7919" s="4">
        <v>30757.0</v>
      </c>
      <c r="C7919" s="5">
        <f t="shared" si="3363"/>
        <v>40538</v>
      </c>
      <c r="D7919" s="4" t="s">
        <v>63</v>
      </c>
      <c r="E7919" s="4">
        <v>42.0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0.58</v>
      </c>
      <c r="U7919" s="5">
        <f>C7919+1</f>
        <v>40539</v>
      </c>
    </row>
    <row r="7920" ht="12.75" customHeight="1">
      <c r="A7920" s="4">
        <v>4386.0</v>
      </c>
      <c r="B7920" s="4">
        <v>31237.0</v>
      </c>
      <c r="C7920" s="5">
        <f>DATE(2012,12,31)-521</f>
        <v>40753</v>
      </c>
      <c r="D7920" s="4" t="s">
        <v>45</v>
      </c>
      <c r="E7920" s="4">
        <v>13.0</v>
      </c>
      <c r="F7920" s="4">
        <v>589.78</v>
      </c>
      <c r="G7920" s="4">
        <v>0.0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4">C7920+0</f>
        <v>40753</v>
      </c>
    </row>
    <row r="7921" ht="12.75" customHeight="1">
      <c r="A7921" s="4">
        <v>4523.0</v>
      </c>
      <c r="B7921" s="4">
        <v>32192.0</v>
      </c>
      <c r="C7921" s="5">
        <f>DATE(2012,12,31)-317</f>
        <v>40957</v>
      </c>
      <c r="D7921" s="4" t="s">
        <v>45</v>
      </c>
      <c r="E7921" s="4">
        <v>4.0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</v>
      </c>
      <c r="U7921" s="5">
        <f t="shared" si="3364"/>
        <v>40957</v>
      </c>
    </row>
    <row r="7922" ht="12.75" customHeight="1">
      <c r="A7922" s="4">
        <v>4710.0</v>
      </c>
      <c r="B7922" s="4">
        <v>33568.0</v>
      </c>
      <c r="C7922" s="5">
        <f t="shared" ref="C7922:C7923" si="3365">DATE(2012,12,31)-163</f>
        <v>41111</v>
      </c>
      <c r="D7922" s="4" t="s">
        <v>63</v>
      </c>
      <c r="E7922" s="4">
        <v>10.0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6">C7922+1</f>
        <v>41112</v>
      </c>
    </row>
    <row r="7923" ht="12.75" customHeight="1">
      <c r="A7923" s="4">
        <v>4711.0</v>
      </c>
      <c r="B7923" s="4">
        <v>33568.0</v>
      </c>
      <c r="C7923" s="5">
        <f t="shared" si="3365"/>
        <v>41111</v>
      </c>
      <c r="D7923" s="4" t="s">
        <v>63</v>
      </c>
      <c r="E7923" s="4">
        <v>23.0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6"/>
        <v>41112</v>
      </c>
    </row>
    <row r="7924" ht="12.75" customHeight="1">
      <c r="A7924" s="4">
        <v>4723.0</v>
      </c>
      <c r="B7924" s="4">
        <v>33634.0</v>
      </c>
      <c r="C7924" s="5">
        <f>DATE(2012,12,31)-853</f>
        <v>40421</v>
      </c>
      <c r="D7924" s="4" t="s">
        <v>45</v>
      </c>
      <c r="E7924" s="4">
        <v>40.0</v>
      </c>
      <c r="F7924" s="4">
        <v>271.34</v>
      </c>
      <c r="G7924" s="4">
        <v>0.05</v>
      </c>
      <c r="H7924" s="4" t="s">
        <v>22</v>
      </c>
      <c r="I7924" s="6">
        <v>-151.92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ht="12.75" customHeight="1">
      <c r="A7925" s="4">
        <v>4780.0</v>
      </c>
      <c r="B7925" s="4">
        <v>33925.0</v>
      </c>
      <c r="C7925" s="5">
        <f>DATE(2012,12,31)-608</f>
        <v>40666</v>
      </c>
      <c r="D7925" s="4" t="s">
        <v>21</v>
      </c>
      <c r="E7925" s="4">
        <v>47.0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19.99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ht="12.75" customHeight="1">
      <c r="A7926" s="4">
        <v>4830.0</v>
      </c>
      <c r="B7926" s="4">
        <v>34338.0</v>
      </c>
      <c r="C7926" s="5">
        <f>DATE(2012,12,31)-915</f>
        <v>40359</v>
      </c>
      <c r="D7926" s="4" t="s">
        <v>21</v>
      </c>
      <c r="E7926" s="4">
        <v>26.0</v>
      </c>
      <c r="F7926" s="4">
        <v>1050.16</v>
      </c>
      <c r="G7926" s="4">
        <v>0.04</v>
      </c>
      <c r="H7926" s="4" t="s">
        <v>56</v>
      </c>
      <c r="I7926" s="6">
        <v>265.09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ht="12.75" customHeight="1">
      <c r="A7927" s="4">
        <v>4832.0</v>
      </c>
      <c r="B7927" s="4">
        <v>34374.0</v>
      </c>
      <c r="C7927" s="5">
        <f>DATE(2012,12,31)-1280</f>
        <v>39994</v>
      </c>
      <c r="D7927" s="4" t="s">
        <v>21</v>
      </c>
      <c r="E7927" s="4">
        <v>42.0</v>
      </c>
      <c r="F7927" s="4">
        <v>344.57</v>
      </c>
      <c r="G7927" s="4">
        <v>0.04</v>
      </c>
      <c r="H7927" s="4" t="s">
        <v>22</v>
      </c>
      <c r="I7927" s="6">
        <v>37.41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ht="12.75" customHeight="1">
      <c r="A7928" s="4">
        <v>4857.0</v>
      </c>
      <c r="B7928" s="4">
        <v>34565.0</v>
      </c>
      <c r="C7928" s="5">
        <f>DATE(2012,12,31)-1267</f>
        <v>40007</v>
      </c>
      <c r="D7928" s="4" t="s">
        <v>63</v>
      </c>
      <c r="E7928" s="4">
        <v>47.0</v>
      </c>
      <c r="F7928" s="4">
        <v>4815.862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0.57</v>
      </c>
      <c r="U7928" s="5">
        <f>C7928+1</f>
        <v>40008</v>
      </c>
    </row>
    <row r="7929" ht="12.75" customHeight="1">
      <c r="A7929" s="4">
        <v>4909.0</v>
      </c>
      <c r="B7929" s="4">
        <v>34948.0</v>
      </c>
      <c r="C7929" s="5">
        <f>DATE(2012,12,31)-1084</f>
        <v>40190</v>
      </c>
      <c r="D7929" s="4" t="s">
        <v>78</v>
      </c>
      <c r="E7929" s="4">
        <v>15.0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60.0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ht="12.75" customHeight="1">
      <c r="A7930" s="4">
        <v>5003.0</v>
      </c>
      <c r="B7930" s="4">
        <v>35652.0</v>
      </c>
      <c r="C7930" s="5">
        <f>DATE(2012,12,31)-832</f>
        <v>40442</v>
      </c>
      <c r="D7930" s="4" t="s">
        <v>21</v>
      </c>
      <c r="E7930" s="4">
        <v>21.0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7">C7930+2</f>
        <v>40444</v>
      </c>
    </row>
    <row r="7931" ht="12.75" customHeight="1">
      <c r="A7931" s="4">
        <v>5055.0</v>
      </c>
      <c r="B7931" s="4">
        <v>36038.0</v>
      </c>
      <c r="C7931" s="5">
        <f>DATE(2012,12,31)-137</f>
        <v>41137</v>
      </c>
      <c r="D7931" s="4" t="s">
        <v>30</v>
      </c>
      <c r="E7931" s="4">
        <v>26.0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5.0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</v>
      </c>
      <c r="U7931" s="5">
        <f t="shared" si="3367"/>
        <v>41139</v>
      </c>
    </row>
    <row r="7932" ht="12.75" customHeight="1">
      <c r="A7932" s="4">
        <v>5200.0</v>
      </c>
      <c r="B7932" s="4">
        <v>36934.0</v>
      </c>
      <c r="C7932" s="5">
        <f t="shared" ref="C7932:C7934" si="3368">DATE(2012,12,31)-1105</f>
        <v>40169</v>
      </c>
      <c r="D7932" s="4" t="s">
        <v>63</v>
      </c>
      <c r="E7932" s="4">
        <v>7.0</v>
      </c>
      <c r="F7932" s="4">
        <v>1120.86</v>
      </c>
      <c r="G7932" s="4">
        <v>0.02</v>
      </c>
      <c r="H7932" s="4" t="s">
        <v>56</v>
      </c>
      <c r="I7932" s="6">
        <v>17.4</v>
      </c>
      <c r="J7932" s="4">
        <v>150.98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7"/>
        <v>40171</v>
      </c>
    </row>
    <row r="7933" ht="12.75" customHeight="1">
      <c r="A7933" s="4">
        <v>5201.0</v>
      </c>
      <c r="B7933" s="4">
        <v>36934.0</v>
      </c>
      <c r="C7933" s="5">
        <f t="shared" si="3368"/>
        <v>40169</v>
      </c>
      <c r="D7933" s="4" t="s">
        <v>63</v>
      </c>
      <c r="E7933" s="4">
        <v>2.0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7"/>
        <v>40171</v>
      </c>
    </row>
    <row r="7934" ht="12.75" customHeight="1">
      <c r="A7934" s="4">
        <v>5202.0</v>
      </c>
      <c r="B7934" s="4">
        <v>36934.0</v>
      </c>
      <c r="C7934" s="5">
        <f t="shared" si="3368"/>
        <v>40169</v>
      </c>
      <c r="D7934" s="4" t="s">
        <v>63</v>
      </c>
      <c r="E7934" s="4">
        <v>45.0</v>
      </c>
      <c r="F7934" s="4">
        <v>6668.856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9">C7934+1</f>
        <v>40170</v>
      </c>
    </row>
    <row r="7935" ht="12.75" customHeight="1">
      <c r="A7935" s="4">
        <v>5259.0</v>
      </c>
      <c r="B7935" s="4">
        <v>37440.0</v>
      </c>
      <c r="C7935" s="5">
        <f>DATE(2012,12,31)-922</f>
        <v>40352</v>
      </c>
      <c r="D7935" s="4" t="s">
        <v>45</v>
      </c>
      <c r="E7935" s="4">
        <v>39.0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0.58</v>
      </c>
      <c r="U7935" s="5">
        <f t="shared" si="3369"/>
        <v>40353</v>
      </c>
    </row>
    <row r="7936" ht="12.75" customHeight="1">
      <c r="A7936" s="4">
        <v>5278.0</v>
      </c>
      <c r="B7936" s="4">
        <v>37542.0</v>
      </c>
      <c r="C7936" s="5">
        <f>DATE(2012,12,31)-1260</f>
        <v>40014</v>
      </c>
      <c r="D7936" s="4" t="s">
        <v>63</v>
      </c>
      <c r="E7936" s="4">
        <v>26.0</v>
      </c>
      <c r="F7936" s="4">
        <v>2546.5235</v>
      </c>
      <c r="G7936" s="4">
        <v>0.09</v>
      </c>
      <c r="H7936" s="4" t="s">
        <v>56</v>
      </c>
      <c r="I7936" s="6">
        <v>209.997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ht="12.75" customHeight="1">
      <c r="A7937" s="4">
        <v>5367.0</v>
      </c>
      <c r="B7937" s="4">
        <v>38146.0</v>
      </c>
      <c r="C7937" s="5">
        <f>DATE(2012,12,31)-390</f>
        <v>40884</v>
      </c>
      <c r="D7937" s="4" t="s">
        <v>21</v>
      </c>
      <c r="E7937" s="4">
        <v>45.0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ht="12.75" customHeight="1">
      <c r="A7938" s="4">
        <v>5370.0</v>
      </c>
      <c r="B7938" s="4">
        <v>38178.0</v>
      </c>
      <c r="C7938" s="5">
        <f>DATE(2012,12,31)-124</f>
        <v>41150</v>
      </c>
      <c r="D7938" s="4" t="s">
        <v>63</v>
      </c>
      <c r="E7938" s="4">
        <v>32.0</v>
      </c>
      <c r="F7938" s="4">
        <v>153.98</v>
      </c>
      <c r="G7938" s="4">
        <v>0.02</v>
      </c>
      <c r="H7938" s="4" t="s">
        <v>22</v>
      </c>
      <c r="I7938" s="6">
        <v>71.6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ht="12.75" customHeight="1">
      <c r="A7939" s="4">
        <v>5384.0</v>
      </c>
      <c r="B7939" s="4">
        <v>38279.0</v>
      </c>
      <c r="C7939" s="5">
        <f>DATE(2012,12,31)-246</f>
        <v>41028</v>
      </c>
      <c r="D7939" s="4" t="s">
        <v>63</v>
      </c>
      <c r="E7939" s="4">
        <v>1.0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4.0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ht="12.75" customHeight="1">
      <c r="A7940" s="4">
        <v>5460.0</v>
      </c>
      <c r="B7940" s="4">
        <v>38787.0</v>
      </c>
      <c r="C7940" s="5">
        <f>DATE(2012,12,31)-514</f>
        <v>40760</v>
      </c>
      <c r="D7940" s="4" t="s">
        <v>21</v>
      </c>
      <c r="E7940" s="4">
        <v>22.0</v>
      </c>
      <c r="F7940" s="4">
        <v>79.04</v>
      </c>
      <c r="G7940" s="4">
        <v>0.05</v>
      </c>
      <c r="H7940" s="4" t="s">
        <v>22</v>
      </c>
      <c r="I7940" s="6">
        <v>-77.93</v>
      </c>
      <c r="J7940" s="4">
        <v>3.28</v>
      </c>
      <c r="K7940" s="4">
        <v>5.0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</v>
      </c>
      <c r="U7940" s="5">
        <f>C7940+0</f>
        <v>40760</v>
      </c>
    </row>
    <row r="7941" ht="12.75" customHeight="1">
      <c r="A7941" s="4">
        <v>5463.0</v>
      </c>
      <c r="B7941" s="4">
        <v>38791.0</v>
      </c>
      <c r="C7941" s="5">
        <f>DATE(2012,12,31)-1023</f>
        <v>40251</v>
      </c>
      <c r="D7941" s="4" t="s">
        <v>21</v>
      </c>
      <c r="E7941" s="4">
        <v>24.0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ht="12.75" customHeight="1">
      <c r="A7942" s="4">
        <v>5464.0</v>
      </c>
      <c r="B7942" s="4">
        <v>38817.0</v>
      </c>
      <c r="C7942" s="5">
        <f>DATE(2012,12,31)-225</f>
        <v>41049</v>
      </c>
      <c r="D7942" s="4" t="s">
        <v>45</v>
      </c>
      <c r="E7942" s="4">
        <v>1.0</v>
      </c>
      <c r="F7942" s="4">
        <v>9.7</v>
      </c>
      <c r="G7942" s="4">
        <v>0.02</v>
      </c>
      <c r="H7942" s="4" t="s">
        <v>22</v>
      </c>
      <c r="I7942" s="6">
        <v>-18.03</v>
      </c>
      <c r="J7942" s="4">
        <v>4.98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70">C7942+1</f>
        <v>41050</v>
      </c>
    </row>
    <row r="7943" ht="12.75" customHeight="1">
      <c r="A7943" s="4">
        <v>5475.0</v>
      </c>
      <c r="B7943" s="4">
        <v>38887.0</v>
      </c>
      <c r="C7943" s="5">
        <f t="shared" ref="C7943:C7944" si="3371">DATE(2012,12,31)-1164</f>
        <v>40110</v>
      </c>
      <c r="D7943" s="4" t="s">
        <v>78</v>
      </c>
      <c r="E7943" s="4">
        <v>25.0</v>
      </c>
      <c r="F7943" s="4">
        <v>378.9</v>
      </c>
      <c r="G7943" s="4">
        <v>0.02</v>
      </c>
      <c r="H7943" s="4" t="s">
        <v>22</v>
      </c>
      <c r="I7943" s="6">
        <v>28.458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70"/>
        <v>40111</v>
      </c>
    </row>
    <row r="7944" ht="12.75" customHeight="1">
      <c r="A7944" s="4">
        <v>5476.0</v>
      </c>
      <c r="B7944" s="4">
        <v>38887.0</v>
      </c>
      <c r="C7944" s="5">
        <f t="shared" si="3371"/>
        <v>40110</v>
      </c>
      <c r="D7944" s="4" t="s">
        <v>78</v>
      </c>
      <c r="E7944" s="4">
        <v>50.0</v>
      </c>
      <c r="F7944" s="4">
        <v>264.05</v>
      </c>
      <c r="G7944" s="4">
        <v>0.07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ht="12.75" customHeight="1">
      <c r="A7945" s="4">
        <v>5480.0</v>
      </c>
      <c r="B7945" s="4">
        <v>38914.0</v>
      </c>
      <c r="C7945" s="5">
        <f>DATE(2012,12,31)-215</f>
        <v>41059</v>
      </c>
      <c r="D7945" s="4" t="s">
        <v>63</v>
      </c>
      <c r="E7945" s="4">
        <v>43.0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0.57</v>
      </c>
      <c r="U7945" s="5">
        <f t="shared" ref="U7945:U7946" si="3372">C7945+1</f>
        <v>41060</v>
      </c>
    </row>
    <row r="7946" ht="12.75" customHeight="1">
      <c r="A7946" s="4">
        <v>5509.0</v>
      </c>
      <c r="B7946" s="4">
        <v>39072.0</v>
      </c>
      <c r="C7946" s="5">
        <f>DATE(2012,12,31)-1408</f>
        <v>39866</v>
      </c>
      <c r="D7946" s="4" t="s">
        <v>30</v>
      </c>
      <c r="E7946" s="4">
        <v>50.0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2"/>
        <v>39867</v>
      </c>
    </row>
    <row r="7947" ht="12.75" customHeight="1">
      <c r="A7947" s="4">
        <v>5593.0</v>
      </c>
      <c r="B7947" s="4">
        <v>39652.0</v>
      </c>
      <c r="C7947" s="5">
        <f t="shared" ref="C7947:C7948" si="3373">DATE(2012,12,31)-241</f>
        <v>41033</v>
      </c>
      <c r="D7947" s="4" t="s">
        <v>21</v>
      </c>
      <c r="E7947" s="4">
        <v>5.0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ht="12.75" customHeight="1">
      <c r="A7948" s="4">
        <v>5594.0</v>
      </c>
      <c r="B7948" s="4">
        <v>39652.0</v>
      </c>
      <c r="C7948" s="5">
        <f t="shared" si="3373"/>
        <v>41033</v>
      </c>
      <c r="D7948" s="4" t="s">
        <v>21</v>
      </c>
      <c r="E7948" s="4">
        <v>4.0</v>
      </c>
      <c r="F7948" s="4">
        <v>665.7625</v>
      </c>
      <c r="G7948" s="4">
        <v>0.03</v>
      </c>
      <c r="H7948" s="4" t="s">
        <v>22</v>
      </c>
      <c r="I7948" s="6">
        <v>-773.3439999999999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ht="12.75" customHeight="1">
      <c r="A7949" s="4">
        <v>5612.0</v>
      </c>
      <c r="B7949" s="4">
        <v>39750.0</v>
      </c>
      <c r="C7949" s="5">
        <f>DATE(2012,12,31)-1375</f>
        <v>39899</v>
      </c>
      <c r="D7949" s="4" t="s">
        <v>30</v>
      </c>
      <c r="E7949" s="4">
        <v>7.0</v>
      </c>
      <c r="F7949" s="4">
        <v>140.59</v>
      </c>
      <c r="G7949" s="4">
        <v>0.01</v>
      </c>
      <c r="H7949" s="4" t="s">
        <v>22</v>
      </c>
      <c r="I7949" s="6">
        <v>-35.8788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ht="12.75" customHeight="1">
      <c r="A7950" s="4">
        <v>5654.0</v>
      </c>
      <c r="B7950" s="4">
        <v>40006.0</v>
      </c>
      <c r="C7950" s="5">
        <f t="shared" ref="C7950:C7951" si="3374">DATE(2012,12,31)-1295</f>
        <v>39979</v>
      </c>
      <c r="D7950" s="4" t="s">
        <v>45</v>
      </c>
      <c r="E7950" s="4">
        <v>35.0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ht="12.75" customHeight="1">
      <c r="A7951" s="4">
        <v>5655.0</v>
      </c>
      <c r="B7951" s="4">
        <v>40006.0</v>
      </c>
      <c r="C7951" s="5">
        <f t="shared" si="3374"/>
        <v>39979</v>
      </c>
      <c r="D7951" s="4" t="s">
        <v>45</v>
      </c>
      <c r="E7951" s="4">
        <v>48.0</v>
      </c>
      <c r="F7951" s="4">
        <v>141.59</v>
      </c>
      <c r="G7951" s="4">
        <v>0.04</v>
      </c>
      <c r="H7951" s="4" t="s">
        <v>22</v>
      </c>
      <c r="I7951" s="6">
        <v>20.26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0.58</v>
      </c>
      <c r="U7951" s="5">
        <f>C7951+1</f>
        <v>39980</v>
      </c>
    </row>
    <row r="7952" ht="12.75" customHeight="1">
      <c r="A7952" s="4">
        <v>5737.0</v>
      </c>
      <c r="B7952" s="4">
        <v>40770.0</v>
      </c>
      <c r="C7952" s="5">
        <f>DATE(2012,12,31)-625</f>
        <v>40649</v>
      </c>
      <c r="D7952" s="4" t="s">
        <v>21</v>
      </c>
      <c r="E7952" s="4">
        <v>19.0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ht="12.75" customHeight="1">
      <c r="A7953" s="4">
        <v>5766.0</v>
      </c>
      <c r="B7953" s="4">
        <v>40933.0</v>
      </c>
      <c r="C7953" s="5">
        <f>DATE(2012,12,31)-218</f>
        <v>41056</v>
      </c>
      <c r="D7953" s="4" t="s">
        <v>30</v>
      </c>
      <c r="E7953" s="4">
        <v>37.0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ht="12.75" customHeight="1">
      <c r="A7954" s="4">
        <v>5975.0</v>
      </c>
      <c r="B7954" s="4">
        <v>42370.0</v>
      </c>
      <c r="C7954" s="5">
        <f>DATE(2012,12,31)-406</f>
        <v>40868</v>
      </c>
      <c r="D7954" s="4" t="s">
        <v>30</v>
      </c>
      <c r="E7954" s="4">
        <v>33.0</v>
      </c>
      <c r="F7954" s="4">
        <v>125.27</v>
      </c>
      <c r="G7954" s="4">
        <v>0.07</v>
      </c>
      <c r="H7954" s="4" t="s">
        <v>22</v>
      </c>
      <c r="I7954" s="6">
        <v>-105.8345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ht="12.75" customHeight="1">
      <c r="A7955" s="4">
        <v>5986.0</v>
      </c>
      <c r="B7955" s="4">
        <v>42436.0</v>
      </c>
      <c r="C7955" s="5">
        <f>DATE(2012,12,31)-144</f>
        <v>41130</v>
      </c>
      <c r="D7955" s="4" t="s">
        <v>78</v>
      </c>
      <c r="E7955" s="4">
        <v>30.0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ht="12.75" customHeight="1">
      <c r="A7956" s="4">
        <v>6047.0</v>
      </c>
      <c r="B7956" s="4">
        <v>42855.0</v>
      </c>
      <c r="C7956" s="5">
        <f>DATE(2012,12,31)-542</f>
        <v>40732</v>
      </c>
      <c r="D7956" s="4" t="s">
        <v>45</v>
      </c>
      <c r="E7956" s="4">
        <v>17.0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ht="12.75" customHeight="1">
      <c r="A7957" s="4">
        <v>6166.0</v>
      </c>
      <c r="B7957" s="4">
        <v>43686.0</v>
      </c>
      <c r="C7957" s="5">
        <f>DATE(2012,12,31)-604</f>
        <v>40670</v>
      </c>
      <c r="D7957" s="4" t="s">
        <v>63</v>
      </c>
      <c r="E7957" s="4">
        <v>16.0</v>
      </c>
      <c r="F7957" s="4">
        <v>1313.64</v>
      </c>
      <c r="G7957" s="4">
        <v>0.05</v>
      </c>
      <c r="H7957" s="4" t="s">
        <v>22</v>
      </c>
      <c r="I7957" s="6">
        <v>284.84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ht="12.75" customHeight="1">
      <c r="A7958" s="4">
        <v>6260.0</v>
      </c>
      <c r="B7958" s="4">
        <v>44295.0</v>
      </c>
      <c r="C7958" s="5">
        <f>DATE(2012,12,31)-1073</f>
        <v>40201</v>
      </c>
      <c r="D7958" s="4" t="s">
        <v>63</v>
      </c>
      <c r="E7958" s="4">
        <v>47.0</v>
      </c>
      <c r="F7958" s="4">
        <v>4524.907</v>
      </c>
      <c r="G7958" s="4">
        <v>0.07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</v>
      </c>
      <c r="U7958" s="5">
        <f t="shared" ref="U7958:U7959" si="3375">C7958+2</f>
        <v>40203</v>
      </c>
    </row>
    <row r="7959" ht="12.75" customHeight="1">
      <c r="A7959" s="4">
        <v>6333.0</v>
      </c>
      <c r="B7959" s="4">
        <v>44869.0</v>
      </c>
      <c r="C7959" s="5">
        <f>DATE(2012,12,31)-131</f>
        <v>41143</v>
      </c>
      <c r="D7959" s="4" t="s">
        <v>63</v>
      </c>
      <c r="E7959" s="4">
        <v>43.0</v>
      </c>
      <c r="F7959" s="4">
        <v>283.18</v>
      </c>
      <c r="G7959" s="4">
        <v>0.03</v>
      </c>
      <c r="H7959" s="4" t="s">
        <v>22</v>
      </c>
      <c r="I7959" s="6">
        <v>-154.95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5"/>
        <v>41145</v>
      </c>
    </row>
    <row r="7960" ht="12.75" customHeight="1">
      <c r="A7960" s="4">
        <v>6405.0</v>
      </c>
      <c r="B7960" s="4">
        <v>45511.0</v>
      </c>
      <c r="C7960" s="5">
        <f>DATE(2012,12,31)-863</f>
        <v>40411</v>
      </c>
      <c r="D7960" s="4" t="s">
        <v>21</v>
      </c>
      <c r="E7960" s="4">
        <v>31.0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ht="12.75" customHeight="1">
      <c r="A7961" s="4">
        <v>6474.0</v>
      </c>
      <c r="B7961" s="4">
        <v>46053.0</v>
      </c>
      <c r="C7961" s="5">
        <f>DATE(2012,12,31)-109</f>
        <v>41165</v>
      </c>
      <c r="D7961" s="4" t="s">
        <v>30</v>
      </c>
      <c r="E7961" s="4">
        <v>25.0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0.57</v>
      </c>
      <c r="U7961" s="5">
        <f>C7961+1</f>
        <v>41166</v>
      </c>
    </row>
    <row r="7962" ht="12.75" customHeight="1">
      <c r="A7962" s="4">
        <v>6531.0</v>
      </c>
      <c r="B7962" s="4">
        <v>46469.0</v>
      </c>
      <c r="C7962" s="5">
        <f t="shared" ref="C7962:C7963" si="3376">DATE(2012,12,31)-1233</f>
        <v>40041</v>
      </c>
      <c r="D7962" s="4" t="s">
        <v>78</v>
      </c>
      <c r="E7962" s="4">
        <v>17.0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30.0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7">C7962+2</f>
        <v>40043</v>
      </c>
    </row>
    <row r="7963" ht="12.75" customHeight="1">
      <c r="A7963" s="4">
        <v>6532.0</v>
      </c>
      <c r="B7963" s="4">
        <v>46469.0</v>
      </c>
      <c r="C7963" s="5">
        <f t="shared" si="3376"/>
        <v>40041</v>
      </c>
      <c r="D7963" s="4" t="s">
        <v>78</v>
      </c>
      <c r="E7963" s="4">
        <v>18.0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7"/>
        <v>40043</v>
      </c>
    </row>
    <row r="7964" ht="12.75" customHeight="1">
      <c r="A7964" s="4">
        <v>6640.0</v>
      </c>
      <c r="B7964" s="4">
        <v>47207.0</v>
      </c>
      <c r="C7964" s="5">
        <f>DATE(2012,12,31)-1109</f>
        <v>40165</v>
      </c>
      <c r="D7964" s="4" t="s">
        <v>21</v>
      </c>
      <c r="E7964" s="4">
        <v>15.0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ht="12.75" customHeight="1">
      <c r="A7965" s="4">
        <v>6853.0</v>
      </c>
      <c r="B7965" s="4">
        <v>48801.0</v>
      </c>
      <c r="C7965" s="5">
        <f>DATE(2012,12,31)-79</f>
        <v>41195</v>
      </c>
      <c r="D7965" s="4" t="s">
        <v>30</v>
      </c>
      <c r="E7965" s="4">
        <v>43.0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ht="12.75" customHeight="1">
      <c r="A7966" s="4">
        <v>6994.0</v>
      </c>
      <c r="B7966" s="4">
        <v>49954.0</v>
      </c>
      <c r="C7966" s="5">
        <f>DATE(2012,12,31)-308</f>
        <v>40966</v>
      </c>
      <c r="D7966" s="4" t="s">
        <v>78</v>
      </c>
      <c r="E7966" s="4">
        <v>36.0</v>
      </c>
      <c r="F7966" s="4">
        <v>1921.1275</v>
      </c>
      <c r="G7966" s="4">
        <v>0.08</v>
      </c>
      <c r="H7966" s="4" t="s">
        <v>22</v>
      </c>
      <c r="I7966" s="6">
        <v>248.58</v>
      </c>
      <c r="J7966" s="4">
        <v>65.99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</v>
      </c>
      <c r="U7966" s="5">
        <f>C7966+2</f>
        <v>40968</v>
      </c>
    </row>
    <row r="7967" ht="12.75" customHeight="1">
      <c r="A7967" s="4">
        <v>7084.0</v>
      </c>
      <c r="B7967" s="4">
        <v>50563.0</v>
      </c>
      <c r="C7967" s="5">
        <f t="shared" ref="C7967:C7968" si="3378">DATE(2012,12,31)-534</f>
        <v>40740</v>
      </c>
      <c r="D7967" s="4" t="s">
        <v>30</v>
      </c>
      <c r="E7967" s="4">
        <v>2.0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9">C7967+1</f>
        <v>40741</v>
      </c>
    </row>
    <row r="7968" ht="12.75" customHeight="1">
      <c r="A7968" s="4">
        <v>7085.0</v>
      </c>
      <c r="B7968" s="4">
        <v>50563.0</v>
      </c>
      <c r="C7968" s="5">
        <f t="shared" si="3378"/>
        <v>40740</v>
      </c>
      <c r="D7968" s="4" t="s">
        <v>30</v>
      </c>
      <c r="E7968" s="4">
        <v>20.0</v>
      </c>
      <c r="F7968" s="4">
        <v>2197.4115</v>
      </c>
      <c r="G7968" s="4">
        <v>0.0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0.58</v>
      </c>
      <c r="U7968" s="5">
        <f t="shared" si="3379"/>
        <v>40741</v>
      </c>
    </row>
    <row r="7969" ht="12.75" customHeight="1">
      <c r="A7969" s="4">
        <v>7134.0</v>
      </c>
      <c r="B7969" s="4">
        <v>50882.0</v>
      </c>
      <c r="C7969" s="5">
        <f>DATE(2012,12,31)-853</f>
        <v>40421</v>
      </c>
      <c r="D7969" s="4" t="s">
        <v>30</v>
      </c>
      <c r="E7969" s="4">
        <v>37.0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ht="12.75" customHeight="1">
      <c r="A7970" s="4">
        <v>7223.0</v>
      </c>
      <c r="B7970" s="4">
        <v>51553.0</v>
      </c>
      <c r="C7970" s="5">
        <f t="shared" ref="C7970:C7973" si="3380">DATE(2012,12,31)-400</f>
        <v>40874</v>
      </c>
      <c r="D7970" s="4" t="s">
        <v>45</v>
      </c>
      <c r="E7970" s="4">
        <v>3.0</v>
      </c>
      <c r="F7970" s="4">
        <v>21366.51</v>
      </c>
      <c r="G7970" s="4">
        <v>0.0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ht="12.75" customHeight="1">
      <c r="A7971" s="4">
        <v>7224.0</v>
      </c>
      <c r="B7971" s="4">
        <v>51553.0</v>
      </c>
      <c r="C7971" s="5">
        <f t="shared" si="3380"/>
        <v>40874</v>
      </c>
      <c r="D7971" s="4" t="s">
        <v>45</v>
      </c>
      <c r="E7971" s="4">
        <v>34.0</v>
      </c>
      <c r="F7971" s="4">
        <v>320.04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4.39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1">C7971+2</f>
        <v>40876</v>
      </c>
    </row>
    <row r="7972" ht="12.75" customHeight="1">
      <c r="A7972" s="4">
        <v>7225.0</v>
      </c>
      <c r="B7972" s="4">
        <v>51553.0</v>
      </c>
      <c r="C7972" s="5">
        <f t="shared" si="3380"/>
        <v>40874</v>
      </c>
      <c r="D7972" s="4" t="s">
        <v>45</v>
      </c>
      <c r="E7972" s="4">
        <v>12.0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1"/>
        <v>40876</v>
      </c>
    </row>
    <row r="7973" ht="12.75" customHeight="1">
      <c r="A7973" s="4">
        <v>7226.0</v>
      </c>
      <c r="B7973" s="4">
        <v>51553.0</v>
      </c>
      <c r="C7973" s="5">
        <f t="shared" si="3380"/>
        <v>40874</v>
      </c>
      <c r="D7973" s="4" t="s">
        <v>45</v>
      </c>
      <c r="E7973" s="4">
        <v>13.0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ht="12.75" customHeight="1">
      <c r="A7974" s="4">
        <v>7327.0</v>
      </c>
      <c r="B7974" s="4">
        <v>52199.0</v>
      </c>
      <c r="C7974" s="5">
        <f>DATE(2012,12,31)-705</f>
        <v>40569</v>
      </c>
      <c r="D7974" s="4" t="s">
        <v>63</v>
      </c>
      <c r="E7974" s="4">
        <v>19.0</v>
      </c>
      <c r="F7974" s="4">
        <v>92.24</v>
      </c>
      <c r="G7974" s="4">
        <v>0.05</v>
      </c>
      <c r="H7974" s="4" t="s">
        <v>22</v>
      </c>
      <c r="I7974" s="6">
        <v>-60.582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2">C7974+1</f>
        <v>40570</v>
      </c>
    </row>
    <row r="7975" ht="12.75" customHeight="1">
      <c r="A7975" s="4">
        <v>7341.0</v>
      </c>
      <c r="B7975" s="4">
        <v>52293.0</v>
      </c>
      <c r="C7975" s="5">
        <f>DATE(2012,12,31)-626</f>
        <v>40648</v>
      </c>
      <c r="D7975" s="4" t="s">
        <v>30</v>
      </c>
      <c r="E7975" s="4">
        <v>4.0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2"/>
        <v>40649</v>
      </c>
    </row>
    <row r="7976" ht="12.75" customHeight="1">
      <c r="A7976" s="4">
        <v>7407.0</v>
      </c>
      <c r="B7976" s="4">
        <v>52839.0</v>
      </c>
      <c r="C7976" s="5">
        <f t="shared" ref="C7976:C7977" si="3383">DATE(2012,12,31)-995</f>
        <v>40279</v>
      </c>
      <c r="D7976" s="4" t="s">
        <v>30</v>
      </c>
      <c r="E7976" s="4">
        <v>8.0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</v>
      </c>
      <c r="U7976" s="5">
        <f>C7976+0</f>
        <v>40279</v>
      </c>
    </row>
    <row r="7977" ht="12.75" customHeight="1">
      <c r="A7977" s="4">
        <v>7408.0</v>
      </c>
      <c r="B7977" s="4">
        <v>52839.0</v>
      </c>
      <c r="C7977" s="5">
        <f t="shared" si="3383"/>
        <v>40279</v>
      </c>
      <c r="D7977" s="4" t="s">
        <v>30</v>
      </c>
      <c r="E7977" s="4">
        <v>25.0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4">C7977+1</f>
        <v>40280</v>
      </c>
    </row>
    <row r="7978" ht="12.75" customHeight="1">
      <c r="A7978" s="4">
        <v>7484.0</v>
      </c>
      <c r="B7978" s="4">
        <v>53443.0</v>
      </c>
      <c r="C7978" s="5">
        <f t="shared" ref="C7978:C7980" si="3385">DATE(2012,12,31)-450</f>
        <v>40824</v>
      </c>
      <c r="D7978" s="4" t="s">
        <v>78</v>
      </c>
      <c r="E7978" s="4">
        <v>35.0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</v>
      </c>
      <c r="U7978" s="5">
        <f t="shared" si="3384"/>
        <v>40825</v>
      </c>
    </row>
    <row r="7979" ht="12.75" customHeight="1">
      <c r="A7979" s="4">
        <v>7485.0</v>
      </c>
      <c r="B7979" s="4">
        <v>53443.0</v>
      </c>
      <c r="C7979" s="5">
        <f t="shared" si="3385"/>
        <v>40824</v>
      </c>
      <c r="D7979" s="4" t="s">
        <v>78</v>
      </c>
      <c r="E7979" s="4">
        <v>3.0</v>
      </c>
      <c r="F7979" s="4">
        <v>19.46</v>
      </c>
      <c r="G7979" s="4">
        <v>0.01</v>
      </c>
      <c r="H7979" s="4" t="s">
        <v>22</v>
      </c>
      <c r="I7979" s="6">
        <v>-2.01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ht="12.75" customHeight="1">
      <c r="A7980" s="4">
        <v>7486.0</v>
      </c>
      <c r="B7980" s="4">
        <v>53443.0</v>
      </c>
      <c r="C7980" s="5">
        <f t="shared" si="3385"/>
        <v>40824</v>
      </c>
      <c r="D7980" s="4" t="s">
        <v>78</v>
      </c>
      <c r="E7980" s="4">
        <v>22.0</v>
      </c>
      <c r="F7980" s="4">
        <v>148.8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6">C7980+1</f>
        <v>40825</v>
      </c>
    </row>
    <row r="7981" ht="12.75" customHeight="1">
      <c r="A7981" s="4">
        <v>7527.0</v>
      </c>
      <c r="B7981" s="4">
        <v>53767.0</v>
      </c>
      <c r="C7981" s="5">
        <f>DATE(2012,12,31)-493</f>
        <v>40781</v>
      </c>
      <c r="D7981" s="4" t="s">
        <v>45</v>
      </c>
      <c r="E7981" s="4">
        <v>35.0</v>
      </c>
      <c r="F7981" s="4">
        <v>1131.15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6"/>
        <v>40782</v>
      </c>
    </row>
    <row r="7982" ht="12.75" customHeight="1">
      <c r="A7982" s="4">
        <v>7645.0</v>
      </c>
      <c r="B7982" s="4">
        <v>54787.0</v>
      </c>
      <c r="C7982" s="5">
        <f>DATE(2012,12,31)-676</f>
        <v>40598</v>
      </c>
      <c r="D7982" s="4" t="s">
        <v>30</v>
      </c>
      <c r="E7982" s="4">
        <v>7.0</v>
      </c>
      <c r="F7982" s="4">
        <v>170.02</v>
      </c>
      <c r="G7982" s="4">
        <v>0.07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6"/>
        <v>40599</v>
      </c>
    </row>
    <row r="7983" ht="12.75" customHeight="1">
      <c r="A7983" s="4">
        <v>7671.0</v>
      </c>
      <c r="B7983" s="4">
        <v>55011.0</v>
      </c>
      <c r="C7983" s="5">
        <f t="shared" ref="C7983:C7984" si="3387">DATE(2012,12,31)-362</f>
        <v>40912</v>
      </c>
      <c r="D7983" s="4" t="s">
        <v>78</v>
      </c>
      <c r="E7983" s="4">
        <v>48.0</v>
      </c>
      <c r="F7983" s="4">
        <v>452.28</v>
      </c>
      <c r="G7983" s="4">
        <v>0.09</v>
      </c>
      <c r="H7983" s="4" t="s">
        <v>22</v>
      </c>
      <c r="I7983" s="6">
        <v>-21.0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6"/>
        <v>40913</v>
      </c>
    </row>
    <row r="7984" ht="12.75" customHeight="1">
      <c r="A7984" s="4">
        <v>7672.0</v>
      </c>
      <c r="B7984" s="4">
        <v>55011.0</v>
      </c>
      <c r="C7984" s="5">
        <f t="shared" si="3387"/>
        <v>40912</v>
      </c>
      <c r="D7984" s="4" t="s">
        <v>78</v>
      </c>
      <c r="E7984" s="4">
        <v>18.0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6"/>
        <v>40913</v>
      </c>
    </row>
    <row r="7985" ht="12.75" customHeight="1">
      <c r="A7985" s="4">
        <v>7754.0</v>
      </c>
      <c r="B7985" s="4">
        <v>55490.0</v>
      </c>
      <c r="C7985" s="5">
        <f>DATE(2012,12,31)-1141</f>
        <v>40133</v>
      </c>
      <c r="D7985" s="4" t="s">
        <v>63</v>
      </c>
      <c r="E7985" s="4">
        <v>3.0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6"/>
        <v>40134</v>
      </c>
    </row>
    <row r="7986" ht="12.75" customHeight="1">
      <c r="A7986" s="4">
        <v>7842.0</v>
      </c>
      <c r="B7986" s="4">
        <v>56069.0</v>
      </c>
      <c r="C7986" s="5">
        <f>DATE(2012,12,31)-78</f>
        <v>41196</v>
      </c>
      <c r="D7986" s="4" t="s">
        <v>21</v>
      </c>
      <c r="E7986" s="4">
        <v>10.0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ht="12.75" customHeight="1">
      <c r="A7987" s="4">
        <v>7856.0</v>
      </c>
      <c r="B7987" s="4">
        <v>56163.0</v>
      </c>
      <c r="C7987" s="5">
        <f>DATE(2012,12,31)-1238</f>
        <v>40036</v>
      </c>
      <c r="D7987" s="4" t="s">
        <v>45</v>
      </c>
      <c r="E7987" s="4">
        <v>3.0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8">C7987+2</f>
        <v>40038</v>
      </c>
    </row>
    <row r="7988" ht="12.75" customHeight="1">
      <c r="A7988" s="4">
        <v>7963.0</v>
      </c>
      <c r="B7988" s="4">
        <v>56929.0</v>
      </c>
      <c r="C7988" s="5">
        <f>DATE(2012,12,31)-462</f>
        <v>40812</v>
      </c>
      <c r="D7988" s="4" t="s">
        <v>30</v>
      </c>
      <c r="E7988" s="4">
        <v>22.0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9.78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8"/>
        <v>40814</v>
      </c>
    </row>
    <row r="7989" ht="12.75" customHeight="1">
      <c r="A7989" s="4">
        <v>8029.0</v>
      </c>
      <c r="B7989" s="4">
        <v>57378.0</v>
      </c>
      <c r="C7989" s="5">
        <f t="shared" ref="C7989:C7990" si="3389">DATE(2012,12,31)-1099</f>
        <v>40175</v>
      </c>
      <c r="D7989" s="4" t="s">
        <v>45</v>
      </c>
      <c r="E7989" s="4">
        <v>9.0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ht="12.75" customHeight="1">
      <c r="A7990" s="4">
        <v>8030.0</v>
      </c>
      <c r="B7990" s="4">
        <v>57378.0</v>
      </c>
      <c r="C7990" s="5">
        <f t="shared" si="3389"/>
        <v>40175</v>
      </c>
      <c r="D7990" s="4" t="s">
        <v>45</v>
      </c>
      <c r="E7990" s="4">
        <v>10.0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</v>
      </c>
      <c r="U7990" s="5">
        <f>C7990+0</f>
        <v>40175</v>
      </c>
    </row>
    <row r="7991" ht="12.75" customHeight="1">
      <c r="A7991" s="4">
        <v>8241.0</v>
      </c>
      <c r="B7991" s="4">
        <v>58914.0</v>
      </c>
      <c r="C7991" s="5">
        <f t="shared" ref="C7991:C7992" si="3390">DATE(2012,12,31)-1362</f>
        <v>39912</v>
      </c>
      <c r="D7991" s="4" t="s">
        <v>21</v>
      </c>
      <c r="E7991" s="4">
        <v>46.0</v>
      </c>
      <c r="F7991" s="4">
        <v>99.94</v>
      </c>
      <c r="G7991" s="4">
        <v>0.07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</v>
      </c>
      <c r="U7991" s="5">
        <f>C7991+2</f>
        <v>39914</v>
      </c>
    </row>
    <row r="7992" ht="12.75" customHeight="1">
      <c r="A7992" s="4">
        <v>8242.0</v>
      </c>
      <c r="B7992" s="4">
        <v>58914.0</v>
      </c>
      <c r="C7992" s="5">
        <f t="shared" si="3390"/>
        <v>39912</v>
      </c>
      <c r="D7992" s="4" t="s">
        <v>21</v>
      </c>
      <c r="E7992" s="4">
        <v>11.0</v>
      </c>
      <c r="F7992" s="4">
        <v>18.7</v>
      </c>
      <c r="G7992" s="4">
        <v>0.07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</v>
      </c>
      <c r="U7992" s="5">
        <f>C7992+7</f>
        <v>39919</v>
      </c>
    </row>
    <row r="7993" ht="12.75" customHeight="1">
      <c r="A7993" s="4">
        <v>8338.0</v>
      </c>
      <c r="B7993" s="4">
        <v>59586.0</v>
      </c>
      <c r="C7993" s="5">
        <f>DATE(2012,12,31)-299</f>
        <v>40975</v>
      </c>
      <c r="D7993" s="4" t="s">
        <v>21</v>
      </c>
      <c r="E7993" s="4">
        <v>25.0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ht="12.75" customHeight="1">
      <c r="A7994" s="4">
        <v>64.0</v>
      </c>
      <c r="B7994" s="4">
        <v>359.0</v>
      </c>
      <c r="C7994" s="5">
        <f>DATE(2012,12,31)-1109</f>
        <v>40165</v>
      </c>
      <c r="D7994" s="4" t="s">
        <v>63</v>
      </c>
      <c r="E7994" s="4">
        <v>30.0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ht="12.75" customHeight="1">
      <c r="A7995" s="4">
        <v>129.0</v>
      </c>
      <c r="B7995" s="4">
        <v>832.0</v>
      </c>
      <c r="C7995" s="5">
        <f>DATE(2012,12,31)-257</f>
        <v>41017</v>
      </c>
      <c r="D7995" s="4" t="s">
        <v>21</v>
      </c>
      <c r="E7995" s="4">
        <v>7.0</v>
      </c>
      <c r="F7995" s="4">
        <v>53.46</v>
      </c>
      <c r="G7995" s="4">
        <v>0.02</v>
      </c>
      <c r="H7995" s="4" t="s">
        <v>22</v>
      </c>
      <c r="I7995" s="6">
        <v>-17.58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ht="12.75" customHeight="1">
      <c r="A7996" s="4">
        <v>210.0</v>
      </c>
      <c r="B7996" s="4">
        <v>1383.0</v>
      </c>
      <c r="C7996" s="5">
        <f>DATE(2012,12,31)-980</f>
        <v>40294</v>
      </c>
      <c r="D7996" s="4" t="s">
        <v>30</v>
      </c>
      <c r="E7996" s="4">
        <v>43.0</v>
      </c>
      <c r="F7996" s="4">
        <v>17129.97</v>
      </c>
      <c r="G7996" s="4">
        <v>0.07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0.57</v>
      </c>
      <c r="U7996" s="5">
        <f>C7996+1</f>
        <v>40295</v>
      </c>
    </row>
    <row r="7997" ht="12.75" customHeight="1">
      <c r="A7997" s="4">
        <v>349.0</v>
      </c>
      <c r="B7997" s="4">
        <v>2433.0</v>
      </c>
      <c r="C7997" s="5">
        <f>DATE(2012,12,31)-1228</f>
        <v>40046</v>
      </c>
      <c r="D7997" s="4" t="s">
        <v>45</v>
      </c>
      <c r="E7997" s="4">
        <v>14.0</v>
      </c>
      <c r="F7997" s="4">
        <v>24105.87</v>
      </c>
      <c r="G7997" s="4">
        <v>0.07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</v>
      </c>
      <c r="U7997" s="5">
        <f>C7997+0</f>
        <v>40046</v>
      </c>
    </row>
    <row r="7998" ht="12.75" customHeight="1">
      <c r="A7998" s="4">
        <v>388.0</v>
      </c>
      <c r="B7998" s="4">
        <v>2659.0</v>
      </c>
      <c r="C7998" s="5">
        <f>DATE(2012,12,31)-745</f>
        <v>40529</v>
      </c>
      <c r="D7998" s="4" t="s">
        <v>45</v>
      </c>
      <c r="E7998" s="4">
        <v>50.0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9.03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1">C7998+2</f>
        <v>40531</v>
      </c>
    </row>
    <row r="7999" ht="12.75" customHeight="1">
      <c r="A7999" s="4">
        <v>466.0</v>
      </c>
      <c r="B7999" s="4">
        <v>3172.0</v>
      </c>
      <c r="C7999" s="5">
        <f>DATE(2012,12,31)-212</f>
        <v>41062</v>
      </c>
      <c r="D7999" s="4" t="s">
        <v>45</v>
      </c>
      <c r="E7999" s="4">
        <v>33.0</v>
      </c>
      <c r="F7999" s="4">
        <v>584.511</v>
      </c>
      <c r="G7999" s="4">
        <v>0.05</v>
      </c>
      <c r="H7999" s="4" t="s">
        <v>22</v>
      </c>
      <c r="I7999" s="6">
        <v>-95.975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1"/>
        <v>41064</v>
      </c>
    </row>
    <row r="8000" ht="12.75" customHeight="1">
      <c r="A8000" s="4">
        <v>614.0</v>
      </c>
      <c r="B8000" s="4">
        <v>4199.0</v>
      </c>
      <c r="C8000" s="5">
        <f>DATE(2012,12,31)-323</f>
        <v>40951</v>
      </c>
      <c r="D8000" s="4" t="s">
        <v>78</v>
      </c>
      <c r="E8000" s="4">
        <v>43.0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ht="12.75" customHeight="1">
      <c r="A8001" s="4">
        <v>744.0</v>
      </c>
      <c r="B8001" s="4">
        <v>5347.0</v>
      </c>
      <c r="C8001" s="5">
        <f t="shared" ref="C8001:C8003" si="3392">DATE(2012,12,31)-679</f>
        <v>40595</v>
      </c>
      <c r="D8001" s="4" t="s">
        <v>63</v>
      </c>
      <c r="E8001" s="4">
        <v>7.0</v>
      </c>
      <c r="F8001" s="4">
        <v>525.555</v>
      </c>
      <c r="G8001" s="4">
        <v>0.04</v>
      </c>
      <c r="H8001" s="4" t="s">
        <v>22</v>
      </c>
      <c r="I8001" s="6">
        <v>-60.665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ht="12.75" customHeight="1">
      <c r="A8002" s="4">
        <v>745.0</v>
      </c>
      <c r="B8002" s="4">
        <v>5347.0</v>
      </c>
      <c r="C8002" s="5">
        <f t="shared" si="3392"/>
        <v>40595</v>
      </c>
      <c r="D8002" s="4" t="s">
        <v>63</v>
      </c>
      <c r="E8002" s="4">
        <v>39.0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ht="12.75" customHeight="1">
      <c r="A8003" s="4">
        <v>746.0</v>
      </c>
      <c r="B8003" s="4">
        <v>5347.0</v>
      </c>
      <c r="C8003" s="5">
        <f t="shared" si="3392"/>
        <v>40595</v>
      </c>
      <c r="D8003" s="4" t="s">
        <v>63</v>
      </c>
      <c r="E8003" s="4">
        <v>1.0</v>
      </c>
      <c r="F8003" s="4">
        <v>187.204</v>
      </c>
      <c r="G8003" s="4">
        <v>0.01</v>
      </c>
      <c r="H8003" s="4" t="s">
        <v>22</v>
      </c>
      <c r="I8003" s="6">
        <v>-796.763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</v>
      </c>
      <c r="U8003" s="5">
        <f t="shared" ref="U8003:U8004" si="3393">C8003+1</f>
        <v>40596</v>
      </c>
    </row>
    <row r="8004" ht="12.75" customHeight="1">
      <c r="A8004" s="4">
        <v>803.0</v>
      </c>
      <c r="B8004" s="4">
        <v>5764.0</v>
      </c>
      <c r="C8004" s="5">
        <f>DATE(2012,12,31)-821</f>
        <v>40453</v>
      </c>
      <c r="D8004" s="4" t="s">
        <v>45</v>
      </c>
      <c r="E8004" s="4">
        <v>23.0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8.04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3"/>
        <v>40454</v>
      </c>
    </row>
    <row r="8005" ht="12.75" customHeight="1">
      <c r="A8005" s="4">
        <v>813.0</v>
      </c>
      <c r="B8005" s="4">
        <v>5860.0</v>
      </c>
      <c r="C8005" s="5">
        <f>DATE(2012,12,31)-316</f>
        <v>40958</v>
      </c>
      <c r="D8005" s="4" t="s">
        <v>45</v>
      </c>
      <c r="E8005" s="4">
        <v>12.0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ht="12.75" customHeight="1">
      <c r="A8006" s="4">
        <v>854.0</v>
      </c>
      <c r="B8006" s="4">
        <v>6117.0</v>
      </c>
      <c r="C8006" s="5">
        <f>DATE(2012,12,31)-10</f>
        <v>41264</v>
      </c>
      <c r="D8006" s="4" t="s">
        <v>78</v>
      </c>
      <c r="E8006" s="4">
        <v>7.0</v>
      </c>
      <c r="F8006" s="4">
        <v>157.03</v>
      </c>
      <c r="G8006" s="4">
        <v>0.07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ht="12.75" customHeight="1">
      <c r="A8007" s="4">
        <v>974.0</v>
      </c>
      <c r="B8007" s="4">
        <v>7077.0</v>
      </c>
      <c r="C8007" s="5">
        <f>DATE(2012,12,31)-376</f>
        <v>40898</v>
      </c>
      <c r="D8007" s="4" t="s">
        <v>30</v>
      </c>
      <c r="E8007" s="4">
        <v>14.0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4">C8007+2</f>
        <v>40900</v>
      </c>
    </row>
    <row r="8008" ht="12.75" customHeight="1">
      <c r="A8008" s="4">
        <v>991.0</v>
      </c>
      <c r="B8008" s="4">
        <v>7142.0</v>
      </c>
      <c r="C8008" s="5">
        <f>DATE(2012,12,31)-529</f>
        <v>40745</v>
      </c>
      <c r="D8008" s="4" t="s">
        <v>78</v>
      </c>
      <c r="E8008" s="4">
        <v>36.0</v>
      </c>
      <c r="F8008" s="4">
        <v>132.86</v>
      </c>
      <c r="G8008" s="4">
        <v>0.06</v>
      </c>
      <c r="H8008" s="4" t="s">
        <v>22</v>
      </c>
      <c r="I8008" s="6">
        <v>57.0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4"/>
        <v>40747</v>
      </c>
    </row>
    <row r="8009" ht="12.75" customHeight="1">
      <c r="A8009" s="4">
        <v>1011.0</v>
      </c>
      <c r="B8009" s="4">
        <v>7398.0</v>
      </c>
      <c r="C8009" s="5">
        <f t="shared" ref="C8009:C8010" si="3395">DATE(2012,12,31)-1309</f>
        <v>39965</v>
      </c>
      <c r="D8009" s="4" t="s">
        <v>45</v>
      </c>
      <c r="E8009" s="4">
        <v>6.0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ht="12.75" customHeight="1">
      <c r="A8010" s="4">
        <v>1012.0</v>
      </c>
      <c r="B8010" s="4">
        <v>7398.0</v>
      </c>
      <c r="C8010" s="5">
        <f t="shared" si="3395"/>
        <v>39965</v>
      </c>
      <c r="D8010" s="4" t="s">
        <v>45</v>
      </c>
      <c r="E8010" s="4">
        <v>34.0</v>
      </c>
      <c r="F8010" s="4">
        <v>2181.44</v>
      </c>
      <c r="G8010" s="4">
        <v>0.07</v>
      </c>
      <c r="H8010" s="4" t="s">
        <v>22</v>
      </c>
      <c r="I8010" s="6">
        <v>-896.34</v>
      </c>
      <c r="J8010" s="4">
        <v>64.65</v>
      </c>
      <c r="K8010" s="4">
        <v>35.0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ht="12.75" customHeight="1">
      <c r="A8011" s="4">
        <v>1018.0</v>
      </c>
      <c r="B8011" s="4">
        <v>7431.0</v>
      </c>
      <c r="C8011" s="5">
        <f>DATE(2012,12,31)-1340</f>
        <v>39934</v>
      </c>
      <c r="D8011" s="4" t="s">
        <v>63</v>
      </c>
      <c r="E8011" s="4">
        <v>33.0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ht="12.75" customHeight="1">
      <c r="A8012" s="4">
        <v>1088.0</v>
      </c>
      <c r="B8012" s="4">
        <v>8005.0</v>
      </c>
      <c r="C8012" s="5">
        <f>DATE(2012,12,31)-270</f>
        <v>41004</v>
      </c>
      <c r="D8012" s="4" t="s">
        <v>78</v>
      </c>
      <c r="E8012" s="4">
        <v>24.0</v>
      </c>
      <c r="F8012" s="4">
        <v>790.63</v>
      </c>
      <c r="G8012" s="4">
        <v>0.1</v>
      </c>
      <c r="H8012" s="4" t="s">
        <v>22</v>
      </c>
      <c r="I8012" s="6">
        <v>52.3175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ht="12.75" customHeight="1">
      <c r="A8013" s="4">
        <v>1115.0</v>
      </c>
      <c r="B8013" s="4">
        <v>8165.0</v>
      </c>
      <c r="C8013" s="5">
        <f>DATE(2012,12,31)-1173</f>
        <v>40101</v>
      </c>
      <c r="D8013" s="4" t="s">
        <v>21</v>
      </c>
      <c r="E8013" s="4">
        <v>35.0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ht="12.75" customHeight="1">
      <c r="A8014" s="4">
        <v>1213.0</v>
      </c>
      <c r="B8014" s="4">
        <v>8902.0</v>
      </c>
      <c r="C8014" s="5">
        <f>DATE(2012,12,31)-561</f>
        <v>40713</v>
      </c>
      <c r="D8014" s="4" t="s">
        <v>30</v>
      </c>
      <c r="E8014" s="4">
        <v>27.0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ht="12.75" customHeight="1">
      <c r="A8015" s="4">
        <v>1262.0</v>
      </c>
      <c r="B8015" s="4">
        <v>9187.0</v>
      </c>
      <c r="C8015" s="5">
        <f t="shared" ref="C8015:C8016" si="3396">DATE(2012,12,31)-1228</f>
        <v>40046</v>
      </c>
      <c r="D8015" s="4" t="s">
        <v>30</v>
      </c>
      <c r="E8015" s="4">
        <v>40.0</v>
      </c>
      <c r="F8015" s="4">
        <v>174.64</v>
      </c>
      <c r="G8015" s="4">
        <v>0.04</v>
      </c>
      <c r="H8015" s="4" t="s">
        <v>22</v>
      </c>
      <c r="I8015" s="6">
        <v>-143.23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ht="12.75" customHeight="1">
      <c r="A8016" s="4">
        <v>1263.0</v>
      </c>
      <c r="B8016" s="4">
        <v>9187.0</v>
      </c>
      <c r="C8016" s="5">
        <f t="shared" si="3396"/>
        <v>40046</v>
      </c>
      <c r="D8016" s="4" t="s">
        <v>30</v>
      </c>
      <c r="E8016" s="4">
        <v>8.0</v>
      </c>
      <c r="F8016" s="4">
        <v>994.2280000000001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0.58</v>
      </c>
      <c r="U8016" s="5">
        <f>C8016+2</f>
        <v>40048</v>
      </c>
    </row>
    <row r="8017" ht="12.75" customHeight="1">
      <c r="A8017" s="4">
        <v>1265.0</v>
      </c>
      <c r="B8017" s="4">
        <v>9219.0</v>
      </c>
      <c r="C8017" s="5">
        <f t="shared" ref="C8017:C8018" si="3397">DATE(2012,12,31)-1190</f>
        <v>40084</v>
      </c>
      <c r="D8017" s="4" t="s">
        <v>21</v>
      </c>
      <c r="E8017" s="4">
        <v>24.0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ht="12.75" customHeight="1">
      <c r="A8018" s="4">
        <v>1266.0</v>
      </c>
      <c r="B8018" s="4">
        <v>9219.0</v>
      </c>
      <c r="C8018" s="5">
        <f t="shared" si="3397"/>
        <v>40084</v>
      </c>
      <c r="D8018" s="4" t="s">
        <v>21</v>
      </c>
      <c r="E8018" s="4">
        <v>41.0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ht="12.75" customHeight="1">
      <c r="A8019" s="4">
        <v>1306.0</v>
      </c>
      <c r="B8019" s="4">
        <v>9573.0</v>
      </c>
      <c r="C8019" s="5">
        <f>DATE(2012,12,31)-201</f>
        <v>41073</v>
      </c>
      <c r="D8019" s="4" t="s">
        <v>63</v>
      </c>
      <c r="E8019" s="4">
        <v>21.0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8">C8019+1</f>
        <v>41074</v>
      </c>
    </row>
    <row r="8020" ht="12.75" customHeight="1">
      <c r="A8020" s="4">
        <v>1336.0</v>
      </c>
      <c r="B8020" s="4">
        <v>9762.0</v>
      </c>
      <c r="C8020" s="5">
        <f>DATE(2012,12,31)-1458</f>
        <v>39816</v>
      </c>
      <c r="D8020" s="4" t="s">
        <v>30</v>
      </c>
      <c r="E8020" s="4">
        <v>12.0</v>
      </c>
      <c r="F8020" s="4">
        <v>262.76</v>
      </c>
      <c r="G8020" s="4">
        <v>0.05</v>
      </c>
      <c r="H8020" s="4" t="s">
        <v>22</v>
      </c>
      <c r="I8020" s="6">
        <v>-146.05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8"/>
        <v>39817</v>
      </c>
    </row>
    <row r="8021" ht="12.75" customHeight="1">
      <c r="A8021" s="4">
        <v>1484.0</v>
      </c>
      <c r="B8021" s="4">
        <v>10663.0</v>
      </c>
      <c r="C8021" s="5">
        <f>DATE(2012,12,31)-1318</f>
        <v>39956</v>
      </c>
      <c r="D8021" s="4" t="s">
        <v>30</v>
      </c>
      <c r="E8021" s="4">
        <v>40.0</v>
      </c>
      <c r="F8021" s="4">
        <v>104.39</v>
      </c>
      <c r="G8021" s="4">
        <v>0.07</v>
      </c>
      <c r="H8021" s="4" t="s">
        <v>22</v>
      </c>
      <c r="I8021" s="6">
        <v>38.45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ht="12.75" customHeight="1">
      <c r="A8022" s="4">
        <v>1510.0</v>
      </c>
      <c r="B8022" s="4">
        <v>10917.0</v>
      </c>
      <c r="C8022" s="5">
        <f>DATE(2012,12,31)-325</f>
        <v>40949</v>
      </c>
      <c r="D8022" s="4" t="s">
        <v>78</v>
      </c>
      <c r="E8022" s="4">
        <v>14.0</v>
      </c>
      <c r="F8022" s="4">
        <v>1281.358</v>
      </c>
      <c r="G8022" s="4">
        <v>0.09</v>
      </c>
      <c r="H8022" s="4" t="s">
        <v>56</v>
      </c>
      <c r="I8022" s="6">
        <v>-90.123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0.57</v>
      </c>
      <c r="U8022" s="5">
        <f>C8022+2</f>
        <v>40951</v>
      </c>
    </row>
    <row r="8023" ht="12.75" customHeight="1">
      <c r="A8023" s="4">
        <v>1602.0</v>
      </c>
      <c r="B8023" s="4">
        <v>11648.0</v>
      </c>
      <c r="C8023" s="5">
        <f t="shared" ref="C8023:C8024" si="3399">DATE(2012,12,31)-632</f>
        <v>40642</v>
      </c>
      <c r="D8023" s="4" t="s">
        <v>21</v>
      </c>
      <c r="E8023" s="4">
        <v>1.0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35.41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ht="12.75" customHeight="1">
      <c r="A8024" s="4">
        <v>1603.0</v>
      </c>
      <c r="B8024" s="4">
        <v>11648.0</v>
      </c>
      <c r="C8024" s="5">
        <f t="shared" si="3399"/>
        <v>40642</v>
      </c>
      <c r="D8024" s="4" t="s">
        <v>21</v>
      </c>
      <c r="E8024" s="4">
        <v>33.0</v>
      </c>
      <c r="F8024" s="4">
        <v>570.51</v>
      </c>
      <c r="G8024" s="4">
        <v>0.0</v>
      </c>
      <c r="H8024" s="4" t="s">
        <v>22</v>
      </c>
      <c r="I8024" s="6">
        <v>-142.75</v>
      </c>
      <c r="J8024" s="4">
        <v>16.74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ht="12.75" customHeight="1">
      <c r="A8025" s="4">
        <v>1663.0</v>
      </c>
      <c r="B8025" s="4">
        <v>11972.0</v>
      </c>
      <c r="C8025" s="5">
        <f>DATE(2012,12,31)-1458</f>
        <v>39816</v>
      </c>
      <c r="D8025" s="4" t="s">
        <v>45</v>
      </c>
      <c r="E8025" s="4">
        <v>4.0</v>
      </c>
      <c r="F8025" s="4">
        <v>896.49</v>
      </c>
      <c r="G8025" s="4">
        <v>0.0</v>
      </c>
      <c r="H8025" s="4" t="s">
        <v>31</v>
      </c>
      <c r="I8025" s="6">
        <v>-452.2695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ht="12.75" customHeight="1">
      <c r="A8026" s="4">
        <v>1763.0</v>
      </c>
      <c r="B8026" s="4">
        <v>12641.0</v>
      </c>
      <c r="C8026" s="5">
        <f t="shared" ref="C8026:C8028" si="3400">DATE(2012,12,31)-678</f>
        <v>40596</v>
      </c>
      <c r="D8026" s="4" t="s">
        <v>21</v>
      </c>
      <c r="E8026" s="4">
        <v>2.0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ht="12.75" customHeight="1">
      <c r="A8027" s="4">
        <v>1764.0</v>
      </c>
      <c r="B8027" s="4">
        <v>12641.0</v>
      </c>
      <c r="C8027" s="5">
        <f t="shared" si="3400"/>
        <v>40596</v>
      </c>
      <c r="D8027" s="4" t="s">
        <v>21</v>
      </c>
      <c r="E8027" s="4">
        <v>25.0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1">C8027+4</f>
        <v>40600</v>
      </c>
    </row>
    <row r="8028" ht="12.75" customHeight="1">
      <c r="A8028" s="4">
        <v>1765.0</v>
      </c>
      <c r="B8028" s="4">
        <v>12641.0</v>
      </c>
      <c r="C8028" s="5">
        <f t="shared" si="3400"/>
        <v>40596</v>
      </c>
      <c r="D8028" s="4" t="s">
        <v>21</v>
      </c>
      <c r="E8028" s="4">
        <v>24.0</v>
      </c>
      <c r="F8028" s="4">
        <v>3668.6</v>
      </c>
      <c r="G8028" s="4">
        <v>0.07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1"/>
        <v>40600</v>
      </c>
    </row>
    <row r="8029" ht="12.75" customHeight="1">
      <c r="A8029" s="4">
        <v>1960.0</v>
      </c>
      <c r="B8029" s="4">
        <v>14018.0</v>
      </c>
      <c r="C8029" s="5">
        <f>DATE(2012,12,31)-939</f>
        <v>40335</v>
      </c>
      <c r="D8029" s="4" t="s">
        <v>30</v>
      </c>
      <c r="E8029" s="4">
        <v>30.0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ht="12.75" customHeight="1">
      <c r="A8030" s="4">
        <v>2086.0</v>
      </c>
      <c r="B8030" s="4">
        <v>14916.0</v>
      </c>
      <c r="C8030" s="5">
        <f>DATE(2012,12,31)-1403</f>
        <v>39871</v>
      </c>
      <c r="D8030" s="4" t="s">
        <v>21</v>
      </c>
      <c r="E8030" s="4">
        <v>16.0</v>
      </c>
      <c r="F8030" s="4">
        <v>1685.941</v>
      </c>
      <c r="G8030" s="4">
        <v>0.07</v>
      </c>
      <c r="H8030" s="4" t="s">
        <v>56</v>
      </c>
      <c r="I8030" s="6">
        <v>21.024</v>
      </c>
      <c r="J8030" s="4">
        <v>125.99</v>
      </c>
      <c r="K8030" s="4">
        <v>8.8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2">C8030+2</f>
        <v>39873</v>
      </c>
    </row>
    <row r="8031" ht="12.75" customHeight="1">
      <c r="A8031" s="4">
        <v>2142.0</v>
      </c>
      <c r="B8031" s="4">
        <v>15300.0</v>
      </c>
      <c r="C8031" s="5">
        <f>DATE(2012,12,31)-692</f>
        <v>40582</v>
      </c>
      <c r="D8031" s="4" t="s">
        <v>30</v>
      </c>
      <c r="E8031" s="4">
        <v>42.0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2"/>
        <v>40584</v>
      </c>
    </row>
    <row r="8032" ht="12.75" customHeight="1">
      <c r="A8032" s="4">
        <v>2154.0</v>
      </c>
      <c r="B8032" s="4">
        <v>15425.0</v>
      </c>
      <c r="C8032" s="5">
        <f>DATE(2012,12,31)-525</f>
        <v>40749</v>
      </c>
      <c r="D8032" s="4" t="s">
        <v>21</v>
      </c>
      <c r="E8032" s="4">
        <v>29.0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19.99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ht="12.75" customHeight="1">
      <c r="A8033" s="4">
        <v>2277.0</v>
      </c>
      <c r="B8033" s="4">
        <v>16390.0</v>
      </c>
      <c r="C8033" s="5">
        <f>DATE(2012,12,31)-282</f>
        <v>40992</v>
      </c>
      <c r="D8033" s="4" t="s">
        <v>63</v>
      </c>
      <c r="E8033" s="4">
        <v>8.0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0.57</v>
      </c>
      <c r="U8033" s="5">
        <f t="shared" ref="U8033:U8035" si="3403">C8033+2</f>
        <v>40994</v>
      </c>
    </row>
    <row r="8034" ht="12.75" customHeight="1">
      <c r="A8034" s="4">
        <v>2333.0</v>
      </c>
      <c r="B8034" s="4">
        <v>16805.0</v>
      </c>
      <c r="C8034" s="5">
        <f t="shared" ref="C8034:C8035" si="3404">DATE(2012,12,31)-367</f>
        <v>40907</v>
      </c>
      <c r="D8034" s="4" t="s">
        <v>21</v>
      </c>
      <c r="E8034" s="4">
        <v>29.0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3"/>
        <v>40909</v>
      </c>
    </row>
    <row r="8035" ht="12.75" customHeight="1">
      <c r="A8035" s="4">
        <v>2334.0</v>
      </c>
      <c r="B8035" s="4">
        <v>16805.0</v>
      </c>
      <c r="C8035" s="5">
        <f t="shared" si="3404"/>
        <v>40907</v>
      </c>
      <c r="D8035" s="4" t="s">
        <v>21</v>
      </c>
      <c r="E8035" s="4">
        <v>26.0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3"/>
        <v>40909</v>
      </c>
    </row>
    <row r="8036" ht="12.75" customHeight="1">
      <c r="A8036" s="4">
        <v>2368.0</v>
      </c>
      <c r="B8036" s="4">
        <v>17155.0</v>
      </c>
      <c r="C8036" s="5">
        <f t="shared" ref="C8036:C8037" si="3405">DATE(2012,12,31)-1433</f>
        <v>39841</v>
      </c>
      <c r="D8036" s="4" t="s">
        <v>63</v>
      </c>
      <c r="E8036" s="4">
        <v>36.0</v>
      </c>
      <c r="F8036" s="4">
        <v>267.53</v>
      </c>
      <c r="G8036" s="4">
        <v>0.0</v>
      </c>
      <c r="H8036" s="4" t="s">
        <v>56</v>
      </c>
      <c r="I8036" s="6">
        <v>85.17</v>
      </c>
      <c r="J8036" s="4">
        <v>6.88</v>
      </c>
      <c r="K8036" s="4">
        <v>2.0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ht="12.75" customHeight="1">
      <c r="A8037" s="4">
        <v>2369.0</v>
      </c>
      <c r="B8037" s="4">
        <v>17155.0</v>
      </c>
      <c r="C8037" s="5">
        <f t="shared" si="3405"/>
        <v>39841</v>
      </c>
      <c r="D8037" s="4" t="s">
        <v>63</v>
      </c>
      <c r="E8037" s="4">
        <v>31.0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32.48</v>
      </c>
      <c r="K8037" s="4">
        <v>35.0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ht="12.75" customHeight="1">
      <c r="A8038" s="4">
        <v>2554.0</v>
      </c>
      <c r="B8038" s="4">
        <v>18496.0</v>
      </c>
      <c r="C8038" s="5">
        <f t="shared" ref="C8038:C8039" si="3406">DATE(2012,12,31)-1326</f>
        <v>39948</v>
      </c>
      <c r="D8038" s="4" t="s">
        <v>30</v>
      </c>
      <c r="E8038" s="4">
        <v>30.0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ht="12.75" customHeight="1">
      <c r="A8039" s="4">
        <v>2555.0</v>
      </c>
      <c r="B8039" s="4">
        <v>18496.0</v>
      </c>
      <c r="C8039" s="5">
        <f t="shared" si="3406"/>
        <v>39948</v>
      </c>
      <c r="D8039" s="4" t="s">
        <v>30</v>
      </c>
      <c r="E8039" s="4">
        <v>29.0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19.99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ht="12.75" customHeight="1">
      <c r="A8040" s="4">
        <v>2586.0</v>
      </c>
      <c r="B8040" s="4">
        <v>18688.0</v>
      </c>
      <c r="C8040" s="5">
        <f t="shared" ref="C8040:C8042" si="3407">DATE(2012,12,31)-667</f>
        <v>40607</v>
      </c>
      <c r="D8040" s="4" t="s">
        <v>45</v>
      </c>
      <c r="E8040" s="4">
        <v>49.0</v>
      </c>
      <c r="F8040" s="4">
        <v>14346.73</v>
      </c>
      <c r="G8040" s="4">
        <v>0.04</v>
      </c>
      <c r="H8040" s="4" t="s">
        <v>22</v>
      </c>
      <c r="I8040" s="6">
        <v>5762.523999999999</v>
      </c>
      <c r="J8040" s="4">
        <v>304.99</v>
      </c>
      <c r="K8040" s="4">
        <v>19.99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8">C8040+2</f>
        <v>40609</v>
      </c>
    </row>
    <row r="8041" ht="12.75" customHeight="1">
      <c r="A8041" s="4">
        <v>2587.0</v>
      </c>
      <c r="B8041" s="4">
        <v>18688.0</v>
      </c>
      <c r="C8041" s="5">
        <f t="shared" si="3407"/>
        <v>40607</v>
      </c>
      <c r="D8041" s="4" t="s">
        <v>45</v>
      </c>
      <c r="E8041" s="4">
        <v>15.0</v>
      </c>
      <c r="F8041" s="4">
        <v>40.34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8"/>
        <v>40609</v>
      </c>
    </row>
    <row r="8042" ht="12.75" customHeight="1">
      <c r="A8042" s="4">
        <v>2588.0</v>
      </c>
      <c r="B8042" s="4">
        <v>18688.0</v>
      </c>
      <c r="C8042" s="5">
        <f t="shared" si="3407"/>
        <v>40607</v>
      </c>
      <c r="D8042" s="4" t="s">
        <v>45</v>
      </c>
      <c r="E8042" s="4">
        <v>41.0</v>
      </c>
      <c r="F8042" s="4">
        <v>3951.6755</v>
      </c>
      <c r="G8042" s="4">
        <v>0.1</v>
      </c>
      <c r="H8042" s="4" t="s">
        <v>22</v>
      </c>
      <c r="I8042" s="6">
        <v>812.241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0.57</v>
      </c>
      <c r="U8042" s="5">
        <f t="shared" ref="U8042:U8044" si="3409">C8042+1</f>
        <v>40608</v>
      </c>
    </row>
    <row r="8043" ht="12.75" customHeight="1">
      <c r="A8043" s="4">
        <v>2645.0</v>
      </c>
      <c r="B8043" s="4">
        <v>19140.0</v>
      </c>
      <c r="C8043" s="5">
        <f t="shared" ref="C8043:C8044" si="3410">DATE(2012,12,31)-1188</f>
        <v>40086</v>
      </c>
      <c r="D8043" s="4" t="s">
        <v>63</v>
      </c>
      <c r="E8043" s="4">
        <v>47.0</v>
      </c>
      <c r="F8043" s="4">
        <v>314.0</v>
      </c>
      <c r="G8043" s="4">
        <v>0.07</v>
      </c>
      <c r="H8043" s="4" t="s">
        <v>22</v>
      </c>
      <c r="I8043" s="6">
        <v>-66.0445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9"/>
        <v>40087</v>
      </c>
    </row>
    <row r="8044" ht="12.75" customHeight="1">
      <c r="A8044" s="4">
        <v>2646.0</v>
      </c>
      <c r="B8044" s="4">
        <v>19140.0</v>
      </c>
      <c r="C8044" s="5">
        <f t="shared" si="3410"/>
        <v>40086</v>
      </c>
      <c r="D8044" s="4" t="s">
        <v>63</v>
      </c>
      <c r="E8044" s="4">
        <v>50.0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9"/>
        <v>40087</v>
      </c>
    </row>
    <row r="8045" ht="12.75" customHeight="1">
      <c r="A8045" s="4">
        <v>2652.0</v>
      </c>
      <c r="B8045" s="4">
        <v>19175.0</v>
      </c>
      <c r="C8045" s="5">
        <f>DATE(2012,12,31)-1230</f>
        <v>40044</v>
      </c>
      <c r="D8045" s="4" t="s">
        <v>21</v>
      </c>
      <c r="E8045" s="4">
        <v>19.0</v>
      </c>
      <c r="F8045" s="4">
        <v>1133.4495</v>
      </c>
      <c r="G8045" s="4">
        <v>0.01</v>
      </c>
      <c r="H8045" s="4" t="s">
        <v>22</v>
      </c>
      <c r="I8045" s="6">
        <v>169.16400000000002</v>
      </c>
      <c r="J8045" s="4">
        <v>65.99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0.57</v>
      </c>
      <c r="U8045" s="5">
        <f>C8045+7</f>
        <v>40051</v>
      </c>
    </row>
    <row r="8046" ht="12.75" customHeight="1">
      <c r="A8046" s="4">
        <v>2688.0</v>
      </c>
      <c r="B8046" s="4">
        <v>19457.0</v>
      </c>
      <c r="C8046" s="5">
        <f t="shared" ref="C8046:C8047" si="3411">DATE(2012,12,31)-1268</f>
        <v>40006</v>
      </c>
      <c r="D8046" s="4" t="s">
        <v>30</v>
      </c>
      <c r="E8046" s="4">
        <v>34.0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ht="12.75" customHeight="1">
      <c r="A8047" s="4">
        <v>2689.0</v>
      </c>
      <c r="B8047" s="4">
        <v>19457.0</v>
      </c>
      <c r="C8047" s="5">
        <f t="shared" si="3411"/>
        <v>40006</v>
      </c>
      <c r="D8047" s="4" t="s">
        <v>30</v>
      </c>
      <c r="E8047" s="4">
        <v>33.0</v>
      </c>
      <c r="F8047" s="4">
        <v>5638.798</v>
      </c>
      <c r="G8047" s="4">
        <v>0.09</v>
      </c>
      <c r="H8047" s="4" t="s">
        <v>56</v>
      </c>
      <c r="I8047" s="6">
        <v>1406.052</v>
      </c>
      <c r="J8047" s="4">
        <v>205.99</v>
      </c>
      <c r="K8047" s="4">
        <v>3.0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0.58</v>
      </c>
      <c r="U8047" s="5">
        <f>C8047+2</f>
        <v>40008</v>
      </c>
    </row>
    <row r="8048" ht="12.75" customHeight="1">
      <c r="A8048" s="4">
        <v>2734.0</v>
      </c>
      <c r="B8048" s="4">
        <v>19745.0</v>
      </c>
      <c r="C8048" s="5">
        <f t="shared" ref="C8048:C8051" si="3412">DATE(2012,12,31)-13</f>
        <v>41261</v>
      </c>
      <c r="D8048" s="4" t="s">
        <v>30</v>
      </c>
      <c r="E8048" s="4">
        <v>25.0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3">C8048+1</f>
        <v>41262</v>
      </c>
    </row>
    <row r="8049" ht="12.75" customHeight="1">
      <c r="A8049" s="4">
        <v>2735.0</v>
      </c>
      <c r="B8049" s="4">
        <v>19745.0</v>
      </c>
      <c r="C8049" s="5">
        <f t="shared" si="3412"/>
        <v>41261</v>
      </c>
      <c r="D8049" s="4" t="s">
        <v>30</v>
      </c>
      <c r="E8049" s="4">
        <v>29.0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3"/>
        <v>41262</v>
      </c>
    </row>
    <row r="8050" ht="12.75" customHeight="1">
      <c r="A8050" s="4">
        <v>2736.0</v>
      </c>
      <c r="B8050" s="4">
        <v>19745.0</v>
      </c>
      <c r="C8050" s="5">
        <f t="shared" si="3412"/>
        <v>41261</v>
      </c>
      <c r="D8050" s="4" t="s">
        <v>30</v>
      </c>
      <c r="E8050" s="4">
        <v>2.0</v>
      </c>
      <c r="F8050" s="4">
        <v>63.96</v>
      </c>
      <c r="G8050" s="4">
        <v>0.0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ht="12.75" customHeight="1">
      <c r="A8051" s="4">
        <v>2737.0</v>
      </c>
      <c r="B8051" s="4">
        <v>19745.0</v>
      </c>
      <c r="C8051" s="5">
        <f t="shared" si="3412"/>
        <v>41261</v>
      </c>
      <c r="D8051" s="4" t="s">
        <v>30</v>
      </c>
      <c r="E8051" s="4">
        <v>50.0</v>
      </c>
      <c r="F8051" s="4">
        <v>833.0</v>
      </c>
      <c r="G8051" s="4">
        <v>0.0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ht="12.75" customHeight="1">
      <c r="A8052" s="4">
        <v>2878.0</v>
      </c>
      <c r="B8052" s="4">
        <v>20741.0</v>
      </c>
      <c r="C8052" s="5">
        <f>DATE(2012,12,31)-793</f>
        <v>40481</v>
      </c>
      <c r="D8052" s="4" t="s">
        <v>21</v>
      </c>
      <c r="E8052" s="4">
        <v>43.0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0.58</v>
      </c>
      <c r="U8052" s="5">
        <f>C8052+7</f>
        <v>40488</v>
      </c>
    </row>
    <row r="8053" ht="12.75" customHeight="1">
      <c r="A8053" s="4">
        <v>3321.0</v>
      </c>
      <c r="B8053" s="4">
        <v>23746.0</v>
      </c>
      <c r="C8053" s="5">
        <f>DATE(2012,12,31)-747</f>
        <v>40527</v>
      </c>
      <c r="D8053" s="4" t="s">
        <v>30</v>
      </c>
      <c r="E8053" s="4">
        <v>10.0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ht="12.75" customHeight="1">
      <c r="A8054" s="4">
        <v>3469.0</v>
      </c>
      <c r="B8054" s="4">
        <v>24705.0</v>
      </c>
      <c r="C8054" s="5">
        <f t="shared" ref="C8054:C8055" si="3414">DATE(2012,12,31)-473</f>
        <v>40801</v>
      </c>
      <c r="D8054" s="4" t="s">
        <v>78</v>
      </c>
      <c r="E8054" s="4">
        <v>34.0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5">C8054+2</f>
        <v>40803</v>
      </c>
    </row>
    <row r="8055" ht="12.75" customHeight="1">
      <c r="A8055" s="4">
        <v>3470.0</v>
      </c>
      <c r="B8055" s="4">
        <v>24705.0</v>
      </c>
      <c r="C8055" s="5">
        <f t="shared" si="3414"/>
        <v>40801</v>
      </c>
      <c r="D8055" s="4" t="s">
        <v>78</v>
      </c>
      <c r="E8055" s="4">
        <v>15.0</v>
      </c>
      <c r="F8055" s="4">
        <v>466.28</v>
      </c>
      <c r="G8055" s="4">
        <v>0.0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5"/>
        <v>40803</v>
      </c>
    </row>
    <row r="8056" ht="12.75" customHeight="1">
      <c r="A8056" s="4">
        <v>3512.0</v>
      </c>
      <c r="B8056" s="4">
        <v>25028.0</v>
      </c>
      <c r="C8056" s="5">
        <f t="shared" ref="C8056:C8057" si="3416">DATE(2012,12,31)-726</f>
        <v>40548</v>
      </c>
      <c r="D8056" s="4" t="s">
        <v>78</v>
      </c>
      <c r="E8056" s="4">
        <v>5.0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ht="12.75" customHeight="1">
      <c r="A8057" s="4">
        <v>3513.0</v>
      </c>
      <c r="B8057" s="4">
        <v>25028.0</v>
      </c>
      <c r="C8057" s="5">
        <f t="shared" si="3416"/>
        <v>40548</v>
      </c>
      <c r="D8057" s="4" t="s">
        <v>78</v>
      </c>
      <c r="E8057" s="4">
        <v>14.0</v>
      </c>
      <c r="F8057" s="4">
        <v>552.08</v>
      </c>
      <c r="G8057" s="4">
        <v>0.0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ht="12.75" customHeight="1">
      <c r="A8058" s="4">
        <v>3522.0</v>
      </c>
      <c r="B8058" s="4">
        <v>25063.0</v>
      </c>
      <c r="C8058" s="5">
        <f>DATE(2012,12,31)-1281</f>
        <v>39993</v>
      </c>
      <c r="D8058" s="4" t="s">
        <v>45</v>
      </c>
      <c r="E8058" s="4">
        <v>24.0</v>
      </c>
      <c r="F8058" s="4">
        <v>711.875</v>
      </c>
      <c r="G8058" s="4">
        <v>0.04</v>
      </c>
      <c r="H8058" s="4" t="s">
        <v>22</v>
      </c>
      <c r="I8058" s="6">
        <v>217.332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ht="12.75" customHeight="1">
      <c r="A8059" s="4">
        <v>3562.0</v>
      </c>
      <c r="B8059" s="4">
        <v>25412.0</v>
      </c>
      <c r="C8059" s="5">
        <f>DATE(2012,12,31)-574</f>
        <v>40700</v>
      </c>
      <c r="D8059" s="4" t="s">
        <v>45</v>
      </c>
      <c r="E8059" s="4">
        <v>18.0</v>
      </c>
      <c r="F8059" s="4">
        <v>129.77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ht="12.75" customHeight="1">
      <c r="A8060" s="4">
        <v>3723.0</v>
      </c>
      <c r="B8060" s="4">
        <v>26627.0</v>
      </c>
      <c r="C8060" s="5">
        <f>DATE(2012,12,31)-1158</f>
        <v>40116</v>
      </c>
      <c r="D8060" s="4" t="s">
        <v>63</v>
      </c>
      <c r="E8060" s="4">
        <v>25.0</v>
      </c>
      <c r="F8060" s="4">
        <v>38.37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ht="12.75" customHeight="1">
      <c r="A8061" s="4">
        <v>3773.0</v>
      </c>
      <c r="B8061" s="4">
        <v>26947.0</v>
      </c>
      <c r="C8061" s="5">
        <f>DATE(2012,12,31)-941</f>
        <v>40333</v>
      </c>
      <c r="D8061" s="4" t="s">
        <v>30</v>
      </c>
      <c r="E8061" s="4">
        <v>4.0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60.0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ht="12.75" customHeight="1">
      <c r="A8062" s="4">
        <v>3810.0</v>
      </c>
      <c r="B8062" s="4">
        <v>27138.0</v>
      </c>
      <c r="C8062" s="5">
        <f t="shared" ref="C8062:C8063" si="3417">DATE(2012,12,31)-215</f>
        <v>41059</v>
      </c>
      <c r="D8062" s="4" t="s">
        <v>30</v>
      </c>
      <c r="E8062" s="4">
        <v>31.0</v>
      </c>
      <c r="F8062" s="4">
        <v>2976.21</v>
      </c>
      <c r="G8062" s="4">
        <v>0.07</v>
      </c>
      <c r="H8062" s="4" t="s">
        <v>31</v>
      </c>
      <c r="I8062" s="6">
        <v>-277.63</v>
      </c>
      <c r="J8062" s="4">
        <v>100.98</v>
      </c>
      <c r="K8062" s="4">
        <v>35.84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8">C8062+2</f>
        <v>41061</v>
      </c>
    </row>
    <row r="8063" ht="12.75" customHeight="1">
      <c r="A8063" s="4">
        <v>3811.0</v>
      </c>
      <c r="B8063" s="4">
        <v>27138.0</v>
      </c>
      <c r="C8063" s="5">
        <f t="shared" si="3417"/>
        <v>41059</v>
      </c>
      <c r="D8063" s="4" t="s">
        <v>30</v>
      </c>
      <c r="E8063" s="4">
        <v>37.0</v>
      </c>
      <c r="F8063" s="4">
        <v>1894.1654999999998</v>
      </c>
      <c r="G8063" s="4">
        <v>0.1</v>
      </c>
      <c r="H8063" s="4" t="s">
        <v>22</v>
      </c>
      <c r="I8063" s="6">
        <v>134.73</v>
      </c>
      <c r="J8063" s="4">
        <v>65.99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0.58</v>
      </c>
      <c r="U8063" s="5">
        <f t="shared" si="3418"/>
        <v>41061</v>
      </c>
    </row>
    <row r="8064" ht="12.75" customHeight="1">
      <c r="A8064" s="4">
        <v>3919.0</v>
      </c>
      <c r="B8064" s="4">
        <v>27939.0</v>
      </c>
      <c r="C8064" s="5">
        <f>DATE(2012,12,31)-265</f>
        <v>41009</v>
      </c>
      <c r="D8064" s="4" t="s">
        <v>63</v>
      </c>
      <c r="E8064" s="4">
        <v>8.0</v>
      </c>
      <c r="F8064" s="4">
        <v>60.17</v>
      </c>
      <c r="G8064" s="4">
        <v>0.0</v>
      </c>
      <c r="H8064" s="4" t="s">
        <v>22</v>
      </c>
      <c r="I8064" s="6">
        <v>-18.24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8"/>
        <v>41011</v>
      </c>
    </row>
    <row r="8065" ht="12.75" customHeight="1">
      <c r="A8065" s="4">
        <v>3999.0</v>
      </c>
      <c r="B8065" s="4">
        <v>28544.0</v>
      </c>
      <c r="C8065" s="5">
        <f>DATE(2012,12,31)-125</f>
        <v>41149</v>
      </c>
      <c r="D8065" s="4" t="s">
        <v>78</v>
      </c>
      <c r="E8065" s="4">
        <v>24.0</v>
      </c>
      <c r="F8065" s="4">
        <v>68.5</v>
      </c>
      <c r="G8065" s="4">
        <v>0.07</v>
      </c>
      <c r="H8065" s="4" t="s">
        <v>22</v>
      </c>
      <c r="I8065" s="6">
        <v>2.686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9">C8065+1</f>
        <v>41150</v>
      </c>
    </row>
    <row r="8066" ht="12.75" customHeight="1">
      <c r="A8066" s="4">
        <v>4262.0</v>
      </c>
      <c r="B8066" s="4">
        <v>30343.0</v>
      </c>
      <c r="C8066" s="5">
        <f t="shared" ref="C8066:C8067" si="3420">DATE(2012,12,31)-224</f>
        <v>41050</v>
      </c>
      <c r="D8066" s="4" t="s">
        <v>78</v>
      </c>
      <c r="E8066" s="4">
        <v>48.0</v>
      </c>
      <c r="F8066" s="4">
        <v>1556.42</v>
      </c>
      <c r="G8066" s="4">
        <v>0.0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9"/>
        <v>41051</v>
      </c>
    </row>
    <row r="8067" ht="12.75" customHeight="1">
      <c r="A8067" s="4">
        <v>4263.0</v>
      </c>
      <c r="B8067" s="4">
        <v>30343.0</v>
      </c>
      <c r="C8067" s="5">
        <f t="shared" si="3420"/>
        <v>41050</v>
      </c>
      <c r="D8067" s="4" t="s">
        <v>78</v>
      </c>
      <c r="E8067" s="4">
        <v>28.0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1">C8067+2</f>
        <v>41052</v>
      </c>
    </row>
    <row r="8068" ht="12.75" customHeight="1">
      <c r="A8068" s="4">
        <v>4272.0</v>
      </c>
      <c r="B8068" s="4">
        <v>30403.0</v>
      </c>
      <c r="C8068" s="5">
        <f t="shared" ref="C8068:C8069" si="3422">DATE(2012,12,31)-174</f>
        <v>41100</v>
      </c>
      <c r="D8068" s="4" t="s">
        <v>30</v>
      </c>
      <c r="E8068" s="4">
        <v>41.0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1"/>
        <v>41102</v>
      </c>
    </row>
    <row r="8069" ht="12.75" customHeight="1">
      <c r="A8069" s="4">
        <v>4273.0</v>
      </c>
      <c r="B8069" s="4">
        <v>30403.0</v>
      </c>
      <c r="C8069" s="5">
        <f t="shared" si="3422"/>
        <v>41100</v>
      </c>
      <c r="D8069" s="4" t="s">
        <v>30</v>
      </c>
      <c r="E8069" s="4">
        <v>24.0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</v>
      </c>
      <c r="K8069" s="4">
        <v>19.99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ht="12.75" customHeight="1">
      <c r="A8070" s="4">
        <v>4466.0</v>
      </c>
      <c r="B8070" s="4">
        <v>31844.0</v>
      </c>
      <c r="C8070" s="5">
        <f>DATE(2012,12,31)-548</f>
        <v>40726</v>
      </c>
      <c r="D8070" s="4" t="s">
        <v>45</v>
      </c>
      <c r="E8070" s="4">
        <v>14.0</v>
      </c>
      <c r="F8070" s="4">
        <v>2085.93</v>
      </c>
      <c r="G8070" s="4">
        <v>0.09</v>
      </c>
      <c r="H8070" s="4" t="s">
        <v>31</v>
      </c>
      <c r="I8070" s="6">
        <v>-517.73</v>
      </c>
      <c r="J8070" s="4">
        <v>150.98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ht="12.75" customHeight="1">
      <c r="A8071" s="4">
        <v>4558.0</v>
      </c>
      <c r="B8071" s="4">
        <v>32449.0</v>
      </c>
      <c r="C8071" s="5">
        <f t="shared" ref="C8071:C8073" si="3423">DATE(2012,12,31)-22</f>
        <v>41252</v>
      </c>
      <c r="D8071" s="4" t="s">
        <v>78</v>
      </c>
      <c r="E8071" s="4">
        <v>39.0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4">C8071+1</f>
        <v>41253</v>
      </c>
    </row>
    <row r="8072" ht="12.75" customHeight="1">
      <c r="A8072" s="4">
        <v>4559.0</v>
      </c>
      <c r="B8072" s="4">
        <v>32449.0</v>
      </c>
      <c r="C8072" s="5">
        <f t="shared" si="3423"/>
        <v>41252</v>
      </c>
      <c r="D8072" s="4" t="s">
        <v>78</v>
      </c>
      <c r="E8072" s="4">
        <v>12.0</v>
      </c>
      <c r="F8072" s="4">
        <v>4887.14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4"/>
        <v>41253</v>
      </c>
    </row>
    <row r="8073" ht="12.75" customHeight="1">
      <c r="A8073" s="4">
        <v>4560.0</v>
      </c>
      <c r="B8073" s="4">
        <v>32449.0</v>
      </c>
      <c r="C8073" s="5">
        <f t="shared" si="3423"/>
        <v>41252</v>
      </c>
      <c r="D8073" s="4" t="s">
        <v>78</v>
      </c>
      <c r="E8073" s="4">
        <v>44.0</v>
      </c>
      <c r="F8073" s="4">
        <v>7195.2585</v>
      </c>
      <c r="G8073" s="4">
        <v>0.09</v>
      </c>
      <c r="H8073" s="4" t="s">
        <v>56</v>
      </c>
      <c r="I8073" s="6">
        <v>1698.156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4"/>
        <v>41253</v>
      </c>
    </row>
    <row r="8074" ht="12.75" customHeight="1">
      <c r="A8074" s="4">
        <v>4600.0</v>
      </c>
      <c r="B8074" s="4">
        <v>32800.0</v>
      </c>
      <c r="C8074" s="5">
        <f t="shared" ref="C8074:C8076" si="3425">DATE(2012,12,31)-1440</f>
        <v>39834</v>
      </c>
      <c r="D8074" s="4" t="s">
        <v>45</v>
      </c>
      <c r="E8074" s="4">
        <v>33.0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4"/>
        <v>39835</v>
      </c>
    </row>
    <row r="8075" ht="12.75" customHeight="1">
      <c r="A8075" s="4">
        <v>4601.0</v>
      </c>
      <c r="B8075" s="4">
        <v>32800.0</v>
      </c>
      <c r="C8075" s="5">
        <f t="shared" si="3425"/>
        <v>39834</v>
      </c>
      <c r="D8075" s="4" t="s">
        <v>45</v>
      </c>
      <c r="E8075" s="4">
        <v>19.0</v>
      </c>
      <c r="F8075" s="4">
        <v>354.13</v>
      </c>
      <c r="G8075" s="4">
        <v>0.09</v>
      </c>
      <c r="H8075" s="4" t="s">
        <v>22</v>
      </c>
      <c r="I8075" s="6">
        <v>8.79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4"/>
        <v>39835</v>
      </c>
    </row>
    <row r="8076" ht="12.75" customHeight="1">
      <c r="A8076" s="4">
        <v>4602.0</v>
      </c>
      <c r="B8076" s="4">
        <v>32800.0</v>
      </c>
      <c r="C8076" s="5">
        <f t="shared" si="3425"/>
        <v>39834</v>
      </c>
      <c r="D8076" s="4" t="s">
        <v>45</v>
      </c>
      <c r="E8076" s="4">
        <v>40.0</v>
      </c>
      <c r="F8076" s="4">
        <v>751.94</v>
      </c>
      <c r="G8076" s="4">
        <v>0.07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ht="12.75" customHeight="1">
      <c r="A8077" s="4">
        <v>4759.0</v>
      </c>
      <c r="B8077" s="4">
        <v>33824.0</v>
      </c>
      <c r="C8077" s="5">
        <f>DATE(2012,12,31)-670</f>
        <v>40604</v>
      </c>
      <c r="D8077" s="4" t="s">
        <v>78</v>
      </c>
      <c r="E8077" s="4">
        <v>19.0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ht="12.75" customHeight="1">
      <c r="A8078" s="4">
        <v>4806.0</v>
      </c>
      <c r="B8078" s="4">
        <v>34179.0</v>
      </c>
      <c r="C8078" s="5">
        <f>DATE(2012,12,31)-425</f>
        <v>40849</v>
      </c>
      <c r="D8078" s="4" t="s">
        <v>45</v>
      </c>
      <c r="E8078" s="4">
        <v>21.0</v>
      </c>
      <c r="F8078" s="4">
        <v>293.27</v>
      </c>
      <c r="G8078" s="4">
        <v>0.07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ht="12.75" customHeight="1">
      <c r="A8079" s="4">
        <v>4819.0</v>
      </c>
      <c r="B8079" s="4">
        <v>34245.0</v>
      </c>
      <c r="C8079" s="5">
        <f>DATE(2012,12,31)-1058</f>
        <v>40216</v>
      </c>
      <c r="D8079" s="4" t="s">
        <v>63</v>
      </c>
      <c r="E8079" s="4">
        <v>42.0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ht="12.75" customHeight="1">
      <c r="A8080" s="4">
        <v>4926.0</v>
      </c>
      <c r="B8080" s="4">
        <v>35046.0</v>
      </c>
      <c r="C8080" s="5">
        <f t="shared" ref="C8080:C8082" si="3426">DATE(2012,12,31)-891</f>
        <v>40383</v>
      </c>
      <c r="D8080" s="4" t="s">
        <v>63</v>
      </c>
      <c r="E8080" s="4">
        <v>21.0</v>
      </c>
      <c r="F8080" s="4">
        <v>151.86</v>
      </c>
      <c r="G8080" s="4">
        <v>0.1</v>
      </c>
      <c r="H8080" s="4" t="s">
        <v>56</v>
      </c>
      <c r="I8080" s="6">
        <v>-54.671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ht="12.75" customHeight="1">
      <c r="A8081" s="4">
        <v>4927.0</v>
      </c>
      <c r="B8081" s="4">
        <v>35046.0</v>
      </c>
      <c r="C8081" s="5">
        <f t="shared" si="3426"/>
        <v>40383</v>
      </c>
      <c r="D8081" s="4" t="s">
        <v>63</v>
      </c>
      <c r="E8081" s="4">
        <v>13.0</v>
      </c>
      <c r="F8081" s="4">
        <v>3583.87</v>
      </c>
      <c r="G8081" s="4">
        <v>0.07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7">C8081+1</f>
        <v>40384</v>
      </c>
    </row>
    <row r="8082" ht="12.75" customHeight="1">
      <c r="A8082" s="4">
        <v>4928.0</v>
      </c>
      <c r="B8082" s="4">
        <v>35046.0</v>
      </c>
      <c r="C8082" s="5">
        <f t="shared" si="3426"/>
        <v>40383</v>
      </c>
      <c r="D8082" s="4" t="s">
        <v>63</v>
      </c>
      <c r="E8082" s="4">
        <v>45.0</v>
      </c>
      <c r="F8082" s="4">
        <v>4951.36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7"/>
        <v>40384</v>
      </c>
    </row>
    <row r="8083" ht="12.75" customHeight="1">
      <c r="A8083" s="4">
        <v>5004.0</v>
      </c>
      <c r="B8083" s="4">
        <v>35684.0</v>
      </c>
      <c r="C8083" s="5">
        <f>DATE(2012,12,31)-516</f>
        <v>40758</v>
      </c>
      <c r="D8083" s="4" t="s">
        <v>21</v>
      </c>
      <c r="E8083" s="4">
        <v>10.0</v>
      </c>
      <c r="F8083" s="4">
        <v>910.98</v>
      </c>
      <c r="G8083" s="4">
        <v>0.07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ht="12.75" customHeight="1">
      <c r="A8084" s="4">
        <v>5064.0</v>
      </c>
      <c r="B8084" s="4">
        <v>36101.0</v>
      </c>
      <c r="C8084" s="5">
        <f>DATE(2012,12,31)-133</f>
        <v>41141</v>
      </c>
      <c r="D8084" s="4" t="s">
        <v>30</v>
      </c>
      <c r="E8084" s="4">
        <v>3.0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140.98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ht="12.75" customHeight="1">
      <c r="A8085" s="4">
        <v>5107.0</v>
      </c>
      <c r="B8085" s="4">
        <v>36387.0</v>
      </c>
      <c r="C8085" s="5">
        <f>DATE(2012,12,31)-420</f>
        <v>40854</v>
      </c>
      <c r="D8085" s="4" t="s">
        <v>30</v>
      </c>
      <c r="E8085" s="4">
        <v>32.0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ht="12.75" customHeight="1">
      <c r="A8086" s="4">
        <v>5120.0</v>
      </c>
      <c r="B8086" s="4">
        <v>36455.0</v>
      </c>
      <c r="C8086" s="5">
        <f>DATE(2012,12,31)-1411</f>
        <v>39863</v>
      </c>
      <c r="D8086" s="4" t="s">
        <v>30</v>
      </c>
      <c r="E8086" s="4">
        <v>48.0</v>
      </c>
      <c r="F8086" s="4">
        <v>1838.19</v>
      </c>
      <c r="G8086" s="4">
        <v>0.03</v>
      </c>
      <c r="H8086" s="4" t="s">
        <v>22</v>
      </c>
      <c r="I8086" s="6">
        <v>561.43</v>
      </c>
      <c r="J8086" s="4">
        <v>39.48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ht="12.75" customHeight="1">
      <c r="A8087" s="4">
        <v>5143.0</v>
      </c>
      <c r="B8087" s="4">
        <v>36673.0</v>
      </c>
      <c r="C8087" s="5">
        <f>DATE(2012,12,31)-840</f>
        <v>40434</v>
      </c>
      <c r="D8087" s="4" t="s">
        <v>21</v>
      </c>
      <c r="E8087" s="4">
        <v>20.0</v>
      </c>
      <c r="F8087" s="4">
        <v>984.6315000000001</v>
      </c>
      <c r="G8087" s="4">
        <v>0.0</v>
      </c>
      <c r="H8087" s="4" t="s">
        <v>22</v>
      </c>
      <c r="I8087" s="6">
        <v>-129.14</v>
      </c>
      <c r="J8087" s="4">
        <v>55.99</v>
      </c>
      <c r="K8087" s="4">
        <v>5.0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ht="12.75" customHeight="1">
      <c r="A8088" s="4">
        <v>5149.0</v>
      </c>
      <c r="B8088" s="4">
        <v>36704.0</v>
      </c>
      <c r="C8088" s="5">
        <f t="shared" ref="C8088:C8089" si="3428">DATE(2012,12,31)-564</f>
        <v>40710</v>
      </c>
      <c r="D8088" s="4" t="s">
        <v>30</v>
      </c>
      <c r="E8088" s="4">
        <v>43.0</v>
      </c>
      <c r="F8088" s="4">
        <v>134.33</v>
      </c>
      <c r="G8088" s="4">
        <v>0.07</v>
      </c>
      <c r="H8088" s="4" t="s">
        <v>56</v>
      </c>
      <c r="I8088" s="6">
        <v>25.02</v>
      </c>
      <c r="J8088" s="4">
        <v>3.14</v>
      </c>
      <c r="K8088" s="4">
        <v>1.14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ht="12.75" customHeight="1">
      <c r="A8089" s="4">
        <v>5150.0</v>
      </c>
      <c r="B8089" s="4">
        <v>36704.0</v>
      </c>
      <c r="C8089" s="5">
        <f t="shared" si="3428"/>
        <v>40710</v>
      </c>
      <c r="D8089" s="4" t="s">
        <v>30</v>
      </c>
      <c r="E8089" s="4">
        <v>19.0</v>
      </c>
      <c r="F8089" s="4">
        <v>70.32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9">C8089+2</f>
        <v>40712</v>
      </c>
    </row>
    <row r="8090" ht="12.75" customHeight="1">
      <c r="A8090" s="4">
        <v>5226.0</v>
      </c>
      <c r="B8090" s="4">
        <v>37218.0</v>
      </c>
      <c r="C8090" s="5">
        <f t="shared" ref="C8090:C8091" si="3430">DATE(2012,12,31)-743</f>
        <v>40531</v>
      </c>
      <c r="D8090" s="4" t="s">
        <v>30</v>
      </c>
      <c r="E8090" s="4">
        <v>29.0</v>
      </c>
      <c r="F8090" s="4">
        <v>1768.13</v>
      </c>
      <c r="G8090" s="4">
        <v>0.0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</v>
      </c>
      <c r="U8090" s="5">
        <f t="shared" si="3429"/>
        <v>40533</v>
      </c>
    </row>
    <row r="8091" ht="12.75" customHeight="1">
      <c r="A8091" s="4">
        <v>5227.0</v>
      </c>
      <c r="B8091" s="4">
        <v>37218.0</v>
      </c>
      <c r="C8091" s="5">
        <f t="shared" si="3430"/>
        <v>40531</v>
      </c>
      <c r="D8091" s="4" t="s">
        <v>30</v>
      </c>
      <c r="E8091" s="4">
        <v>23.0</v>
      </c>
      <c r="F8091" s="4">
        <v>147.05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ht="12.75" customHeight="1">
      <c r="A8092" s="4">
        <v>5388.0</v>
      </c>
      <c r="B8092" s="4">
        <v>38311.0</v>
      </c>
      <c r="C8092" s="5">
        <f>DATE(2012,12,31)-618</f>
        <v>40656</v>
      </c>
      <c r="D8092" s="4" t="s">
        <v>63</v>
      </c>
      <c r="E8092" s="4">
        <v>9.0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19.99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1">C8092+2</f>
        <v>40658</v>
      </c>
    </row>
    <row r="8093" ht="12.75" customHeight="1">
      <c r="A8093" s="4">
        <v>5407.0</v>
      </c>
      <c r="B8093" s="4">
        <v>38438.0</v>
      </c>
      <c r="C8093" s="5">
        <f t="shared" ref="C8093:C8094" si="3432">DATE(2012,12,31)-580</f>
        <v>40694</v>
      </c>
      <c r="D8093" s="4" t="s">
        <v>78</v>
      </c>
      <c r="E8093" s="4">
        <v>16.0</v>
      </c>
      <c r="F8093" s="4">
        <v>621.93</v>
      </c>
      <c r="G8093" s="4">
        <v>0.08</v>
      </c>
      <c r="H8093" s="4" t="s">
        <v>22</v>
      </c>
      <c r="I8093" s="6">
        <v>-49.77</v>
      </c>
      <c r="J8093" s="4">
        <v>39.98</v>
      </c>
      <c r="K8093" s="4">
        <v>4.0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1"/>
        <v>40696</v>
      </c>
    </row>
    <row r="8094" ht="12.75" customHeight="1">
      <c r="A8094" s="4">
        <v>5408.0</v>
      </c>
      <c r="B8094" s="4">
        <v>38438.0</v>
      </c>
      <c r="C8094" s="5">
        <f t="shared" si="3432"/>
        <v>40694</v>
      </c>
      <c r="D8094" s="4" t="s">
        <v>78</v>
      </c>
      <c r="E8094" s="4">
        <v>17.0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ht="12.75" customHeight="1">
      <c r="A8095" s="4">
        <v>5550.0</v>
      </c>
      <c r="B8095" s="4">
        <v>39301.0</v>
      </c>
      <c r="C8095" s="5">
        <f>DATE(2012,12,31)-1380</f>
        <v>39894</v>
      </c>
      <c r="D8095" s="4" t="s">
        <v>63</v>
      </c>
      <c r="E8095" s="4">
        <v>4.0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8.37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0.58</v>
      </c>
      <c r="U8095" s="5">
        <f t="shared" ref="U8095:U8096" si="3433">C8095+2</f>
        <v>39896</v>
      </c>
    </row>
    <row r="8096" ht="12.75" customHeight="1">
      <c r="A8096" s="4">
        <v>5656.0</v>
      </c>
      <c r="B8096" s="4">
        <v>40007.0</v>
      </c>
      <c r="C8096" s="5">
        <f>DATE(2012,12,31)-123</f>
        <v>41151</v>
      </c>
      <c r="D8096" s="4" t="s">
        <v>45</v>
      </c>
      <c r="E8096" s="4">
        <v>45.0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0.57</v>
      </c>
      <c r="U8096" s="5">
        <f t="shared" si="3433"/>
        <v>41153</v>
      </c>
    </row>
    <row r="8097" ht="12.75" customHeight="1">
      <c r="A8097" s="4">
        <v>5660.0</v>
      </c>
      <c r="B8097" s="4">
        <v>40065.0</v>
      </c>
      <c r="C8097" s="5">
        <f t="shared" ref="C8097:C8098" si="3434">DATE(2012,12,31)-318</f>
        <v>40956</v>
      </c>
      <c r="D8097" s="4" t="s">
        <v>30</v>
      </c>
      <c r="E8097" s="4">
        <v>49.0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5">C8097+1</f>
        <v>40957</v>
      </c>
    </row>
    <row r="8098" ht="12.75" customHeight="1">
      <c r="A8098" s="4">
        <v>5661.0</v>
      </c>
      <c r="B8098" s="4">
        <v>40065.0</v>
      </c>
      <c r="C8098" s="5">
        <f t="shared" si="3434"/>
        <v>40956</v>
      </c>
      <c r="D8098" s="4" t="s">
        <v>30</v>
      </c>
      <c r="E8098" s="4">
        <v>4.0</v>
      </c>
      <c r="F8098" s="4">
        <v>76.8655</v>
      </c>
      <c r="G8098" s="4">
        <v>0.04</v>
      </c>
      <c r="H8098" s="4" t="s">
        <v>56</v>
      </c>
      <c r="I8098" s="6">
        <v>-54.505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5"/>
        <v>40957</v>
      </c>
    </row>
    <row r="8099" ht="12.75" customHeight="1">
      <c r="A8099" s="4">
        <v>5671.0</v>
      </c>
      <c r="B8099" s="4">
        <v>40102.0</v>
      </c>
      <c r="C8099" s="5">
        <f>DATE(2012,12,31)-697</f>
        <v>40577</v>
      </c>
      <c r="D8099" s="4" t="s">
        <v>63</v>
      </c>
      <c r="E8099" s="4">
        <v>46.0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0.58</v>
      </c>
      <c r="U8099" s="5">
        <f>C8099+2</f>
        <v>40579</v>
      </c>
    </row>
    <row r="8100" ht="12.75" customHeight="1">
      <c r="A8100" s="4">
        <v>5707.0</v>
      </c>
      <c r="B8100" s="4">
        <v>40357.0</v>
      </c>
      <c r="C8100" s="5">
        <f>DATE(2012,12,31)-163</f>
        <v>41111</v>
      </c>
      <c r="D8100" s="4" t="s">
        <v>45</v>
      </c>
      <c r="E8100" s="4">
        <v>4.0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</v>
      </c>
      <c r="U8100" s="5">
        <f>C8100+1</f>
        <v>41112</v>
      </c>
    </row>
    <row r="8101" ht="12.75" customHeight="1">
      <c r="A8101" s="4">
        <v>5799.0</v>
      </c>
      <c r="B8101" s="4">
        <v>41123.0</v>
      </c>
      <c r="C8101" s="5">
        <f>DATE(2012,12,31)-756</f>
        <v>40518</v>
      </c>
      <c r="D8101" s="4" t="s">
        <v>21</v>
      </c>
      <c r="E8101" s="4">
        <v>27.0</v>
      </c>
      <c r="F8101" s="4">
        <v>322.46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ht="12.75" customHeight="1">
      <c r="A8102" s="4">
        <v>5891.0</v>
      </c>
      <c r="B8102" s="4">
        <v>41794.0</v>
      </c>
      <c r="C8102" s="5">
        <f t="shared" ref="C8102:C8104" si="3436">DATE(2012,12,31)-584</f>
        <v>40690</v>
      </c>
      <c r="D8102" s="4" t="s">
        <v>78</v>
      </c>
      <c r="E8102" s="4">
        <v>48.0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17.99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0.57</v>
      </c>
      <c r="U8102" s="5">
        <f>C8102+1</f>
        <v>40691</v>
      </c>
    </row>
    <row r="8103" ht="12.75" customHeight="1">
      <c r="A8103" s="4">
        <v>5892.0</v>
      </c>
      <c r="B8103" s="4">
        <v>41794.0</v>
      </c>
      <c r="C8103" s="5">
        <f t="shared" si="3436"/>
        <v>40690</v>
      </c>
      <c r="D8103" s="4" t="s">
        <v>78</v>
      </c>
      <c r="E8103" s="4">
        <v>21.0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7">C8103+2</f>
        <v>40692</v>
      </c>
    </row>
    <row r="8104" ht="12.75" customHeight="1">
      <c r="A8104" s="4">
        <v>5893.0</v>
      </c>
      <c r="B8104" s="4">
        <v>41794.0</v>
      </c>
      <c r="C8104" s="5">
        <f t="shared" si="3436"/>
        <v>40690</v>
      </c>
      <c r="D8104" s="4" t="s">
        <v>78</v>
      </c>
      <c r="E8104" s="4">
        <v>49.0</v>
      </c>
      <c r="F8104" s="4">
        <v>891.6075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4.81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0.58</v>
      </c>
      <c r="U8104" s="5">
        <f t="shared" si="3437"/>
        <v>40692</v>
      </c>
    </row>
    <row r="8105" ht="12.75" customHeight="1">
      <c r="A8105" s="4">
        <v>6032.0</v>
      </c>
      <c r="B8105" s="4">
        <v>42725.0</v>
      </c>
      <c r="C8105" s="5">
        <f>DATE(2012,12,31)-609</f>
        <v>40665</v>
      </c>
      <c r="D8105" s="4" t="s">
        <v>63</v>
      </c>
      <c r="E8105" s="4">
        <v>18.0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0.57</v>
      </c>
      <c r="U8105" s="5">
        <f t="shared" ref="U8105:U8106" si="3438">C8105+1</f>
        <v>40666</v>
      </c>
    </row>
    <row r="8106" ht="12.75" customHeight="1">
      <c r="A8106" s="4">
        <v>6110.0</v>
      </c>
      <c r="B8106" s="4">
        <v>43296.0</v>
      </c>
      <c r="C8106" s="5">
        <f>DATE(2012,12,31)-303</f>
        <v>40971</v>
      </c>
      <c r="D8106" s="4" t="s">
        <v>63</v>
      </c>
      <c r="E8106" s="4">
        <v>41.0</v>
      </c>
      <c r="F8106" s="4">
        <v>1665.81</v>
      </c>
      <c r="G8106" s="4">
        <v>0.06</v>
      </c>
      <c r="H8106" s="4" t="s">
        <v>22</v>
      </c>
      <c r="I8106" s="6">
        <v>557.5235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8"/>
        <v>40972</v>
      </c>
    </row>
    <row r="8107" ht="12.75" customHeight="1">
      <c r="A8107" s="4">
        <v>6257.0</v>
      </c>
      <c r="B8107" s="4">
        <v>44294.0</v>
      </c>
      <c r="C8107" s="5">
        <f t="shared" ref="C8107:C8109" si="3439">DATE(2012,12,31)-1307</f>
        <v>39967</v>
      </c>
      <c r="D8107" s="4" t="s">
        <v>21</v>
      </c>
      <c r="E8107" s="4">
        <v>15.0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ht="12.75" customHeight="1">
      <c r="A8108" s="4">
        <v>6258.0</v>
      </c>
      <c r="B8108" s="4">
        <v>44294.0</v>
      </c>
      <c r="C8108" s="5">
        <f t="shared" si="3439"/>
        <v>39967</v>
      </c>
      <c r="D8108" s="4" t="s">
        <v>21</v>
      </c>
      <c r="E8108" s="4">
        <v>13.0</v>
      </c>
      <c r="F8108" s="4">
        <v>305.6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45.0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ht="12.75" customHeight="1">
      <c r="A8109" s="4">
        <v>6259.0</v>
      </c>
      <c r="B8109" s="4">
        <v>44294.0</v>
      </c>
      <c r="C8109" s="5">
        <f t="shared" si="3439"/>
        <v>39967</v>
      </c>
      <c r="D8109" s="4" t="s">
        <v>21</v>
      </c>
      <c r="E8109" s="4">
        <v>8.0</v>
      </c>
      <c r="F8109" s="4">
        <v>447.04049999999995</v>
      </c>
      <c r="G8109" s="4">
        <v>0.04</v>
      </c>
      <c r="H8109" s="4" t="s">
        <v>22</v>
      </c>
      <c r="I8109" s="6">
        <v>-206.151</v>
      </c>
      <c r="J8109" s="4">
        <v>65.99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ht="12.75" customHeight="1">
      <c r="A8110" s="4">
        <v>6273.0</v>
      </c>
      <c r="B8110" s="4">
        <v>44391.0</v>
      </c>
      <c r="C8110" s="5">
        <f>DATE(2012,12,31)-1451</f>
        <v>39823</v>
      </c>
      <c r="D8110" s="4" t="s">
        <v>45</v>
      </c>
      <c r="E8110" s="4">
        <v>16.0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ht="12.75" customHeight="1">
      <c r="A8111" s="4">
        <v>6662.0</v>
      </c>
      <c r="B8111" s="4">
        <v>47456.0</v>
      </c>
      <c r="C8111" s="5">
        <f>DATE(2012,12,31)-214</f>
        <v>41060</v>
      </c>
      <c r="D8111" s="4" t="s">
        <v>21</v>
      </c>
      <c r="E8111" s="4">
        <v>43.0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ht="12.75" customHeight="1">
      <c r="A8112" s="4">
        <v>6709.0</v>
      </c>
      <c r="B8112" s="4">
        <v>47778.0</v>
      </c>
      <c r="C8112" s="5">
        <f>DATE(2012,12,31)-1051</f>
        <v>40223</v>
      </c>
      <c r="D8112" s="4" t="s">
        <v>78</v>
      </c>
      <c r="E8112" s="4">
        <v>12.0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40">C8112+2</f>
        <v>40225</v>
      </c>
    </row>
    <row r="8113" ht="12.75" customHeight="1">
      <c r="A8113" s="4">
        <v>6740.0</v>
      </c>
      <c r="B8113" s="4">
        <v>47974.0</v>
      </c>
      <c r="C8113" s="5">
        <f>DATE(2012,12,31)-1218</f>
        <v>40056</v>
      </c>
      <c r="D8113" s="4" t="s">
        <v>63</v>
      </c>
      <c r="E8113" s="4">
        <v>6.0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40"/>
        <v>40058</v>
      </c>
    </row>
    <row r="8114" ht="12.75" customHeight="1">
      <c r="A8114" s="4">
        <v>6812.0</v>
      </c>
      <c r="B8114" s="4">
        <v>48486.0</v>
      </c>
      <c r="C8114" s="5">
        <f>DATE(2012,12,31)-599</f>
        <v>40675</v>
      </c>
      <c r="D8114" s="4" t="s">
        <v>30</v>
      </c>
      <c r="E8114" s="4">
        <v>42.0</v>
      </c>
      <c r="F8114" s="4">
        <v>271.14</v>
      </c>
      <c r="G8114" s="4">
        <v>0.07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40"/>
        <v>40677</v>
      </c>
    </row>
    <row r="8115" ht="12.75" customHeight="1">
      <c r="A8115" s="4">
        <v>6851.0</v>
      </c>
      <c r="B8115" s="4">
        <v>48775.0</v>
      </c>
      <c r="C8115" s="5">
        <f>DATE(2012,12,31)-1212</f>
        <v>40062</v>
      </c>
      <c r="D8115" s="4" t="s">
        <v>21</v>
      </c>
      <c r="E8115" s="4">
        <v>17.0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40"/>
        <v>40064</v>
      </c>
    </row>
    <row r="8116" ht="12.75" customHeight="1">
      <c r="A8116" s="4">
        <v>6902.0</v>
      </c>
      <c r="B8116" s="4">
        <v>49218.0</v>
      </c>
      <c r="C8116" s="5">
        <f>DATE(2012,12,31)-941</f>
        <v>40333</v>
      </c>
      <c r="D8116" s="4" t="s">
        <v>21</v>
      </c>
      <c r="E8116" s="4">
        <v>21.0</v>
      </c>
      <c r="F8116" s="4">
        <v>86.64</v>
      </c>
      <c r="G8116" s="4">
        <v>0.09</v>
      </c>
      <c r="H8116" s="4" t="s">
        <v>22</v>
      </c>
      <c r="I8116" s="6">
        <v>-73.071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1">C8116+0</f>
        <v>40333</v>
      </c>
    </row>
    <row r="8117" ht="12.75" customHeight="1">
      <c r="A8117" s="4">
        <v>6928.0</v>
      </c>
      <c r="B8117" s="4">
        <v>49442.0</v>
      </c>
      <c r="C8117" s="5">
        <f>DATE(2012,12,31)-144</f>
        <v>41130</v>
      </c>
      <c r="D8117" s="4" t="s">
        <v>30</v>
      </c>
      <c r="E8117" s="4">
        <v>11.0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1"/>
        <v>41130</v>
      </c>
    </row>
    <row r="8118" ht="12.75" customHeight="1">
      <c r="A8118" s="4">
        <v>7092.0</v>
      </c>
      <c r="B8118" s="4">
        <v>50625.0</v>
      </c>
      <c r="C8118" s="5">
        <f>DATE(2012,12,31)-1348</f>
        <v>39926</v>
      </c>
      <c r="D8118" s="4" t="s">
        <v>63</v>
      </c>
      <c r="E8118" s="4">
        <v>10.0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ht="12.75" customHeight="1">
      <c r="A8119" s="4">
        <v>7127.0</v>
      </c>
      <c r="B8119" s="4">
        <v>50849.0</v>
      </c>
      <c r="C8119" s="5">
        <f>DATE(2012,12,31)-88</f>
        <v>41186</v>
      </c>
      <c r="D8119" s="4" t="s">
        <v>21</v>
      </c>
      <c r="E8119" s="4">
        <v>47.0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ht="12.75" customHeight="1">
      <c r="A8120" s="4">
        <v>7230.0</v>
      </c>
      <c r="B8120" s="4">
        <v>51557.0</v>
      </c>
      <c r="C8120" s="5">
        <f t="shared" ref="C8120:C8121" si="3442">DATE(2012,12,31)-427</f>
        <v>40847</v>
      </c>
      <c r="D8120" s="4" t="s">
        <v>30</v>
      </c>
      <c r="E8120" s="4">
        <v>36.0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ht="12.75" customHeight="1">
      <c r="A8121" s="4">
        <v>7231.0</v>
      </c>
      <c r="B8121" s="4">
        <v>51557.0</v>
      </c>
      <c r="C8121" s="5">
        <f t="shared" si="3442"/>
        <v>40847</v>
      </c>
      <c r="D8121" s="4" t="s">
        <v>30</v>
      </c>
      <c r="E8121" s="4">
        <v>14.0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0.58</v>
      </c>
      <c r="U8121" s="5">
        <f>C8121+0</f>
        <v>40847</v>
      </c>
    </row>
    <row r="8122" ht="12.75" customHeight="1">
      <c r="A8122" s="4">
        <v>7411.0</v>
      </c>
      <c r="B8122" s="4">
        <v>52870.0</v>
      </c>
      <c r="C8122" s="5">
        <f>DATE(2012,12,31)-1393</f>
        <v>39881</v>
      </c>
      <c r="D8122" s="4" t="s">
        <v>45</v>
      </c>
      <c r="E8122" s="4">
        <v>21.0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49.0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</v>
      </c>
      <c r="U8122" s="5">
        <f t="shared" ref="U8122:U8123" si="3443">C8122+2</f>
        <v>39883</v>
      </c>
    </row>
    <row r="8123" ht="12.75" customHeight="1">
      <c r="A8123" s="4">
        <v>7417.0</v>
      </c>
      <c r="B8123" s="4">
        <v>52897.0</v>
      </c>
      <c r="C8123" s="5">
        <f>DATE(2012,12,31)-1227</f>
        <v>40047</v>
      </c>
      <c r="D8123" s="4" t="s">
        <v>63</v>
      </c>
      <c r="E8123" s="4">
        <v>40.0</v>
      </c>
      <c r="F8123" s="4">
        <v>2055.98</v>
      </c>
      <c r="G8123" s="4">
        <v>0.0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3"/>
        <v>40049</v>
      </c>
    </row>
    <row r="8124" ht="12.75" customHeight="1">
      <c r="A8124" s="4">
        <v>7531.0</v>
      </c>
      <c r="B8124" s="4">
        <v>53798.0</v>
      </c>
      <c r="C8124" s="5">
        <f t="shared" ref="C8124:C8125" si="3444">DATE(2012,12,31)-1352</f>
        <v>39922</v>
      </c>
      <c r="D8124" s="4" t="s">
        <v>21</v>
      </c>
      <c r="E8124" s="4">
        <v>29.0</v>
      </c>
      <c r="F8124" s="4">
        <v>2317.65</v>
      </c>
      <c r="G8124" s="4">
        <v>0.0</v>
      </c>
      <c r="H8124" s="4" t="s">
        <v>22</v>
      </c>
      <c r="I8124" s="6">
        <v>568.6</v>
      </c>
      <c r="J8124" s="4">
        <v>78.65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ht="12.75" customHeight="1">
      <c r="A8125" s="4">
        <v>7532.0</v>
      </c>
      <c r="B8125" s="4">
        <v>53798.0</v>
      </c>
      <c r="C8125" s="5">
        <f t="shared" si="3444"/>
        <v>39922</v>
      </c>
      <c r="D8125" s="4" t="s">
        <v>21</v>
      </c>
      <c r="E8125" s="4">
        <v>41.0</v>
      </c>
      <c r="F8125" s="4">
        <v>4987.73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ht="12.75" customHeight="1">
      <c r="A8126" s="4">
        <v>7553.0</v>
      </c>
      <c r="B8126" s="4">
        <v>54051.0</v>
      </c>
      <c r="C8126" s="5">
        <f t="shared" ref="C8126:C8127" si="3445">DATE(2012,12,31)-508</f>
        <v>40766</v>
      </c>
      <c r="D8126" s="4" t="s">
        <v>63</v>
      </c>
      <c r="E8126" s="4">
        <v>23.0</v>
      </c>
      <c r="F8126" s="4">
        <v>3301.33</v>
      </c>
      <c r="G8126" s="4">
        <v>0.05</v>
      </c>
      <c r="H8126" s="4" t="s">
        <v>31</v>
      </c>
      <c r="I8126" s="6">
        <v>-307.46</v>
      </c>
      <c r="J8126" s="4">
        <v>140.98</v>
      </c>
      <c r="K8126" s="4">
        <v>36.09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ht="12.75" customHeight="1">
      <c r="A8127" s="4">
        <v>7554.0</v>
      </c>
      <c r="B8127" s="4">
        <v>54051.0</v>
      </c>
      <c r="C8127" s="5">
        <f t="shared" si="3445"/>
        <v>40766</v>
      </c>
      <c r="D8127" s="4" t="s">
        <v>63</v>
      </c>
      <c r="E8127" s="4">
        <v>28.0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6">C8127+1</f>
        <v>40767</v>
      </c>
    </row>
    <row r="8128" ht="12.75" customHeight="1">
      <c r="A8128" s="4">
        <v>7564.0</v>
      </c>
      <c r="B8128" s="4">
        <v>54116.0</v>
      </c>
      <c r="C8128" s="5">
        <f>DATE(2012,12,31)-424</f>
        <v>40850</v>
      </c>
      <c r="D8128" s="4" t="s">
        <v>78</v>
      </c>
      <c r="E8128" s="4">
        <v>22.0</v>
      </c>
      <c r="F8128" s="4">
        <v>3329.27</v>
      </c>
      <c r="G8128" s="4">
        <v>0.05</v>
      </c>
      <c r="H8128" s="4" t="s">
        <v>31</v>
      </c>
      <c r="I8128" s="6">
        <v>350.0</v>
      </c>
      <c r="J8128" s="4">
        <v>150.98</v>
      </c>
      <c r="K8128" s="4">
        <v>16.01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6"/>
        <v>40851</v>
      </c>
    </row>
    <row r="8129" ht="12.75" customHeight="1">
      <c r="A8129" s="4">
        <v>7747.0</v>
      </c>
      <c r="B8129" s="4">
        <v>55459.0</v>
      </c>
      <c r="C8129" s="5">
        <f>DATE(2012,12,31)-1346</f>
        <v>39928</v>
      </c>
      <c r="D8129" s="4" t="s">
        <v>78</v>
      </c>
      <c r="E8129" s="4">
        <v>5.0</v>
      </c>
      <c r="F8129" s="4">
        <v>126.95</v>
      </c>
      <c r="G8129" s="4">
        <v>0.0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ht="12.75" customHeight="1">
      <c r="A8130" s="4">
        <v>7915.0</v>
      </c>
      <c r="B8130" s="4">
        <v>56582.0</v>
      </c>
      <c r="C8130" s="5">
        <f t="shared" ref="C8130:C8131" si="3447">DATE(2012,12,31)-1298</f>
        <v>39976</v>
      </c>
      <c r="D8130" s="4" t="s">
        <v>21</v>
      </c>
      <c r="E8130" s="4">
        <v>25.0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10.12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ht="12.75" customHeight="1">
      <c r="A8131" s="4">
        <v>7916.0</v>
      </c>
      <c r="B8131" s="4">
        <v>56582.0</v>
      </c>
      <c r="C8131" s="5">
        <f t="shared" si="3447"/>
        <v>39976</v>
      </c>
      <c r="D8131" s="4" t="s">
        <v>21</v>
      </c>
      <c r="E8131" s="4">
        <v>47.0</v>
      </c>
      <c r="F8131" s="4">
        <v>1146.992</v>
      </c>
      <c r="G8131" s="4">
        <v>0.07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8">C8131+2</f>
        <v>39978</v>
      </c>
    </row>
    <row r="8132" ht="12.75" customHeight="1">
      <c r="A8132" s="4">
        <v>7989.0</v>
      </c>
      <c r="B8132" s="4">
        <v>57121.0</v>
      </c>
      <c r="C8132" s="5">
        <f t="shared" ref="C8132:C8133" si="3449">DATE(2012,12,31)-411</f>
        <v>40863</v>
      </c>
      <c r="D8132" s="4" t="s">
        <v>45</v>
      </c>
      <c r="E8132" s="4">
        <v>42.0</v>
      </c>
      <c r="F8132" s="4">
        <v>199.24</v>
      </c>
      <c r="G8132" s="4">
        <v>0.07</v>
      </c>
      <c r="H8132" s="4" t="s">
        <v>22</v>
      </c>
      <c r="I8132" s="6">
        <v>-84.26</v>
      </c>
      <c r="J8132" s="4">
        <v>4.98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8"/>
        <v>40865</v>
      </c>
    </row>
    <row r="8133" ht="12.75" customHeight="1">
      <c r="A8133" s="4">
        <v>7990.0</v>
      </c>
      <c r="B8133" s="4">
        <v>57121.0</v>
      </c>
      <c r="C8133" s="5">
        <f t="shared" si="3449"/>
        <v>40863</v>
      </c>
      <c r="D8133" s="4" t="s">
        <v>45</v>
      </c>
      <c r="E8133" s="4">
        <v>3.0</v>
      </c>
      <c r="F8133" s="4">
        <v>504.6705</v>
      </c>
      <c r="G8133" s="4">
        <v>0.01</v>
      </c>
      <c r="H8133" s="4" t="s">
        <v>22</v>
      </c>
      <c r="I8133" s="6">
        <v>-800.888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</v>
      </c>
      <c r="U8133" s="5">
        <f t="shared" si="3448"/>
        <v>40865</v>
      </c>
    </row>
    <row r="8134" ht="12.75" customHeight="1">
      <c r="A8134" s="4">
        <v>8203.0</v>
      </c>
      <c r="B8134" s="4">
        <v>58657.0</v>
      </c>
      <c r="C8134" s="5">
        <f>DATE(2012,12,31)-1010</f>
        <v>40264</v>
      </c>
      <c r="D8134" s="4" t="s">
        <v>78</v>
      </c>
      <c r="E8134" s="4">
        <v>43.0</v>
      </c>
      <c r="F8134" s="4">
        <v>1338.12</v>
      </c>
      <c r="G8134" s="4">
        <v>0.04</v>
      </c>
      <c r="H8134" s="4" t="s">
        <v>22</v>
      </c>
      <c r="I8134" s="6">
        <v>519.7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8"/>
        <v>40266</v>
      </c>
    </row>
    <row r="8135" ht="12.75" customHeight="1">
      <c r="A8135" s="4">
        <v>8273.0</v>
      </c>
      <c r="B8135" s="4">
        <v>59170.0</v>
      </c>
      <c r="C8135" s="5">
        <f t="shared" ref="C8135:C8138" si="3450">DATE(2012,12,31)-1413</f>
        <v>39861</v>
      </c>
      <c r="D8135" s="4" t="s">
        <v>30</v>
      </c>
      <c r="E8135" s="4">
        <v>44.0</v>
      </c>
      <c r="F8135" s="4">
        <v>242.46</v>
      </c>
      <c r="G8135" s="4">
        <v>0.02</v>
      </c>
      <c r="H8135" s="4" t="s">
        <v>22</v>
      </c>
      <c r="I8135" s="6">
        <v>9.299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ht="12.75" customHeight="1">
      <c r="A8136" s="4">
        <v>8274.0</v>
      </c>
      <c r="B8136" s="4">
        <v>59170.0</v>
      </c>
      <c r="C8136" s="5">
        <f t="shared" si="3450"/>
        <v>39861</v>
      </c>
      <c r="D8136" s="4" t="s">
        <v>30</v>
      </c>
      <c r="E8136" s="4">
        <v>10.0</v>
      </c>
      <c r="F8136" s="4">
        <v>607.77</v>
      </c>
      <c r="G8136" s="4">
        <v>0.04</v>
      </c>
      <c r="H8136" s="4" t="s">
        <v>22</v>
      </c>
      <c r="I8136" s="6">
        <v>232.0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1">C8136+2</f>
        <v>39863</v>
      </c>
    </row>
    <row r="8137" ht="12.75" customHeight="1">
      <c r="A8137" s="4">
        <v>8275.0</v>
      </c>
      <c r="B8137" s="4">
        <v>59170.0</v>
      </c>
      <c r="C8137" s="5">
        <f t="shared" si="3450"/>
        <v>39861</v>
      </c>
      <c r="D8137" s="4" t="s">
        <v>30</v>
      </c>
      <c r="E8137" s="4">
        <v>22.0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1"/>
        <v>39863</v>
      </c>
    </row>
    <row r="8138" ht="12.75" customHeight="1">
      <c r="A8138" s="4">
        <v>8276.0</v>
      </c>
      <c r="B8138" s="4">
        <v>59170.0</v>
      </c>
      <c r="C8138" s="5">
        <f t="shared" si="3450"/>
        <v>39861</v>
      </c>
      <c r="D8138" s="4" t="s">
        <v>30</v>
      </c>
      <c r="E8138" s="4">
        <v>5.0</v>
      </c>
      <c r="F8138" s="4">
        <v>8767.62</v>
      </c>
      <c r="G8138" s="4">
        <v>0.04</v>
      </c>
      <c r="H8138" s="4" t="s">
        <v>22</v>
      </c>
      <c r="I8138" s="6">
        <v>-1510.8855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1"/>
        <v>39863</v>
      </c>
    </row>
    <row r="8139" ht="12.75" customHeight="1">
      <c r="A8139" s="4">
        <v>8303.0</v>
      </c>
      <c r="B8139" s="4">
        <v>59297.0</v>
      </c>
      <c r="C8139" s="5">
        <f>DATE(2012,12,31)-1118</f>
        <v>40156</v>
      </c>
      <c r="D8139" s="4" t="s">
        <v>63</v>
      </c>
      <c r="E8139" s="4">
        <v>13.0</v>
      </c>
      <c r="F8139" s="4">
        <v>1582.47</v>
      </c>
      <c r="G8139" s="4">
        <v>0.05</v>
      </c>
      <c r="H8139" s="4" t="s">
        <v>31</v>
      </c>
      <c r="I8139" s="6">
        <v>-205.0242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1"/>
        <v>40158</v>
      </c>
    </row>
    <row r="8140" ht="12.75" customHeight="1">
      <c r="A8140" s="4">
        <v>2.0</v>
      </c>
      <c r="B8140" s="4">
        <v>6.0</v>
      </c>
      <c r="C8140" s="5">
        <f>DATE(2012,12,31)-315</f>
        <v>40959</v>
      </c>
      <c r="D8140" s="4" t="s">
        <v>45</v>
      </c>
      <c r="E8140" s="4">
        <v>2.0</v>
      </c>
      <c r="F8140" s="4">
        <v>6.93</v>
      </c>
      <c r="G8140" s="4">
        <v>0.01</v>
      </c>
      <c r="H8140" s="4" t="s">
        <v>22</v>
      </c>
      <c r="I8140" s="6">
        <v>-4.64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</v>
      </c>
      <c r="U8140" s="5">
        <f>C8140+1</f>
        <v>40960</v>
      </c>
    </row>
    <row r="8141" ht="12.75" customHeight="1">
      <c r="A8141" s="4">
        <v>3.0</v>
      </c>
      <c r="B8141" s="4">
        <v>32.0</v>
      </c>
      <c r="C8141" s="5">
        <f t="shared" ref="C8141:C8143" si="3452">DATE(2012,12,31)-535</f>
        <v>40739</v>
      </c>
      <c r="D8141" s="4" t="s">
        <v>30</v>
      </c>
      <c r="E8141" s="4">
        <v>26.0</v>
      </c>
      <c r="F8141" s="4">
        <v>2808.08</v>
      </c>
      <c r="G8141" s="4">
        <v>0.07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ht="12.75" customHeight="1">
      <c r="A8142" s="4">
        <v>4.0</v>
      </c>
      <c r="B8142" s="4">
        <v>32.0</v>
      </c>
      <c r="C8142" s="5">
        <f t="shared" si="3452"/>
        <v>40739</v>
      </c>
      <c r="D8142" s="4" t="s">
        <v>30</v>
      </c>
      <c r="E8142" s="4">
        <v>24.0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ht="12.75" customHeight="1">
      <c r="A8143" s="4">
        <v>5.0</v>
      </c>
      <c r="B8143" s="4">
        <v>32.0</v>
      </c>
      <c r="C8143" s="5">
        <f t="shared" si="3452"/>
        <v>40739</v>
      </c>
      <c r="D8143" s="4" t="s">
        <v>30</v>
      </c>
      <c r="E8143" s="4">
        <v>23.0</v>
      </c>
      <c r="F8143" s="4">
        <v>160.2335</v>
      </c>
      <c r="G8143" s="4">
        <v>0.04</v>
      </c>
      <c r="H8143" s="4" t="s">
        <v>22</v>
      </c>
      <c r="I8143" s="6">
        <v>-85.129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ht="12.75" customHeight="1">
      <c r="A8144" s="4">
        <v>72.0</v>
      </c>
      <c r="B8144" s="4">
        <v>420.0</v>
      </c>
      <c r="C8144" s="5">
        <f t="shared" ref="C8144:C8145" si="3453">DATE(2012,12,31)-428</f>
        <v>40846</v>
      </c>
      <c r="D8144" s="4" t="s">
        <v>45</v>
      </c>
      <c r="E8144" s="4">
        <v>8.0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</v>
      </c>
      <c r="K8144" s="4">
        <v>4.86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ht="12.75" customHeight="1">
      <c r="A8145" s="4">
        <v>73.0</v>
      </c>
      <c r="B8145" s="4">
        <v>420.0</v>
      </c>
      <c r="C8145" s="5">
        <f t="shared" si="3453"/>
        <v>40846</v>
      </c>
      <c r="D8145" s="4" t="s">
        <v>45</v>
      </c>
      <c r="E8145" s="4">
        <v>6.0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ht="12.75" customHeight="1">
      <c r="A8146" s="4">
        <v>270.0</v>
      </c>
      <c r="B8146" s="4">
        <v>1857.0</v>
      </c>
      <c r="C8146" s="5">
        <f>DATE(2012,12,31)-1084</f>
        <v>40190</v>
      </c>
      <c r="D8146" s="4" t="s">
        <v>30</v>
      </c>
      <c r="E8146" s="4">
        <v>37.0</v>
      </c>
      <c r="F8146" s="4">
        <v>199.76</v>
      </c>
      <c r="G8146" s="4">
        <v>0.07</v>
      </c>
      <c r="H8146" s="4" t="s">
        <v>22</v>
      </c>
      <c r="I8146" s="6">
        <v>20.0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ht="12.75" customHeight="1">
      <c r="A8147" s="4">
        <v>328.0</v>
      </c>
      <c r="B8147" s="4">
        <v>2247.0</v>
      </c>
      <c r="C8147" s="5">
        <f>DATE(2012,12,31)-152</f>
        <v>41122</v>
      </c>
      <c r="D8147" s="4" t="s">
        <v>45</v>
      </c>
      <c r="E8147" s="4">
        <v>6.0</v>
      </c>
      <c r="F8147" s="4">
        <v>21134.71</v>
      </c>
      <c r="G8147" s="4">
        <v>0.06</v>
      </c>
      <c r="H8147" s="4" t="s">
        <v>31</v>
      </c>
      <c r="I8147" s="6">
        <v>-4266.0885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0.57</v>
      </c>
      <c r="U8147" s="5">
        <f t="shared" ref="U8147:U8148" si="3454">C8147+2</f>
        <v>41124</v>
      </c>
    </row>
    <row r="8148" ht="12.75" customHeight="1">
      <c r="A8148" s="4">
        <v>429.0</v>
      </c>
      <c r="B8148" s="4">
        <v>2882.0</v>
      </c>
      <c r="C8148" s="5">
        <f t="shared" ref="C8148:C8149" si="3455">DATE(2012,12,31)-498</f>
        <v>40776</v>
      </c>
      <c r="D8148" s="4" t="s">
        <v>30</v>
      </c>
      <c r="E8148" s="4">
        <v>23.0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160.98</v>
      </c>
      <c r="K8148" s="4">
        <v>30.0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4"/>
        <v>40778</v>
      </c>
    </row>
    <row r="8149" ht="12.75" customHeight="1">
      <c r="A8149" s="4">
        <v>430.0</v>
      </c>
      <c r="B8149" s="4">
        <v>2882.0</v>
      </c>
      <c r="C8149" s="5">
        <f t="shared" si="3455"/>
        <v>40776</v>
      </c>
      <c r="D8149" s="4" t="s">
        <v>30</v>
      </c>
      <c r="E8149" s="4">
        <v>9.0</v>
      </c>
      <c r="F8149" s="4">
        <v>356.72</v>
      </c>
      <c r="G8149" s="4">
        <v>0.07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6">C8149+1</f>
        <v>40777</v>
      </c>
    </row>
    <row r="8150" ht="12.75" customHeight="1">
      <c r="A8150" s="4">
        <v>476.0</v>
      </c>
      <c r="B8150" s="4">
        <v>3297.0</v>
      </c>
      <c r="C8150" s="5">
        <f>DATE(2012,12,31)-59</f>
        <v>41215</v>
      </c>
      <c r="D8150" s="4" t="s">
        <v>30</v>
      </c>
      <c r="E8150" s="4">
        <v>40.0</v>
      </c>
      <c r="F8150" s="4">
        <v>158.7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6"/>
        <v>41216</v>
      </c>
    </row>
    <row r="8151" ht="12.75" customHeight="1">
      <c r="A8151" s="4">
        <v>544.0</v>
      </c>
      <c r="B8151" s="4">
        <v>3655.0</v>
      </c>
      <c r="C8151" s="5">
        <f t="shared" ref="C8151:C8152" si="3457">DATE(2012,12,31)-87</f>
        <v>41187</v>
      </c>
      <c r="D8151" s="4" t="s">
        <v>78</v>
      </c>
      <c r="E8151" s="4">
        <v>3.0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ht="12.75" customHeight="1">
      <c r="A8152" s="4">
        <v>545.0</v>
      </c>
      <c r="B8152" s="4">
        <v>3655.0</v>
      </c>
      <c r="C8152" s="5">
        <f t="shared" si="3457"/>
        <v>41187</v>
      </c>
      <c r="D8152" s="4" t="s">
        <v>78</v>
      </c>
      <c r="E8152" s="4">
        <v>24.0</v>
      </c>
      <c r="F8152" s="4">
        <v>2750.107</v>
      </c>
      <c r="G8152" s="4">
        <v>0.0</v>
      </c>
      <c r="H8152" s="4" t="s">
        <v>22</v>
      </c>
      <c r="I8152" s="6">
        <v>600.417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0.58</v>
      </c>
      <c r="U8152" s="5">
        <f>C8152+1</f>
        <v>41188</v>
      </c>
    </row>
    <row r="8153" ht="12.75" customHeight="1">
      <c r="A8153" s="4">
        <v>551.0</v>
      </c>
      <c r="B8153" s="4">
        <v>3746.0</v>
      </c>
      <c r="C8153" s="5">
        <f t="shared" ref="C8153:C8154" si="3458">DATE(2012,12,31)-1208</f>
        <v>40066</v>
      </c>
      <c r="D8153" s="4" t="s">
        <v>45</v>
      </c>
      <c r="E8153" s="4">
        <v>14.0</v>
      </c>
      <c r="F8153" s="4">
        <v>1463.0964999999999</v>
      </c>
      <c r="G8153" s="4">
        <v>0.0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0.57</v>
      </c>
      <c r="U8153" s="5">
        <f>C8153+0</f>
        <v>40066</v>
      </c>
    </row>
    <row r="8154" ht="12.75" customHeight="1">
      <c r="A8154" s="4">
        <v>552.0</v>
      </c>
      <c r="B8154" s="4">
        <v>3746.0</v>
      </c>
      <c r="C8154" s="5">
        <f t="shared" si="3458"/>
        <v>40066</v>
      </c>
      <c r="D8154" s="4" t="s">
        <v>45</v>
      </c>
      <c r="E8154" s="4">
        <v>38.0</v>
      </c>
      <c r="F8154" s="4">
        <v>246.3</v>
      </c>
      <c r="G8154" s="4">
        <v>0.02</v>
      </c>
      <c r="H8154" s="4" t="s">
        <v>22</v>
      </c>
      <c r="I8154" s="6">
        <v>-67.49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ht="12.75" customHeight="1">
      <c r="A8155" s="4">
        <v>569.0</v>
      </c>
      <c r="B8155" s="4">
        <v>3845.0</v>
      </c>
      <c r="C8155" s="5">
        <f t="shared" ref="C8155:C8157" si="3459">DATE(2012,12,31)-250</f>
        <v>41024</v>
      </c>
      <c r="D8155" s="4" t="s">
        <v>78</v>
      </c>
      <c r="E8155" s="4">
        <v>9.0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19.99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0.57</v>
      </c>
      <c r="U8155" s="5">
        <f>C8155+0</f>
        <v>41024</v>
      </c>
    </row>
    <row r="8156" ht="12.75" customHeight="1">
      <c r="A8156" s="4">
        <v>570.0</v>
      </c>
      <c r="B8156" s="4">
        <v>3845.0</v>
      </c>
      <c r="C8156" s="5">
        <f t="shared" si="3459"/>
        <v>41024</v>
      </c>
      <c r="D8156" s="4" t="s">
        <v>78</v>
      </c>
      <c r="E8156" s="4">
        <v>22.0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ht="12.75" customHeight="1">
      <c r="A8157" s="4">
        <v>571.0</v>
      </c>
      <c r="B8157" s="4">
        <v>3845.0</v>
      </c>
      <c r="C8157" s="5">
        <f t="shared" si="3459"/>
        <v>41024</v>
      </c>
      <c r="D8157" s="4" t="s">
        <v>78</v>
      </c>
      <c r="E8157" s="4">
        <v>15.0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60">C8157+1</f>
        <v>41025</v>
      </c>
    </row>
    <row r="8158" ht="12.75" customHeight="1">
      <c r="A8158" s="4">
        <v>640.0</v>
      </c>
      <c r="B8158" s="4">
        <v>4514.0</v>
      </c>
      <c r="C8158" s="5">
        <f>DATE(2012,12,31)-1342</f>
        <v>39932</v>
      </c>
      <c r="D8158" s="4" t="s">
        <v>63</v>
      </c>
      <c r="E8158" s="4">
        <v>28.0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60"/>
        <v>39933</v>
      </c>
    </row>
    <row r="8159" ht="12.75" customHeight="1">
      <c r="A8159" s="4">
        <v>666.0</v>
      </c>
      <c r="B8159" s="4">
        <v>4672.0</v>
      </c>
      <c r="C8159" s="5">
        <f>DATE(2012,12,31)-421</f>
        <v>40853</v>
      </c>
      <c r="D8159" s="4" t="s">
        <v>78</v>
      </c>
      <c r="E8159" s="4">
        <v>20.0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60"/>
        <v>40854</v>
      </c>
    </row>
    <row r="8160" ht="12.75" customHeight="1">
      <c r="A8160" s="4">
        <v>673.0</v>
      </c>
      <c r="B8160" s="4">
        <v>4705.0</v>
      </c>
      <c r="C8160" s="5">
        <f>DATE(2012,12,31)-285</f>
        <v>40989</v>
      </c>
      <c r="D8160" s="4" t="s">
        <v>45</v>
      </c>
      <c r="E8160" s="4">
        <v>16.0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ht="12.75" customHeight="1">
      <c r="A8161" s="4">
        <v>692.0</v>
      </c>
      <c r="B8161" s="4">
        <v>4805.0</v>
      </c>
      <c r="C8161" s="5">
        <f>DATE(2012,12,31)-251</f>
        <v>41023</v>
      </c>
      <c r="D8161" s="4" t="s">
        <v>45</v>
      </c>
      <c r="E8161" s="4">
        <v>7.0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ht="12.75" customHeight="1">
      <c r="A8162" s="4">
        <v>728.0</v>
      </c>
      <c r="B8162" s="4">
        <v>5222.0</v>
      </c>
      <c r="C8162" s="5">
        <f>DATE(2012,12,31)-1315</f>
        <v>39959</v>
      </c>
      <c r="D8162" s="4" t="s">
        <v>45</v>
      </c>
      <c r="E8162" s="4">
        <v>40.0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60.0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ht="12.75" customHeight="1">
      <c r="A8163" s="4">
        <v>757.0</v>
      </c>
      <c r="B8163" s="4">
        <v>5441.0</v>
      </c>
      <c r="C8163" s="5">
        <f t="shared" ref="C8163:C8164" si="3461">DATE(2012,12,31)-1260</f>
        <v>40014</v>
      </c>
      <c r="D8163" s="4" t="s">
        <v>45</v>
      </c>
      <c r="E8163" s="4">
        <v>34.0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ht="12.75" customHeight="1">
      <c r="A8164" s="4">
        <v>758.0</v>
      </c>
      <c r="B8164" s="4">
        <v>5441.0</v>
      </c>
      <c r="C8164" s="5">
        <f t="shared" si="3461"/>
        <v>40014</v>
      </c>
      <c r="D8164" s="4" t="s">
        <v>45</v>
      </c>
      <c r="E8164" s="4">
        <v>16.0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17.15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0.58</v>
      </c>
      <c r="U8164" s="5">
        <f>C8164+1</f>
        <v>40015</v>
      </c>
    </row>
    <row r="8165" ht="12.75" customHeight="1">
      <c r="A8165" s="4">
        <v>902.0</v>
      </c>
      <c r="B8165" s="4">
        <v>6500.0</v>
      </c>
      <c r="C8165" s="5">
        <f t="shared" ref="C8165:C8166" si="3462">DATE(2012,12,31)-80</f>
        <v>41194</v>
      </c>
      <c r="D8165" s="4" t="s">
        <v>78</v>
      </c>
      <c r="E8165" s="4">
        <v>15.0</v>
      </c>
      <c r="F8165" s="4">
        <v>448.07</v>
      </c>
      <c r="G8165" s="4">
        <v>0.1</v>
      </c>
      <c r="H8165" s="4" t="s">
        <v>22</v>
      </c>
      <c r="I8165" s="6">
        <v>-141.02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ht="12.75" customHeight="1">
      <c r="A8166" s="4">
        <v>903.0</v>
      </c>
      <c r="B8166" s="4">
        <v>6500.0</v>
      </c>
      <c r="C8166" s="5">
        <f t="shared" si="3462"/>
        <v>41194</v>
      </c>
      <c r="D8166" s="4" t="s">
        <v>78</v>
      </c>
      <c r="E8166" s="4">
        <v>20.0</v>
      </c>
      <c r="F8166" s="4">
        <v>38.29</v>
      </c>
      <c r="G8166" s="4">
        <v>0.06</v>
      </c>
      <c r="H8166" s="4" t="s">
        <v>22</v>
      </c>
      <c r="I8166" s="6">
        <v>-16.15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ht="12.75" customHeight="1">
      <c r="A8167" s="4">
        <v>914.0</v>
      </c>
      <c r="B8167" s="4">
        <v>6562.0</v>
      </c>
      <c r="C8167" s="5">
        <f>DATE(2012,12,31)-1107</f>
        <v>40167</v>
      </c>
      <c r="D8167" s="4" t="s">
        <v>78</v>
      </c>
      <c r="E8167" s="4">
        <v>12.0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3">C8167+2</f>
        <v>40169</v>
      </c>
    </row>
    <row r="8168" ht="12.75" customHeight="1">
      <c r="A8168" s="4">
        <v>998.0</v>
      </c>
      <c r="B8168" s="4">
        <v>7203.0</v>
      </c>
      <c r="C8168" s="5">
        <f>DATE(2012,12,31)-1453</f>
        <v>39821</v>
      </c>
      <c r="D8168" s="4" t="s">
        <v>30</v>
      </c>
      <c r="E8168" s="4">
        <v>25.0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19.99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3"/>
        <v>39823</v>
      </c>
    </row>
    <row r="8169" ht="12.75" customHeight="1">
      <c r="A8169" s="4">
        <v>1035.0</v>
      </c>
      <c r="B8169" s="4">
        <v>7553.0</v>
      </c>
      <c r="C8169" s="5">
        <f t="shared" ref="C8169:C8170" si="3464">DATE(2012,12,31)-969</f>
        <v>40305</v>
      </c>
      <c r="D8169" s="4" t="s">
        <v>63</v>
      </c>
      <c r="E8169" s="4">
        <v>12.0</v>
      </c>
      <c r="F8169" s="4">
        <v>1079.19</v>
      </c>
      <c r="G8169" s="4">
        <v>0.07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ht="12.75" customHeight="1">
      <c r="A8170" s="4">
        <v>1036.0</v>
      </c>
      <c r="B8170" s="4">
        <v>7553.0</v>
      </c>
      <c r="C8170" s="5">
        <f t="shared" si="3464"/>
        <v>40305</v>
      </c>
      <c r="D8170" s="4" t="s">
        <v>63</v>
      </c>
      <c r="E8170" s="4">
        <v>3.0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ht="12.75" customHeight="1">
      <c r="A8171" s="4">
        <v>1046.0</v>
      </c>
      <c r="B8171" s="4">
        <v>7680.0</v>
      </c>
      <c r="C8171" s="5">
        <f>DATE(2012,12,31)-633</f>
        <v>40641</v>
      </c>
      <c r="D8171" s="4" t="s">
        <v>45</v>
      </c>
      <c r="E8171" s="4">
        <v>32.0</v>
      </c>
      <c r="F8171" s="4">
        <v>1141.37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19.99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ht="12.75" customHeight="1">
      <c r="A8172" s="4">
        <v>1047.0</v>
      </c>
      <c r="B8172" s="4">
        <v>7719.0</v>
      </c>
      <c r="C8172" s="5">
        <f>DATE(2012,12,31)-1381</f>
        <v>39893</v>
      </c>
      <c r="D8172" s="4" t="s">
        <v>21</v>
      </c>
      <c r="E8172" s="4">
        <v>37.0</v>
      </c>
      <c r="F8172" s="4">
        <v>522.62</v>
      </c>
      <c r="G8172" s="4">
        <v>0.02</v>
      </c>
      <c r="H8172" s="4" t="s">
        <v>22</v>
      </c>
      <c r="I8172" s="6">
        <v>34.52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5">C8172+2</f>
        <v>39895</v>
      </c>
    </row>
    <row r="8173" ht="12.75" customHeight="1">
      <c r="A8173" s="4">
        <v>1116.0</v>
      </c>
      <c r="B8173" s="4">
        <v>8167.0</v>
      </c>
      <c r="C8173" s="5">
        <f t="shared" ref="C8173:C8174" si="3466">DATE(2012,12,31)-149</f>
        <v>41125</v>
      </c>
      <c r="D8173" s="4" t="s">
        <v>78</v>
      </c>
      <c r="E8173" s="4">
        <v>4.0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5"/>
        <v>41127</v>
      </c>
    </row>
    <row r="8174" ht="12.75" customHeight="1">
      <c r="A8174" s="4">
        <v>1117.0</v>
      </c>
      <c r="B8174" s="4">
        <v>8167.0</v>
      </c>
      <c r="C8174" s="5">
        <f t="shared" si="3466"/>
        <v>41125</v>
      </c>
      <c r="D8174" s="4" t="s">
        <v>78</v>
      </c>
      <c r="E8174" s="4">
        <v>48.0</v>
      </c>
      <c r="F8174" s="4">
        <v>1449.301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0.57</v>
      </c>
      <c r="U8174" s="5">
        <f t="shared" si="3465"/>
        <v>41127</v>
      </c>
    </row>
    <row r="8175" ht="12.75" customHeight="1">
      <c r="A8175" s="4">
        <v>1146.0</v>
      </c>
      <c r="B8175" s="4">
        <v>8353.0</v>
      </c>
      <c r="C8175" s="5">
        <f t="shared" ref="C8175:C8176" si="3467">DATE(2012,12,31)-1326</f>
        <v>39948</v>
      </c>
      <c r="D8175" s="4" t="s">
        <v>63</v>
      </c>
      <c r="E8175" s="4">
        <v>34.0</v>
      </c>
      <c r="F8175" s="4">
        <v>286.9</v>
      </c>
      <c r="G8175" s="4">
        <v>0.06</v>
      </c>
      <c r="H8175" s="4" t="s">
        <v>22</v>
      </c>
      <c r="I8175" s="6">
        <v>-36.63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5"/>
        <v>39950</v>
      </c>
    </row>
    <row r="8176" ht="12.75" customHeight="1">
      <c r="A8176" s="4">
        <v>1147.0</v>
      </c>
      <c r="B8176" s="4">
        <v>8353.0</v>
      </c>
      <c r="C8176" s="5">
        <f t="shared" si="3467"/>
        <v>39948</v>
      </c>
      <c r="D8176" s="4" t="s">
        <v>63</v>
      </c>
      <c r="E8176" s="4">
        <v>16.0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0.58</v>
      </c>
      <c r="U8176" s="5">
        <f t="shared" si="3465"/>
        <v>39950</v>
      </c>
    </row>
    <row r="8177" ht="12.75" customHeight="1">
      <c r="A8177" s="4">
        <v>1178.0</v>
      </c>
      <c r="B8177" s="4">
        <v>8609.0</v>
      </c>
      <c r="C8177" s="5">
        <f>DATE(2012,12,31)-261</f>
        <v>41013</v>
      </c>
      <c r="D8177" s="4" t="s">
        <v>78</v>
      </c>
      <c r="E8177" s="4">
        <v>4.0</v>
      </c>
      <c r="F8177" s="4">
        <v>72.00349999999999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ht="12.75" customHeight="1">
      <c r="A8178" s="4">
        <v>1232.0</v>
      </c>
      <c r="B8178" s="4">
        <v>8997.0</v>
      </c>
      <c r="C8178" s="5">
        <f t="shared" ref="C8178:C8179" si="3468">DATE(2012,12,31)-1279</f>
        <v>39995</v>
      </c>
      <c r="D8178" s="4" t="s">
        <v>21</v>
      </c>
      <c r="E8178" s="4">
        <v>40.0</v>
      </c>
      <c r="F8178" s="4">
        <v>17279.62</v>
      </c>
      <c r="G8178" s="4">
        <v>0.04</v>
      </c>
      <c r="H8178" s="4" t="s">
        <v>22</v>
      </c>
      <c r="I8178" s="6">
        <v>4176.253000000001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ht="12.75" customHeight="1">
      <c r="A8179" s="4">
        <v>1233.0</v>
      </c>
      <c r="B8179" s="4">
        <v>8997.0</v>
      </c>
      <c r="C8179" s="5">
        <f t="shared" si="3468"/>
        <v>39995</v>
      </c>
      <c r="D8179" s="4" t="s">
        <v>21</v>
      </c>
      <c r="E8179" s="4">
        <v>20.0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</v>
      </c>
      <c r="U8179" s="5">
        <f>C8179+9</f>
        <v>40004</v>
      </c>
    </row>
    <row r="8180" ht="12.75" customHeight="1">
      <c r="A8180" s="4">
        <v>1248.0</v>
      </c>
      <c r="B8180" s="4">
        <v>9089.0</v>
      </c>
      <c r="C8180" s="5">
        <f>DATE(2012,12,31)-953</f>
        <v>40321</v>
      </c>
      <c r="D8180" s="4" t="s">
        <v>78</v>
      </c>
      <c r="E8180" s="4">
        <v>8.0</v>
      </c>
      <c r="F8180" s="4">
        <v>822.3495</v>
      </c>
      <c r="G8180" s="4">
        <v>0.1</v>
      </c>
      <c r="H8180" s="4" t="s">
        <v>56</v>
      </c>
      <c r="I8180" s="6">
        <v>-360.305</v>
      </c>
      <c r="J8180" s="4">
        <v>125.99</v>
      </c>
      <c r="K8180" s="4">
        <v>8.8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ht="12.75" customHeight="1">
      <c r="A8181" s="4">
        <v>1267.0</v>
      </c>
      <c r="B8181" s="4">
        <v>9221.0</v>
      </c>
      <c r="C8181" s="5">
        <f t="shared" ref="C8181:C8182" si="3469">DATE(2012,12,31)-728</f>
        <v>40546</v>
      </c>
      <c r="D8181" s="4" t="s">
        <v>21</v>
      </c>
      <c r="E8181" s="4">
        <v>9.0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49.0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</v>
      </c>
      <c r="U8181" s="5">
        <f t="shared" ref="U8181:U8182" si="3470">C8181+4</f>
        <v>40550</v>
      </c>
    </row>
    <row r="8182" ht="12.75" customHeight="1">
      <c r="A8182" s="4">
        <v>1268.0</v>
      </c>
      <c r="B8182" s="4">
        <v>9221.0</v>
      </c>
      <c r="C8182" s="5">
        <f t="shared" si="3469"/>
        <v>40546</v>
      </c>
      <c r="D8182" s="4" t="s">
        <v>21</v>
      </c>
      <c r="E8182" s="4">
        <v>25.0</v>
      </c>
      <c r="F8182" s="4">
        <v>1527.42</v>
      </c>
      <c r="G8182" s="4">
        <v>0.04</v>
      </c>
      <c r="H8182" s="4" t="s">
        <v>22</v>
      </c>
      <c r="I8182" s="6">
        <v>326.4</v>
      </c>
      <c r="J8182" s="4">
        <v>60.98</v>
      </c>
      <c r="K8182" s="4">
        <v>19.99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70"/>
        <v>40550</v>
      </c>
    </row>
    <row r="8183" ht="12.75" customHeight="1">
      <c r="A8183" s="4">
        <v>1280.0</v>
      </c>
      <c r="B8183" s="4">
        <v>9286.0</v>
      </c>
      <c r="C8183" s="5">
        <f>DATE(2012,12,31)-638</f>
        <v>40636</v>
      </c>
      <c r="D8183" s="4" t="s">
        <v>78</v>
      </c>
      <c r="E8183" s="4">
        <v>26.0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1">C8183+2</f>
        <v>40638</v>
      </c>
    </row>
    <row r="8184" ht="12.75" customHeight="1">
      <c r="A8184" s="4">
        <v>1293.0</v>
      </c>
      <c r="B8184" s="4">
        <v>9476.0</v>
      </c>
      <c r="C8184" s="5">
        <f>DATE(2012,12,31)-1316</f>
        <v>39958</v>
      </c>
      <c r="D8184" s="4" t="s">
        <v>45</v>
      </c>
      <c r="E8184" s="4">
        <v>10.0</v>
      </c>
      <c r="F8184" s="4">
        <v>165.04</v>
      </c>
      <c r="G8184" s="4">
        <v>0.08</v>
      </c>
      <c r="H8184" s="4" t="s">
        <v>56</v>
      </c>
      <c r="I8184" s="6">
        <v>-66.585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1"/>
        <v>39960</v>
      </c>
    </row>
    <row r="8185" ht="12.75" customHeight="1">
      <c r="A8185" s="4">
        <v>1313.0</v>
      </c>
      <c r="B8185" s="4">
        <v>9632.0</v>
      </c>
      <c r="C8185" s="5">
        <f>DATE(2012,12,31)-350</f>
        <v>40924</v>
      </c>
      <c r="D8185" s="4" t="s">
        <v>21</v>
      </c>
      <c r="E8185" s="4">
        <v>33.0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ht="12.75" customHeight="1">
      <c r="A8186" s="4">
        <v>1341.0</v>
      </c>
      <c r="B8186" s="4">
        <v>9796.0</v>
      </c>
      <c r="C8186" s="5">
        <f>DATE(2012,12,31)-843</f>
        <v>40431</v>
      </c>
      <c r="D8186" s="4" t="s">
        <v>78</v>
      </c>
      <c r="E8186" s="4">
        <v>29.0</v>
      </c>
      <c r="F8186" s="4">
        <v>1222.59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ht="12.75" customHeight="1">
      <c r="A8187" s="4">
        <v>1377.0</v>
      </c>
      <c r="B8187" s="4">
        <v>9955.0</v>
      </c>
      <c r="C8187" s="5">
        <f>DATE(2012,12,31)-484</f>
        <v>40790</v>
      </c>
      <c r="D8187" s="4" t="s">
        <v>78</v>
      </c>
      <c r="E8187" s="4">
        <v>37.0</v>
      </c>
      <c r="F8187" s="4">
        <v>2912.015</v>
      </c>
      <c r="G8187" s="4">
        <v>0.09</v>
      </c>
      <c r="H8187" s="4" t="s">
        <v>22</v>
      </c>
      <c r="I8187" s="6">
        <v>698.1659999999999</v>
      </c>
      <c r="J8187" s="4">
        <v>95.99</v>
      </c>
      <c r="K8187" s="4">
        <v>4.9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</v>
      </c>
      <c r="U8187" s="5">
        <f>C8187+2</f>
        <v>40792</v>
      </c>
    </row>
    <row r="8188" ht="12.75" customHeight="1">
      <c r="A8188" s="4">
        <v>1379.0</v>
      </c>
      <c r="B8188" s="4">
        <v>9985.0</v>
      </c>
      <c r="C8188" s="5">
        <f>DATE(2012,12,31)-877</f>
        <v>40397</v>
      </c>
      <c r="D8188" s="4" t="s">
        <v>21</v>
      </c>
      <c r="E8188" s="4">
        <v>12.0</v>
      </c>
      <c r="F8188" s="4">
        <v>81.9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ht="12.75" customHeight="1">
      <c r="A8189" s="4">
        <v>1405.0</v>
      </c>
      <c r="B8189" s="4">
        <v>10212.0</v>
      </c>
      <c r="C8189" s="5">
        <f t="shared" ref="C8189:C8190" si="3472">DATE(2012,12,31)-953</f>
        <v>40321</v>
      </c>
      <c r="D8189" s="4" t="s">
        <v>21</v>
      </c>
      <c r="E8189" s="4">
        <v>14.0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ht="12.75" customHeight="1">
      <c r="A8190" s="4">
        <v>1406.0</v>
      </c>
      <c r="B8190" s="4">
        <v>10212.0</v>
      </c>
      <c r="C8190" s="5">
        <f t="shared" si="3472"/>
        <v>40321</v>
      </c>
      <c r="D8190" s="4" t="s">
        <v>21</v>
      </c>
      <c r="E8190" s="4">
        <v>22.0</v>
      </c>
      <c r="F8190" s="4">
        <v>1276.17</v>
      </c>
      <c r="G8190" s="4">
        <v>0.0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ht="12.75" customHeight="1">
      <c r="A8191" s="4">
        <v>1446.0</v>
      </c>
      <c r="B8191" s="4">
        <v>10439.0</v>
      </c>
      <c r="C8191" s="5">
        <f t="shared" ref="C8191:C8194" si="3473">DATE(2012,12,31)-278</f>
        <v>40996</v>
      </c>
      <c r="D8191" s="4" t="s">
        <v>45</v>
      </c>
      <c r="E8191" s="4">
        <v>41.0</v>
      </c>
      <c r="F8191" s="4">
        <v>823.13</v>
      </c>
      <c r="G8191" s="4">
        <v>0.0</v>
      </c>
      <c r="H8191" s="4" t="s">
        <v>22</v>
      </c>
      <c r="I8191" s="6">
        <v>384.5145</v>
      </c>
      <c r="J8191" s="4">
        <v>18.94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4">C8191+2</f>
        <v>40998</v>
      </c>
    </row>
    <row r="8192" ht="12.75" customHeight="1">
      <c r="A8192" s="4">
        <v>1447.0</v>
      </c>
      <c r="B8192" s="4">
        <v>10439.0</v>
      </c>
      <c r="C8192" s="5">
        <f t="shared" si="3473"/>
        <v>40996</v>
      </c>
      <c r="D8192" s="4" t="s">
        <v>45</v>
      </c>
      <c r="E8192" s="4">
        <v>30.0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4.0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4"/>
        <v>40998</v>
      </c>
    </row>
    <row r="8193" ht="12.75" customHeight="1">
      <c r="A8193" s="4">
        <v>1448.0</v>
      </c>
      <c r="B8193" s="4">
        <v>10439.0</v>
      </c>
      <c r="C8193" s="5">
        <f t="shared" si="3473"/>
        <v>40996</v>
      </c>
      <c r="D8193" s="4" t="s">
        <v>45</v>
      </c>
      <c r="E8193" s="4">
        <v>27.0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ht="12.75" customHeight="1">
      <c r="A8194" s="4">
        <v>1449.0</v>
      </c>
      <c r="B8194" s="4">
        <v>10439.0</v>
      </c>
      <c r="C8194" s="5">
        <f t="shared" si="3473"/>
        <v>40996</v>
      </c>
      <c r="D8194" s="4" t="s">
        <v>45</v>
      </c>
      <c r="E8194" s="4">
        <v>46.0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ht="12.75" customHeight="1">
      <c r="A8195" s="4">
        <v>1450.0</v>
      </c>
      <c r="B8195" s="4">
        <v>10464.0</v>
      </c>
      <c r="C8195" s="5">
        <f>DATE(2012,12,31)-1239</f>
        <v>40035</v>
      </c>
      <c r="D8195" s="4" t="s">
        <v>78</v>
      </c>
      <c r="E8195" s="4">
        <v>23.0</v>
      </c>
      <c r="F8195" s="4">
        <v>121.73</v>
      </c>
      <c r="G8195" s="4">
        <v>0.01</v>
      </c>
      <c r="H8195" s="4" t="s">
        <v>22</v>
      </c>
      <c r="I8195" s="6">
        <v>-69.07</v>
      </c>
      <c r="J8195" s="4">
        <v>4.98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5">C8195+1</f>
        <v>40036</v>
      </c>
    </row>
    <row r="8196" ht="12.75" customHeight="1">
      <c r="A8196" s="4">
        <v>1498.0</v>
      </c>
      <c r="B8196" s="4">
        <v>10820.0</v>
      </c>
      <c r="C8196" s="5">
        <f t="shared" ref="C8196:C8197" si="3476">DATE(2012,12,31)-370</f>
        <v>40904</v>
      </c>
      <c r="D8196" s="4" t="s">
        <v>45</v>
      </c>
      <c r="E8196" s="4">
        <v>49.0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5"/>
        <v>40905</v>
      </c>
    </row>
    <row r="8197" ht="12.75" customHeight="1">
      <c r="A8197" s="4">
        <v>1499.0</v>
      </c>
      <c r="B8197" s="4">
        <v>10820.0</v>
      </c>
      <c r="C8197" s="5">
        <f t="shared" si="3476"/>
        <v>40904</v>
      </c>
      <c r="D8197" s="4" t="s">
        <v>45</v>
      </c>
      <c r="E8197" s="4">
        <v>33.0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ht="12.75" customHeight="1">
      <c r="A8198" s="4">
        <v>1529.0</v>
      </c>
      <c r="B8198" s="4">
        <v>11013.0</v>
      </c>
      <c r="C8198" s="5">
        <f>DATE(2012,12,31)-1354</f>
        <v>39920</v>
      </c>
      <c r="D8198" s="4" t="s">
        <v>30</v>
      </c>
      <c r="E8198" s="4">
        <v>2.0</v>
      </c>
      <c r="F8198" s="4">
        <v>226.882</v>
      </c>
      <c r="G8198" s="4">
        <v>0.01</v>
      </c>
      <c r="H8198" s="4" t="s">
        <v>22</v>
      </c>
      <c r="I8198" s="6">
        <v>-582.6479999999999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7">C8198+1</f>
        <v>39921</v>
      </c>
    </row>
    <row r="8199" ht="12.75" customHeight="1">
      <c r="A8199" s="4">
        <v>1546.0</v>
      </c>
      <c r="B8199" s="4">
        <v>11169.0</v>
      </c>
      <c r="C8199" s="5">
        <f t="shared" ref="C8199:C8201" si="3478">DATE(2012,12,31)-955</f>
        <v>40319</v>
      </c>
      <c r="D8199" s="4" t="s">
        <v>63</v>
      </c>
      <c r="E8199" s="4">
        <v>46.0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7"/>
        <v>40320</v>
      </c>
    </row>
    <row r="8200" ht="12.75" customHeight="1">
      <c r="A8200" s="4">
        <v>1547.0</v>
      </c>
      <c r="B8200" s="4">
        <v>11169.0</v>
      </c>
      <c r="C8200" s="5">
        <f t="shared" si="3478"/>
        <v>40319</v>
      </c>
      <c r="D8200" s="4" t="s">
        <v>63</v>
      </c>
      <c r="E8200" s="4">
        <v>44.0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ht="12.75" customHeight="1">
      <c r="A8201" s="4">
        <v>1548.0</v>
      </c>
      <c r="B8201" s="4">
        <v>11169.0</v>
      </c>
      <c r="C8201" s="5">
        <f t="shared" si="3478"/>
        <v>40319</v>
      </c>
      <c r="D8201" s="4" t="s">
        <v>63</v>
      </c>
      <c r="E8201" s="4">
        <v>5.0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ht="12.75" customHeight="1">
      <c r="A8202" s="4">
        <v>1606.0</v>
      </c>
      <c r="B8202" s="4">
        <v>11651.0</v>
      </c>
      <c r="C8202" s="5">
        <f>DATE(2012,12,31)-678</f>
        <v>40596</v>
      </c>
      <c r="D8202" s="4" t="s">
        <v>63</v>
      </c>
      <c r="E8202" s="4">
        <v>19.0</v>
      </c>
      <c r="F8202" s="4">
        <v>65.85</v>
      </c>
      <c r="G8202" s="4">
        <v>0.07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ht="12.75" customHeight="1">
      <c r="A8203" s="4">
        <v>1635.0</v>
      </c>
      <c r="B8203" s="4">
        <v>11840.0</v>
      </c>
      <c r="C8203" s="5">
        <f>DATE(2012,12,31)-1235</f>
        <v>40039</v>
      </c>
      <c r="D8203" s="4" t="s">
        <v>78</v>
      </c>
      <c r="E8203" s="4">
        <v>43.0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ht="12.75" customHeight="1">
      <c r="A8204" s="4">
        <v>1652.0</v>
      </c>
      <c r="B8204" s="4">
        <v>11909.0</v>
      </c>
      <c r="C8204" s="5">
        <f>DATE(2012,12,31)-1133</f>
        <v>40141</v>
      </c>
      <c r="D8204" s="4" t="s">
        <v>45</v>
      </c>
      <c r="E8204" s="4">
        <v>11.0</v>
      </c>
      <c r="F8204" s="4">
        <v>194.174</v>
      </c>
      <c r="G8204" s="4">
        <v>0.03</v>
      </c>
      <c r="H8204" s="4" t="s">
        <v>22</v>
      </c>
      <c r="I8204" s="6">
        <v>-20.911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0.57</v>
      </c>
      <c r="U8204" s="5">
        <f t="shared" ref="U8204:U8205" si="3479">C8204+2</f>
        <v>40143</v>
      </c>
    </row>
    <row r="8205" ht="12.75" customHeight="1">
      <c r="A8205" s="4">
        <v>1653.0</v>
      </c>
      <c r="B8205" s="4">
        <v>11910.0</v>
      </c>
      <c r="C8205" s="5">
        <f>DATE(2012,12,31)-565</f>
        <v>40709</v>
      </c>
      <c r="D8205" s="4" t="s">
        <v>30</v>
      </c>
      <c r="E8205" s="4">
        <v>21.0</v>
      </c>
      <c r="F8205" s="4">
        <v>49.23</v>
      </c>
      <c r="G8205" s="4">
        <v>0.01</v>
      </c>
      <c r="H8205" s="4" t="s">
        <v>22</v>
      </c>
      <c r="I8205" s="6">
        <v>-77.70549999999999</v>
      </c>
      <c r="J8205" s="4">
        <v>1.98</v>
      </c>
      <c r="K8205" s="4">
        <v>4.77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9"/>
        <v>40711</v>
      </c>
    </row>
    <row r="8206" ht="12.75" customHeight="1">
      <c r="A8206" s="4">
        <v>1657.0</v>
      </c>
      <c r="B8206" s="4">
        <v>11943.0</v>
      </c>
      <c r="C8206" s="5">
        <f t="shared" ref="C8206:C8207" si="3480">DATE(2012,12,31)-999</f>
        <v>40275</v>
      </c>
      <c r="D8206" s="4" t="s">
        <v>21</v>
      </c>
      <c r="E8206" s="4">
        <v>49.0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ht="12.75" customHeight="1">
      <c r="A8207" s="4">
        <v>1658.0</v>
      </c>
      <c r="B8207" s="4">
        <v>11943.0</v>
      </c>
      <c r="C8207" s="5">
        <f t="shared" si="3480"/>
        <v>40275</v>
      </c>
      <c r="D8207" s="4" t="s">
        <v>21</v>
      </c>
      <c r="E8207" s="4">
        <v>19.0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30.0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ht="12.75" customHeight="1">
      <c r="A8208" s="4">
        <v>1722.0</v>
      </c>
      <c r="B8208" s="4">
        <v>12356.0</v>
      </c>
      <c r="C8208" s="5">
        <f>DATE(2012,12,31)-74</f>
        <v>41200</v>
      </c>
      <c r="D8208" s="4" t="s">
        <v>78</v>
      </c>
      <c r="E8208" s="4">
        <v>39.0</v>
      </c>
      <c r="F8208" s="4">
        <v>243.05</v>
      </c>
      <c r="G8208" s="4">
        <v>0.02</v>
      </c>
      <c r="H8208" s="4" t="s">
        <v>22</v>
      </c>
      <c r="I8208" s="6">
        <v>-70.85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ht="12.75" customHeight="1">
      <c r="A8209" s="4">
        <v>1756.0</v>
      </c>
      <c r="B8209" s="4">
        <v>12581.0</v>
      </c>
      <c r="C8209" s="5">
        <f>DATE(2012,12,31)-1168</f>
        <v>40106</v>
      </c>
      <c r="D8209" s="4" t="s">
        <v>30</v>
      </c>
      <c r="E8209" s="4">
        <v>31.0</v>
      </c>
      <c r="F8209" s="4">
        <v>1768.9689999999998</v>
      </c>
      <c r="G8209" s="4">
        <v>0.0</v>
      </c>
      <c r="H8209" s="4" t="s">
        <v>56</v>
      </c>
      <c r="I8209" s="6">
        <v>341.1</v>
      </c>
      <c r="J8209" s="4">
        <v>65.99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0.58</v>
      </c>
      <c r="U8209" s="5">
        <f>C8209+2</f>
        <v>40108</v>
      </c>
    </row>
    <row r="8210" ht="12.75" customHeight="1">
      <c r="A8210" s="4">
        <v>1818.0</v>
      </c>
      <c r="B8210" s="4">
        <v>13031.0</v>
      </c>
      <c r="C8210" s="5">
        <f>DATE(2012,12,31)-27</f>
        <v>41247</v>
      </c>
      <c r="D8210" s="4" t="s">
        <v>21</v>
      </c>
      <c r="E8210" s="4">
        <v>34.0</v>
      </c>
      <c r="F8210" s="4">
        <v>210.06</v>
      </c>
      <c r="G8210" s="4">
        <v>0.08</v>
      </c>
      <c r="H8210" s="4" t="s">
        <v>22</v>
      </c>
      <c r="I8210" s="6">
        <v>-135.0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ht="12.75" customHeight="1">
      <c r="A8211" s="4">
        <v>1831.0</v>
      </c>
      <c r="B8211" s="4">
        <v>13126.0</v>
      </c>
      <c r="C8211" s="5">
        <f t="shared" ref="C8211:C8213" si="3481">DATE(2012,12,31)-439</f>
        <v>40835</v>
      </c>
      <c r="D8211" s="4" t="s">
        <v>45</v>
      </c>
      <c r="E8211" s="4">
        <v>43.0</v>
      </c>
      <c r="F8211" s="4">
        <v>24233.54</v>
      </c>
      <c r="G8211" s="4">
        <v>0.07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ht="12.75" customHeight="1">
      <c r="A8212" s="4">
        <v>1832.0</v>
      </c>
      <c r="B8212" s="4">
        <v>13126.0</v>
      </c>
      <c r="C8212" s="5">
        <f t="shared" si="3481"/>
        <v>40835</v>
      </c>
      <c r="D8212" s="4" t="s">
        <v>45</v>
      </c>
      <c r="E8212" s="4">
        <v>45.0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2">C8212+2</f>
        <v>40837</v>
      </c>
    </row>
    <row r="8213" ht="12.75" customHeight="1">
      <c r="A8213" s="4">
        <v>1833.0</v>
      </c>
      <c r="B8213" s="4">
        <v>13126.0</v>
      </c>
      <c r="C8213" s="5">
        <f t="shared" si="3481"/>
        <v>40835</v>
      </c>
      <c r="D8213" s="4" t="s">
        <v>45</v>
      </c>
      <c r="E8213" s="4">
        <v>2.0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2"/>
        <v>40837</v>
      </c>
    </row>
    <row r="8214" ht="12.75" customHeight="1">
      <c r="A8214" s="4">
        <v>1844.0</v>
      </c>
      <c r="B8214" s="4">
        <v>13282.0</v>
      </c>
      <c r="C8214" s="5">
        <f t="shared" ref="C8214:C8215" si="3483">DATE(2012,12,31)-236</f>
        <v>41038</v>
      </c>
      <c r="D8214" s="4" t="s">
        <v>21</v>
      </c>
      <c r="E8214" s="4">
        <v>22.0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34.98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ht="12.75" customHeight="1">
      <c r="A8215" s="4">
        <v>1845.0</v>
      </c>
      <c r="B8215" s="4">
        <v>13282.0</v>
      </c>
      <c r="C8215" s="5">
        <f t="shared" si="3483"/>
        <v>41038</v>
      </c>
      <c r="D8215" s="4" t="s">
        <v>21</v>
      </c>
      <c r="E8215" s="4">
        <v>2.0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ht="12.75" customHeight="1">
      <c r="A8216" s="4">
        <v>1933.0</v>
      </c>
      <c r="B8216" s="4">
        <v>13825.0</v>
      </c>
      <c r="C8216" s="5">
        <f>DATE(2012,12,31)-1381</f>
        <v>39893</v>
      </c>
      <c r="D8216" s="4" t="s">
        <v>30</v>
      </c>
      <c r="E8216" s="4">
        <v>30.0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4">C8216+1</f>
        <v>39894</v>
      </c>
    </row>
    <row r="8217" ht="12.75" customHeight="1">
      <c r="A8217" s="4">
        <v>1992.0</v>
      </c>
      <c r="B8217" s="4">
        <v>14212.0</v>
      </c>
      <c r="C8217" s="5">
        <f t="shared" ref="C8217:C8218" si="3485">DATE(2012,12,31)-319</f>
        <v>40955</v>
      </c>
      <c r="D8217" s="4" t="s">
        <v>78</v>
      </c>
      <c r="E8217" s="4">
        <v>4.0</v>
      </c>
      <c r="F8217" s="4">
        <v>31.18</v>
      </c>
      <c r="G8217" s="4">
        <v>0.0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4"/>
        <v>40956</v>
      </c>
    </row>
    <row r="8218" ht="12.75" customHeight="1">
      <c r="A8218" s="4">
        <v>1993.0</v>
      </c>
      <c r="B8218" s="4">
        <v>14212.0</v>
      </c>
      <c r="C8218" s="5">
        <f t="shared" si="3485"/>
        <v>40955</v>
      </c>
      <c r="D8218" s="4" t="s">
        <v>78</v>
      </c>
      <c r="E8218" s="4">
        <v>8.0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6">C8218+2</f>
        <v>40957</v>
      </c>
    </row>
    <row r="8219" ht="12.75" customHeight="1">
      <c r="A8219" s="4">
        <v>2067.0</v>
      </c>
      <c r="B8219" s="4">
        <v>14789.0</v>
      </c>
      <c r="C8219" s="5">
        <f t="shared" ref="C8219:C8220" si="3487">DATE(2012,12,31)-763</f>
        <v>40511</v>
      </c>
      <c r="D8219" s="4" t="s">
        <v>45</v>
      </c>
      <c r="E8219" s="4">
        <v>37.0</v>
      </c>
      <c r="F8219" s="4">
        <v>438.07</v>
      </c>
      <c r="G8219" s="4">
        <v>0.0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6"/>
        <v>40513</v>
      </c>
    </row>
    <row r="8220" ht="12.75" customHeight="1">
      <c r="A8220" s="4">
        <v>2068.0</v>
      </c>
      <c r="B8220" s="4">
        <v>14789.0</v>
      </c>
      <c r="C8220" s="5">
        <f t="shared" si="3487"/>
        <v>40511</v>
      </c>
      <c r="D8220" s="4" t="s">
        <v>45</v>
      </c>
      <c r="E8220" s="4">
        <v>19.0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ht="12.75" customHeight="1">
      <c r="A8221" s="4">
        <v>2192.0</v>
      </c>
      <c r="B8221" s="4">
        <v>15782.0</v>
      </c>
      <c r="C8221" s="5">
        <f>DATE(2012,12,31)-276</f>
        <v>40998</v>
      </c>
      <c r="D8221" s="4" t="s">
        <v>30</v>
      </c>
      <c r="E8221" s="4">
        <v>35.0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69.0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ht="12.75" customHeight="1">
      <c r="A8222" s="4">
        <v>2232.0</v>
      </c>
      <c r="B8222" s="4">
        <v>16132.0</v>
      </c>
      <c r="C8222" s="5">
        <f>DATE(2012,12,31)-65</f>
        <v>41209</v>
      </c>
      <c r="D8222" s="4" t="s">
        <v>63</v>
      </c>
      <c r="E8222" s="4">
        <v>26.0</v>
      </c>
      <c r="F8222" s="4">
        <v>519.96</v>
      </c>
      <c r="G8222" s="4">
        <v>0.07</v>
      </c>
      <c r="H8222" s="4" t="s">
        <v>22</v>
      </c>
      <c r="I8222" s="6">
        <v>169.439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ht="12.75" customHeight="1">
      <c r="A8223" s="4">
        <v>2377.0</v>
      </c>
      <c r="B8223" s="4">
        <v>17251.0</v>
      </c>
      <c r="C8223" s="5">
        <f>DATE(2012,12,31)-1161</f>
        <v>40113</v>
      </c>
      <c r="D8223" s="4" t="s">
        <v>45</v>
      </c>
      <c r="E8223" s="4">
        <v>26.0</v>
      </c>
      <c r="F8223" s="4">
        <v>2951.438</v>
      </c>
      <c r="G8223" s="4">
        <v>0.0</v>
      </c>
      <c r="H8223" s="4" t="s">
        <v>22</v>
      </c>
      <c r="I8223" s="6">
        <v>667.278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0.57</v>
      </c>
      <c r="U8223" s="5">
        <f t="shared" ref="U8223:U8224" si="3488">C8223+2</f>
        <v>40115</v>
      </c>
    </row>
    <row r="8224" ht="12.75" customHeight="1">
      <c r="A8224" s="4">
        <v>2380.0</v>
      </c>
      <c r="B8224" s="4">
        <v>17253.0</v>
      </c>
      <c r="C8224" s="5">
        <f>DATE(2012,12,31)-502</f>
        <v>40772</v>
      </c>
      <c r="D8224" s="4" t="s">
        <v>78</v>
      </c>
      <c r="E8224" s="4">
        <v>13.0</v>
      </c>
      <c r="F8224" s="4">
        <v>50.19</v>
      </c>
      <c r="G8224" s="4">
        <v>0.08</v>
      </c>
      <c r="H8224" s="4" t="s">
        <v>22</v>
      </c>
      <c r="I8224" s="6">
        <v>-64.38850000000001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8"/>
        <v>40774</v>
      </c>
    </row>
    <row r="8225" ht="12.75" customHeight="1">
      <c r="A8225" s="4">
        <v>2385.0</v>
      </c>
      <c r="B8225" s="4">
        <v>17287.0</v>
      </c>
      <c r="C8225" s="5">
        <f t="shared" ref="C8225:C8227" si="3489">DATE(2012,12,31)-636</f>
        <v>40638</v>
      </c>
      <c r="D8225" s="4" t="s">
        <v>30</v>
      </c>
      <c r="E8225" s="4">
        <v>38.0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150.98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ht="12.75" customHeight="1">
      <c r="A8226" s="4">
        <v>2386.0</v>
      </c>
      <c r="B8226" s="4">
        <v>17287.0</v>
      </c>
      <c r="C8226" s="5">
        <f t="shared" si="3489"/>
        <v>40638</v>
      </c>
      <c r="D8226" s="4" t="s">
        <v>30</v>
      </c>
      <c r="E8226" s="4">
        <v>11.0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0.57</v>
      </c>
      <c r="U8226" s="5">
        <f t="shared" ref="U8226:U8228" si="3490">C8226+2</f>
        <v>40640</v>
      </c>
    </row>
    <row r="8227" ht="12.75" customHeight="1">
      <c r="A8227" s="4">
        <v>2387.0</v>
      </c>
      <c r="B8227" s="4">
        <v>17287.0</v>
      </c>
      <c r="C8227" s="5">
        <f t="shared" si="3489"/>
        <v>40638</v>
      </c>
      <c r="D8227" s="4" t="s">
        <v>30</v>
      </c>
      <c r="E8227" s="4">
        <v>26.0</v>
      </c>
      <c r="F8227" s="4">
        <v>4361.6984999999995</v>
      </c>
      <c r="G8227" s="4">
        <v>0.05</v>
      </c>
      <c r="H8227" s="4" t="s">
        <v>22</v>
      </c>
      <c r="I8227" s="6">
        <v>1069.785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</v>
      </c>
      <c r="U8227" s="5">
        <f t="shared" si="3490"/>
        <v>40640</v>
      </c>
    </row>
    <row r="8228" ht="12.75" customHeight="1">
      <c r="A8228" s="4">
        <v>2516.0</v>
      </c>
      <c r="B8228" s="4">
        <v>18279.0</v>
      </c>
      <c r="C8228" s="5">
        <f t="shared" ref="C8228:C8229" si="3491">DATE(2012,12,31)-1404</f>
        <v>39870</v>
      </c>
      <c r="D8228" s="4" t="s">
        <v>63</v>
      </c>
      <c r="E8228" s="4">
        <v>22.0</v>
      </c>
      <c r="F8228" s="4">
        <v>184.35</v>
      </c>
      <c r="G8228" s="4">
        <v>0.07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90"/>
        <v>39872</v>
      </c>
    </row>
    <row r="8229" ht="12.75" customHeight="1">
      <c r="A8229" s="4">
        <v>2517.0</v>
      </c>
      <c r="B8229" s="4">
        <v>18279.0</v>
      </c>
      <c r="C8229" s="5">
        <f t="shared" si="3491"/>
        <v>39870</v>
      </c>
      <c r="D8229" s="4" t="s">
        <v>63</v>
      </c>
      <c r="E8229" s="4">
        <v>20.0</v>
      </c>
      <c r="F8229" s="4">
        <v>10281.79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ht="12.75" customHeight="1">
      <c r="A8230" s="4">
        <v>2559.0</v>
      </c>
      <c r="B8230" s="4">
        <v>18503.0</v>
      </c>
      <c r="C8230" s="5">
        <f t="shared" ref="C8230:C8231" si="3492">DATE(2012,12,31)-606</f>
        <v>40668</v>
      </c>
      <c r="D8230" s="4" t="s">
        <v>45</v>
      </c>
      <c r="E8230" s="4">
        <v>46.0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145.45</v>
      </c>
      <c r="K8230" s="4">
        <v>17.85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</v>
      </c>
      <c r="U8230" s="5">
        <f t="shared" ref="U8230:U8231" si="3493">C8230+2</f>
        <v>40670</v>
      </c>
    </row>
    <row r="8231" ht="12.75" customHeight="1">
      <c r="A8231" s="4">
        <v>2560.0</v>
      </c>
      <c r="B8231" s="4">
        <v>18503.0</v>
      </c>
      <c r="C8231" s="5">
        <f t="shared" si="3492"/>
        <v>40668</v>
      </c>
      <c r="D8231" s="4" t="s">
        <v>45</v>
      </c>
      <c r="E8231" s="4">
        <v>13.0</v>
      </c>
      <c r="F8231" s="4">
        <v>928.9055</v>
      </c>
      <c r="G8231" s="4">
        <v>0.06</v>
      </c>
      <c r="H8231" s="4" t="s">
        <v>22</v>
      </c>
      <c r="I8231" s="6">
        <v>-23.925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0.58</v>
      </c>
      <c r="U8231" s="5">
        <f t="shared" si="3493"/>
        <v>40670</v>
      </c>
    </row>
    <row r="8232" ht="12.75" customHeight="1">
      <c r="A8232" s="4">
        <v>2589.0</v>
      </c>
      <c r="B8232" s="4">
        <v>18689.0</v>
      </c>
      <c r="C8232" s="5">
        <f t="shared" ref="C8232:C8233" si="3494">DATE(2012,12,31)-1103</f>
        <v>40171</v>
      </c>
      <c r="D8232" s="4" t="s">
        <v>45</v>
      </c>
      <c r="E8232" s="4">
        <v>38.0</v>
      </c>
      <c r="F8232" s="4">
        <v>281.17</v>
      </c>
      <c r="G8232" s="4">
        <v>0.01</v>
      </c>
      <c r="H8232" s="4" t="s">
        <v>22</v>
      </c>
      <c r="I8232" s="6">
        <v>-78.3725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5">C8232+1</f>
        <v>40172</v>
      </c>
    </row>
    <row r="8233" ht="12.75" customHeight="1">
      <c r="A8233" s="4">
        <v>2590.0</v>
      </c>
      <c r="B8233" s="4">
        <v>18689.0</v>
      </c>
      <c r="C8233" s="5">
        <f t="shared" si="3494"/>
        <v>40171</v>
      </c>
      <c r="D8233" s="4" t="s">
        <v>45</v>
      </c>
      <c r="E8233" s="4">
        <v>10.0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9.03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5"/>
        <v>40172</v>
      </c>
    </row>
    <row r="8234" ht="12.75" customHeight="1">
      <c r="A8234" s="4">
        <v>2599.0</v>
      </c>
      <c r="B8234" s="4">
        <v>18758.0</v>
      </c>
      <c r="C8234" s="5">
        <f>DATE(2012,12,31)-986</f>
        <v>40288</v>
      </c>
      <c r="D8234" s="4" t="s">
        <v>45</v>
      </c>
      <c r="E8234" s="4">
        <v>20.0</v>
      </c>
      <c r="F8234" s="4">
        <v>2022.18</v>
      </c>
      <c r="G8234" s="4">
        <v>0.09</v>
      </c>
      <c r="H8234" s="4" t="s">
        <v>56</v>
      </c>
      <c r="I8234" s="6">
        <v>594.44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ht="12.75" customHeight="1">
      <c r="A8235" s="4">
        <v>2696.0</v>
      </c>
      <c r="B8235" s="4">
        <v>19521.0</v>
      </c>
      <c r="C8235" s="5">
        <f>DATE(2012,12,31)-1134</f>
        <v>40140</v>
      </c>
      <c r="D8235" s="4" t="s">
        <v>45</v>
      </c>
      <c r="E8235" s="4">
        <v>9.0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35.48</v>
      </c>
      <c r="K8235" s="4">
        <v>35.0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6">C8235+1</f>
        <v>40141</v>
      </c>
    </row>
    <row r="8236" ht="12.75" customHeight="1">
      <c r="A8236" s="4">
        <v>2847.0</v>
      </c>
      <c r="B8236" s="4">
        <v>20513.0</v>
      </c>
      <c r="C8236" s="5">
        <f>DATE(2012,12,31)-1273</f>
        <v>40001</v>
      </c>
      <c r="D8236" s="4" t="s">
        <v>30</v>
      </c>
      <c r="E8236" s="4">
        <v>13.0</v>
      </c>
      <c r="F8236" s="4">
        <v>42.27</v>
      </c>
      <c r="G8236" s="4">
        <v>0.01</v>
      </c>
      <c r="H8236" s="4" t="s">
        <v>56</v>
      </c>
      <c r="I8236" s="6">
        <v>4.56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6"/>
        <v>40002</v>
      </c>
    </row>
    <row r="8237" ht="12.75" customHeight="1">
      <c r="A8237" s="4">
        <v>2934.0</v>
      </c>
      <c r="B8237" s="4">
        <v>21253.0</v>
      </c>
      <c r="C8237" s="5">
        <f>DATE(2012,12,31)-258</f>
        <v>41016</v>
      </c>
      <c r="D8237" s="4" t="s">
        <v>63</v>
      </c>
      <c r="E8237" s="4">
        <v>5.0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19.99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6"/>
        <v>41017</v>
      </c>
    </row>
    <row r="8238" ht="12.75" customHeight="1">
      <c r="A8238" s="4">
        <v>3023.0</v>
      </c>
      <c r="B8238" s="4">
        <v>21735.0</v>
      </c>
      <c r="C8238" s="5">
        <f t="shared" ref="C8238:C8239" si="3497">DATE(2012,12,31)-1028</f>
        <v>40246</v>
      </c>
      <c r="D8238" s="4" t="s">
        <v>45</v>
      </c>
      <c r="E8238" s="4">
        <v>23.0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0.57</v>
      </c>
      <c r="U8238" s="5">
        <f>C8238+2</f>
        <v>40248</v>
      </c>
    </row>
    <row r="8239" ht="12.75" customHeight="1">
      <c r="A8239" s="4">
        <v>3024.0</v>
      </c>
      <c r="B8239" s="4">
        <v>21735.0</v>
      </c>
      <c r="C8239" s="5">
        <f t="shared" si="3497"/>
        <v>40246</v>
      </c>
      <c r="D8239" s="4" t="s">
        <v>45</v>
      </c>
      <c r="E8239" s="4">
        <v>14.0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0.58</v>
      </c>
      <c r="U8239" s="5">
        <f>C8239+3</f>
        <v>40249</v>
      </c>
    </row>
    <row r="8240" ht="12.75" customHeight="1">
      <c r="A8240" s="4">
        <v>3116.0</v>
      </c>
      <c r="B8240" s="4">
        <v>22375.0</v>
      </c>
      <c r="C8240" s="5">
        <f>DATE(2012,12,31)-634</f>
        <v>40640</v>
      </c>
      <c r="D8240" s="4" t="s">
        <v>45</v>
      </c>
      <c r="E8240" s="4">
        <v>43.0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9.54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ht="12.75" customHeight="1">
      <c r="A8241" s="4">
        <v>3170.0</v>
      </c>
      <c r="B8241" s="4">
        <v>22817.0</v>
      </c>
      <c r="C8241" s="5">
        <f>DATE(2012,12,31)-40</f>
        <v>41234</v>
      </c>
      <c r="D8241" s="4" t="s">
        <v>78</v>
      </c>
      <c r="E8241" s="4">
        <v>27.0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ht="12.75" customHeight="1">
      <c r="A8242" s="4">
        <v>3333.0</v>
      </c>
      <c r="B8242" s="4">
        <v>23842.0</v>
      </c>
      <c r="C8242" s="5">
        <f>DATE(2012,12,31)-836</f>
        <v>40438</v>
      </c>
      <c r="D8242" s="4" t="s">
        <v>21</v>
      </c>
      <c r="E8242" s="4">
        <v>20.0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ht="12.75" customHeight="1">
      <c r="A8243" s="4">
        <v>3342.0</v>
      </c>
      <c r="B8243" s="4">
        <v>23911.0</v>
      </c>
      <c r="C8243" s="5">
        <f t="shared" ref="C8243:C8245" si="3498">DATE(2012,12,31)-213</f>
        <v>41061</v>
      </c>
      <c r="D8243" s="4" t="s">
        <v>78</v>
      </c>
      <c r="E8243" s="4">
        <v>21.0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9">C8243+1</f>
        <v>41062</v>
      </c>
    </row>
    <row r="8244" ht="12.75" customHeight="1">
      <c r="A8244" s="4">
        <v>3343.0</v>
      </c>
      <c r="B8244" s="4">
        <v>23911.0</v>
      </c>
      <c r="C8244" s="5">
        <f t="shared" si="3498"/>
        <v>41061</v>
      </c>
      <c r="D8244" s="4" t="s">
        <v>78</v>
      </c>
      <c r="E8244" s="4">
        <v>19.0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9"/>
        <v>41062</v>
      </c>
    </row>
    <row r="8245" ht="12.75" customHeight="1">
      <c r="A8245" s="4">
        <v>3344.0</v>
      </c>
      <c r="B8245" s="4">
        <v>23911.0</v>
      </c>
      <c r="C8245" s="5">
        <f t="shared" si="3498"/>
        <v>41061</v>
      </c>
      <c r="D8245" s="4" t="s">
        <v>78</v>
      </c>
      <c r="E8245" s="4">
        <v>3.0</v>
      </c>
      <c r="F8245" s="4">
        <v>121.26</v>
      </c>
      <c r="G8245" s="4">
        <v>0.0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9"/>
        <v>41062</v>
      </c>
    </row>
    <row r="8246" ht="12.75" customHeight="1">
      <c r="A8246" s="4">
        <v>3422.0</v>
      </c>
      <c r="B8246" s="4">
        <v>24391.0</v>
      </c>
      <c r="C8246" s="5">
        <f>DATE(2012,12,31)-1396</f>
        <v>39878</v>
      </c>
      <c r="D8246" s="4" t="s">
        <v>21</v>
      </c>
      <c r="E8246" s="4">
        <v>14.0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ht="12.75" customHeight="1">
      <c r="A8247" s="4">
        <v>3485.0</v>
      </c>
      <c r="B8247" s="4">
        <v>24802.0</v>
      </c>
      <c r="C8247" s="5">
        <f>DATE(2012,12,31)-1438</f>
        <v>39836</v>
      </c>
      <c r="D8247" s="4" t="s">
        <v>63</v>
      </c>
      <c r="E8247" s="4">
        <v>18.0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ht="12.75" customHeight="1">
      <c r="A8248" s="4">
        <v>3509.0</v>
      </c>
      <c r="B8248" s="4">
        <v>24996.0</v>
      </c>
      <c r="C8248" s="5">
        <f t="shared" ref="C8248:C8249" si="3500">DATE(2012,12,31)-463</f>
        <v>40811</v>
      </c>
      <c r="D8248" s="4" t="s">
        <v>78</v>
      </c>
      <c r="E8248" s="4">
        <v>36.0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5.1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ht="12.75" customHeight="1">
      <c r="A8249" s="4">
        <v>3510.0</v>
      </c>
      <c r="B8249" s="4">
        <v>24996.0</v>
      </c>
      <c r="C8249" s="5">
        <f t="shared" si="3500"/>
        <v>40811</v>
      </c>
      <c r="D8249" s="4" t="s">
        <v>78</v>
      </c>
      <c r="E8249" s="4">
        <v>2.0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ht="12.75" customHeight="1">
      <c r="A8250" s="4">
        <v>3609.0</v>
      </c>
      <c r="B8250" s="4">
        <v>25824.0</v>
      </c>
      <c r="C8250" s="5">
        <f t="shared" ref="C8250:C8253" si="3501">DATE(2012,12,31)-1214</f>
        <v>40060</v>
      </c>
      <c r="D8250" s="4" t="s">
        <v>63</v>
      </c>
      <c r="E8250" s="4">
        <v>5.0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2">C8250+1</f>
        <v>40061</v>
      </c>
    </row>
    <row r="8251" ht="12.75" customHeight="1">
      <c r="A8251" s="4">
        <v>3610.0</v>
      </c>
      <c r="B8251" s="4">
        <v>25824.0</v>
      </c>
      <c r="C8251" s="5">
        <f t="shared" si="3501"/>
        <v>40060</v>
      </c>
      <c r="D8251" s="4" t="s">
        <v>63</v>
      </c>
      <c r="E8251" s="4">
        <v>37.0</v>
      </c>
      <c r="F8251" s="4">
        <v>14410.78</v>
      </c>
      <c r="G8251" s="4">
        <v>0.02</v>
      </c>
      <c r="H8251" s="4" t="s">
        <v>22</v>
      </c>
      <c r="I8251" s="6">
        <v>6365.582</v>
      </c>
      <c r="J8251" s="4">
        <v>367.99</v>
      </c>
      <c r="K8251" s="4">
        <v>19.99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2"/>
        <v>40061</v>
      </c>
    </row>
    <row r="8252" ht="12.75" customHeight="1">
      <c r="A8252" s="4">
        <v>3611.0</v>
      </c>
      <c r="B8252" s="4">
        <v>25824.0</v>
      </c>
      <c r="C8252" s="5">
        <f t="shared" si="3501"/>
        <v>40060</v>
      </c>
      <c r="D8252" s="4" t="s">
        <v>63</v>
      </c>
      <c r="E8252" s="4">
        <v>39.0</v>
      </c>
      <c r="F8252" s="4">
        <v>15341.46</v>
      </c>
      <c r="G8252" s="4">
        <v>0.0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2"/>
        <v>40061</v>
      </c>
    </row>
    <row r="8253" ht="12.75" customHeight="1">
      <c r="A8253" s="4">
        <v>3612.0</v>
      </c>
      <c r="B8253" s="4">
        <v>25824.0</v>
      </c>
      <c r="C8253" s="5">
        <f t="shared" si="3501"/>
        <v>40060</v>
      </c>
      <c r="D8253" s="4" t="s">
        <v>63</v>
      </c>
      <c r="E8253" s="4">
        <v>6.0</v>
      </c>
      <c r="F8253" s="4">
        <v>507.5605</v>
      </c>
      <c r="G8253" s="4">
        <v>0.04</v>
      </c>
      <c r="H8253" s="4" t="s">
        <v>22</v>
      </c>
      <c r="I8253" s="6">
        <v>-258.225</v>
      </c>
      <c r="J8253" s="4">
        <v>95.99</v>
      </c>
      <c r="K8253" s="4">
        <v>4.9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</v>
      </c>
      <c r="U8253" s="5">
        <f t="shared" ref="U8253:U8254" si="3503">C8253+2</f>
        <v>40062</v>
      </c>
    </row>
    <row r="8254" ht="12.75" customHeight="1">
      <c r="A8254" s="4">
        <v>3677.0</v>
      </c>
      <c r="B8254" s="4">
        <v>26309.0</v>
      </c>
      <c r="C8254" s="5">
        <f>DATE(2012,12,31)-316</f>
        <v>40958</v>
      </c>
      <c r="D8254" s="4" t="s">
        <v>21</v>
      </c>
      <c r="E8254" s="4">
        <v>42.0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3"/>
        <v>40960</v>
      </c>
    </row>
    <row r="8255" ht="12.75" customHeight="1">
      <c r="A8255" s="4">
        <v>3738.0</v>
      </c>
      <c r="B8255" s="4">
        <v>26723.0</v>
      </c>
      <c r="C8255" s="5">
        <f>DATE(2012,12,31)-669</f>
        <v>40605</v>
      </c>
      <c r="D8255" s="4" t="s">
        <v>21</v>
      </c>
      <c r="E8255" s="4">
        <v>8.0</v>
      </c>
      <c r="F8255" s="4">
        <v>441.80449999999996</v>
      </c>
      <c r="G8255" s="4">
        <v>0.03</v>
      </c>
      <c r="H8255" s="4" t="s">
        <v>22</v>
      </c>
      <c r="I8255" s="6">
        <v>-201.487</v>
      </c>
      <c r="J8255" s="4">
        <v>65.99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ht="12.75" customHeight="1">
      <c r="A8256" s="4">
        <v>3852.0</v>
      </c>
      <c r="B8256" s="4">
        <v>27463.0</v>
      </c>
      <c r="C8256" s="5">
        <f t="shared" ref="C8256:C8257" si="3504">DATE(2012,12,31)-1144</f>
        <v>40130</v>
      </c>
      <c r="D8256" s="4" t="s">
        <v>63</v>
      </c>
      <c r="E8256" s="4">
        <v>31.0</v>
      </c>
      <c r="F8256" s="4">
        <v>835.11</v>
      </c>
      <c r="G8256" s="4">
        <v>0.0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ht="12.75" customHeight="1">
      <c r="A8257" s="4">
        <v>3853.0</v>
      </c>
      <c r="B8257" s="4">
        <v>27463.0</v>
      </c>
      <c r="C8257" s="5">
        <f t="shared" si="3504"/>
        <v>40130</v>
      </c>
      <c r="D8257" s="4" t="s">
        <v>63</v>
      </c>
      <c r="E8257" s="4">
        <v>10.0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ht="12.75" customHeight="1">
      <c r="A8258" s="4">
        <v>3941.0</v>
      </c>
      <c r="B8258" s="4">
        <v>28069.0</v>
      </c>
      <c r="C8258" s="5">
        <f t="shared" ref="C8258:C8259" si="3505">DATE(2012,12,31)-1320</f>
        <v>39954</v>
      </c>
      <c r="D8258" s="4" t="s">
        <v>21</v>
      </c>
      <c r="E8258" s="4">
        <v>1.0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ht="12.75" customHeight="1">
      <c r="A8259" s="4">
        <v>3942.0</v>
      </c>
      <c r="B8259" s="4">
        <v>28069.0</v>
      </c>
      <c r="C8259" s="5">
        <f t="shared" si="3505"/>
        <v>39954</v>
      </c>
      <c r="D8259" s="4" t="s">
        <v>21</v>
      </c>
      <c r="E8259" s="4">
        <v>4.0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ht="12.75" customHeight="1">
      <c r="A8260" s="4">
        <v>4066.0</v>
      </c>
      <c r="B8260" s="4">
        <v>28934.0</v>
      </c>
      <c r="C8260" s="5">
        <f t="shared" ref="C8260:C8262" si="3506">DATE(2012,12,31)-33</f>
        <v>41241</v>
      </c>
      <c r="D8260" s="4" t="s">
        <v>63</v>
      </c>
      <c r="E8260" s="4">
        <v>12.0</v>
      </c>
      <c r="F8260" s="4">
        <v>1272.35</v>
      </c>
      <c r="G8260" s="4">
        <v>0.0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ht="12.75" customHeight="1">
      <c r="A8261" s="4">
        <v>4067.0</v>
      </c>
      <c r="B8261" s="4">
        <v>28934.0</v>
      </c>
      <c r="C8261" s="5">
        <f t="shared" si="3506"/>
        <v>41241</v>
      </c>
      <c r="D8261" s="4" t="s">
        <v>63</v>
      </c>
      <c r="E8261" s="4">
        <v>26.0</v>
      </c>
      <c r="F8261" s="4">
        <v>4000.35</v>
      </c>
      <c r="G8261" s="4">
        <v>0.07</v>
      </c>
      <c r="H8261" s="4" t="s">
        <v>31</v>
      </c>
      <c r="I8261" s="6">
        <v>303.39</v>
      </c>
      <c r="J8261" s="4">
        <v>160.98</v>
      </c>
      <c r="K8261" s="4">
        <v>30.0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7">C8261+2</f>
        <v>41243</v>
      </c>
    </row>
    <row r="8262" ht="12.75" customHeight="1">
      <c r="A8262" s="4">
        <v>4068.0</v>
      </c>
      <c r="B8262" s="4">
        <v>28934.0</v>
      </c>
      <c r="C8262" s="5">
        <f t="shared" si="3506"/>
        <v>41241</v>
      </c>
      <c r="D8262" s="4" t="s">
        <v>63</v>
      </c>
      <c r="E8262" s="4">
        <v>26.0</v>
      </c>
      <c r="F8262" s="4">
        <v>3356.92</v>
      </c>
      <c r="G8262" s="4">
        <v>0.0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7"/>
        <v>41243</v>
      </c>
    </row>
    <row r="8263" ht="12.75" customHeight="1">
      <c r="A8263" s="4">
        <v>4102.0</v>
      </c>
      <c r="B8263" s="4">
        <v>29218.0</v>
      </c>
      <c r="C8263" s="5">
        <f t="shared" ref="C8263:C8265" si="3508">DATE(2012,12,31)-216</f>
        <v>41058</v>
      </c>
      <c r="D8263" s="4" t="s">
        <v>21</v>
      </c>
      <c r="E8263" s="4">
        <v>19.0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9">C8263+0</f>
        <v>41058</v>
      </c>
    </row>
    <row r="8264" ht="12.75" customHeight="1">
      <c r="A8264" s="4">
        <v>4103.0</v>
      </c>
      <c r="B8264" s="4">
        <v>29218.0</v>
      </c>
      <c r="C8264" s="5">
        <f t="shared" si="3508"/>
        <v>41058</v>
      </c>
      <c r="D8264" s="4" t="s">
        <v>21</v>
      </c>
      <c r="E8264" s="4">
        <v>26.0</v>
      </c>
      <c r="F8264" s="4">
        <v>74.02</v>
      </c>
      <c r="G8264" s="4">
        <v>0.04</v>
      </c>
      <c r="H8264" s="4" t="s">
        <v>22</v>
      </c>
      <c r="I8264" s="6">
        <v>8.13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</v>
      </c>
      <c r="U8264" s="5">
        <f t="shared" si="3509"/>
        <v>41058</v>
      </c>
    </row>
    <row r="8265" ht="12.75" customHeight="1">
      <c r="A8265" s="4">
        <v>4104.0</v>
      </c>
      <c r="B8265" s="4">
        <v>29218.0</v>
      </c>
      <c r="C8265" s="5">
        <f t="shared" si="3508"/>
        <v>41058</v>
      </c>
      <c r="D8265" s="4" t="s">
        <v>21</v>
      </c>
      <c r="E8265" s="4">
        <v>13.0</v>
      </c>
      <c r="F8265" s="4">
        <v>2252.976</v>
      </c>
      <c r="G8265" s="4">
        <v>0.02</v>
      </c>
      <c r="H8265" s="4" t="s">
        <v>22</v>
      </c>
      <c r="I8265" s="6">
        <v>-54.362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0.58</v>
      </c>
      <c r="U8265" s="5">
        <f t="shared" ref="U8265:U8269" si="3510">C8265+2</f>
        <v>41060</v>
      </c>
    </row>
    <row r="8266" ht="12.75" customHeight="1">
      <c r="A8266" s="4">
        <v>4117.0</v>
      </c>
      <c r="B8266" s="4">
        <v>29286.0</v>
      </c>
      <c r="C8266" s="5">
        <f>DATE(2012,12,31)-1252</f>
        <v>40022</v>
      </c>
      <c r="D8266" s="4" t="s">
        <v>78</v>
      </c>
      <c r="E8266" s="4">
        <v>4.0</v>
      </c>
      <c r="F8266" s="4">
        <v>13070.2</v>
      </c>
      <c r="G8266" s="4">
        <v>0.07</v>
      </c>
      <c r="H8266" s="4" t="s">
        <v>31</v>
      </c>
      <c r="I8266" s="6">
        <v>-6923.5992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0.57</v>
      </c>
      <c r="U8266" s="5">
        <f t="shared" si="3510"/>
        <v>40024</v>
      </c>
    </row>
    <row r="8267" ht="12.75" customHeight="1">
      <c r="A8267" s="4">
        <v>4165.0</v>
      </c>
      <c r="B8267" s="4">
        <v>29536.0</v>
      </c>
      <c r="C8267" s="5">
        <f t="shared" ref="C8267:C8269" si="3511">DATE(2012,12,31)-115</f>
        <v>41159</v>
      </c>
      <c r="D8267" s="4" t="s">
        <v>63</v>
      </c>
      <c r="E8267" s="4">
        <v>5.0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0.57</v>
      </c>
      <c r="U8267" s="5">
        <f t="shared" si="3510"/>
        <v>41161</v>
      </c>
    </row>
    <row r="8268" ht="12.75" customHeight="1">
      <c r="A8268" s="4">
        <v>4166.0</v>
      </c>
      <c r="B8268" s="4">
        <v>29536.0</v>
      </c>
      <c r="C8268" s="5">
        <f t="shared" si="3511"/>
        <v>41159</v>
      </c>
      <c r="D8268" s="4" t="s">
        <v>63</v>
      </c>
      <c r="E8268" s="4">
        <v>11.0</v>
      </c>
      <c r="F8268" s="4">
        <v>2483.53</v>
      </c>
      <c r="G8268" s="4">
        <v>0.07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10"/>
        <v>41161</v>
      </c>
    </row>
    <row r="8269" ht="12.75" customHeight="1">
      <c r="A8269" s="4">
        <v>4167.0</v>
      </c>
      <c r="B8269" s="4">
        <v>29536.0</v>
      </c>
      <c r="C8269" s="5">
        <f t="shared" si="3511"/>
        <v>41159</v>
      </c>
      <c r="D8269" s="4" t="s">
        <v>63</v>
      </c>
      <c r="E8269" s="4">
        <v>26.0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19.99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10"/>
        <v>41161</v>
      </c>
    </row>
    <row r="8270" ht="12.75" customHeight="1">
      <c r="A8270" s="4">
        <v>4170.0</v>
      </c>
      <c r="B8270" s="4">
        <v>29569.0</v>
      </c>
      <c r="C8270" s="5">
        <f t="shared" ref="C8270:C8271" si="3512">DATE(2012,12,31)-547</f>
        <v>40727</v>
      </c>
      <c r="D8270" s="4" t="s">
        <v>30</v>
      </c>
      <c r="E8270" s="4">
        <v>46.0</v>
      </c>
      <c r="F8270" s="4">
        <v>27720.98</v>
      </c>
      <c r="G8270" s="4">
        <v>0.07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ht="12.75" customHeight="1">
      <c r="A8271" s="4">
        <v>4171.0</v>
      </c>
      <c r="B8271" s="4">
        <v>29569.0</v>
      </c>
      <c r="C8271" s="5">
        <f t="shared" si="3512"/>
        <v>40727</v>
      </c>
      <c r="D8271" s="4" t="s">
        <v>30</v>
      </c>
      <c r="E8271" s="4">
        <v>29.0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ht="12.75" customHeight="1">
      <c r="A8272" s="4">
        <v>4197.0</v>
      </c>
      <c r="B8272" s="4">
        <v>29827.0</v>
      </c>
      <c r="C8272" s="5">
        <f>DATE(2012,12,31)-536</f>
        <v>40738</v>
      </c>
      <c r="D8272" s="4" t="s">
        <v>78</v>
      </c>
      <c r="E8272" s="4">
        <v>35.0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ht="12.75" customHeight="1">
      <c r="A8273" s="4">
        <v>4210.0</v>
      </c>
      <c r="B8273" s="4">
        <v>29926.0</v>
      </c>
      <c r="C8273" s="5">
        <f>DATE(2012,12,31)-284</f>
        <v>40990</v>
      </c>
      <c r="D8273" s="4" t="s">
        <v>63</v>
      </c>
      <c r="E8273" s="4">
        <v>9.0</v>
      </c>
      <c r="F8273" s="4">
        <v>20.21</v>
      </c>
      <c r="G8273" s="4">
        <v>0.0</v>
      </c>
      <c r="H8273" s="4" t="s">
        <v>22</v>
      </c>
      <c r="I8273" s="6">
        <v>-5.140499999999999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ht="12.75" customHeight="1">
      <c r="A8274" s="4">
        <v>4337.0</v>
      </c>
      <c r="B8274" s="4">
        <v>30913.0</v>
      </c>
      <c r="C8274" s="5">
        <f t="shared" ref="C8274:C8277" si="3513">DATE(2012,12,31)-100</f>
        <v>41174</v>
      </c>
      <c r="D8274" s="4" t="s">
        <v>63</v>
      </c>
      <c r="E8274" s="4">
        <v>23.0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ht="12.75" customHeight="1">
      <c r="A8275" s="4">
        <v>4338.0</v>
      </c>
      <c r="B8275" s="4">
        <v>30913.0</v>
      </c>
      <c r="C8275" s="5">
        <f t="shared" si="3513"/>
        <v>41174</v>
      </c>
      <c r="D8275" s="4" t="s">
        <v>63</v>
      </c>
      <c r="E8275" s="4">
        <v>36.0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4">C8275+2</f>
        <v>41176</v>
      </c>
    </row>
    <row r="8276" ht="12.75" customHeight="1">
      <c r="A8276" s="4">
        <v>4339.0</v>
      </c>
      <c r="B8276" s="4">
        <v>30913.0</v>
      </c>
      <c r="C8276" s="5">
        <f t="shared" si="3513"/>
        <v>41174</v>
      </c>
      <c r="D8276" s="4" t="s">
        <v>63</v>
      </c>
      <c r="E8276" s="4">
        <v>44.0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4"/>
        <v>41176</v>
      </c>
    </row>
    <row r="8277" ht="12.75" customHeight="1">
      <c r="A8277" s="4">
        <v>4340.0</v>
      </c>
      <c r="B8277" s="4">
        <v>30913.0</v>
      </c>
      <c r="C8277" s="5">
        <f t="shared" si="3513"/>
        <v>41174</v>
      </c>
      <c r="D8277" s="4" t="s">
        <v>63</v>
      </c>
      <c r="E8277" s="4">
        <v>24.0</v>
      </c>
      <c r="F8277" s="4">
        <v>496.62</v>
      </c>
      <c r="G8277" s="4">
        <v>0.07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4"/>
        <v>41176</v>
      </c>
    </row>
    <row r="8278" ht="12.75" customHeight="1">
      <c r="A8278" s="4">
        <v>4393.0</v>
      </c>
      <c r="B8278" s="4">
        <v>31271.0</v>
      </c>
      <c r="C8278" s="5">
        <f>DATE(2012,12,31)-621</f>
        <v>40653</v>
      </c>
      <c r="D8278" s="4" t="s">
        <v>21</v>
      </c>
      <c r="E8278" s="4">
        <v>4.0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8.37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ht="12.75" customHeight="1">
      <c r="A8279" s="4">
        <v>4406.0</v>
      </c>
      <c r="B8279" s="4">
        <v>31399.0</v>
      </c>
      <c r="C8279" s="5">
        <f>DATE(2012,12,31)-422</f>
        <v>40852</v>
      </c>
      <c r="D8279" s="4" t="s">
        <v>45</v>
      </c>
      <c r="E8279" s="4">
        <v>9.0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</v>
      </c>
      <c r="U8279" s="5">
        <f>C8279+1</f>
        <v>40853</v>
      </c>
    </row>
    <row r="8280" ht="12.75" customHeight="1">
      <c r="A8280" s="4">
        <v>4498.0</v>
      </c>
      <c r="B8280" s="4">
        <v>32007.0</v>
      </c>
      <c r="C8280" s="5">
        <f>DATE(2012,12,31)-695</f>
        <v>40579</v>
      </c>
      <c r="D8280" s="4" t="s">
        <v>21</v>
      </c>
      <c r="E8280" s="4">
        <v>41.0</v>
      </c>
      <c r="F8280" s="4">
        <v>17448.75</v>
      </c>
      <c r="G8280" s="4">
        <v>0.06</v>
      </c>
      <c r="H8280" s="4" t="s">
        <v>31</v>
      </c>
      <c r="I8280" s="6">
        <v>9.930000000000064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ht="12.75" customHeight="1">
      <c r="A8281" s="4">
        <v>4518.0</v>
      </c>
      <c r="B8281" s="4">
        <v>32164.0</v>
      </c>
      <c r="C8281" s="5">
        <f t="shared" ref="C8281:C8283" si="3515">DATE(2012,12,31)-1063</f>
        <v>40211</v>
      </c>
      <c r="D8281" s="4" t="s">
        <v>45</v>
      </c>
      <c r="E8281" s="4">
        <v>12.0</v>
      </c>
      <c r="F8281" s="4">
        <v>77.01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6">C8281+1</f>
        <v>40212</v>
      </c>
    </row>
    <row r="8282" ht="12.75" customHeight="1">
      <c r="A8282" s="4">
        <v>4519.0</v>
      </c>
      <c r="B8282" s="4">
        <v>32164.0</v>
      </c>
      <c r="C8282" s="5">
        <f t="shared" si="3515"/>
        <v>40211</v>
      </c>
      <c r="D8282" s="4" t="s">
        <v>45</v>
      </c>
      <c r="E8282" s="4">
        <v>34.0</v>
      </c>
      <c r="F8282" s="4">
        <v>111.83</v>
      </c>
      <c r="G8282" s="4">
        <v>0.07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</v>
      </c>
      <c r="U8282" s="5">
        <f t="shared" si="3516"/>
        <v>40212</v>
      </c>
    </row>
    <row r="8283" ht="12.75" customHeight="1">
      <c r="A8283" s="4">
        <v>4520.0</v>
      </c>
      <c r="B8283" s="4">
        <v>32164.0</v>
      </c>
      <c r="C8283" s="5">
        <f t="shared" si="3515"/>
        <v>40211</v>
      </c>
      <c r="D8283" s="4" t="s">
        <v>45</v>
      </c>
      <c r="E8283" s="4">
        <v>23.0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6"/>
        <v>40212</v>
      </c>
    </row>
    <row r="8284" ht="12.75" customHeight="1">
      <c r="A8284" s="4">
        <v>4531.0</v>
      </c>
      <c r="B8284" s="4">
        <v>32228.0</v>
      </c>
      <c r="C8284" s="5">
        <f>DATE(2012,12,31)-788</f>
        <v>40486</v>
      </c>
      <c r="D8284" s="4" t="s">
        <v>78</v>
      </c>
      <c r="E8284" s="4">
        <v>35.0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</v>
      </c>
      <c r="U8284" s="5">
        <f t="shared" ref="U8284:U8285" si="3517">C8284+2</f>
        <v>40488</v>
      </c>
    </row>
    <row r="8285" ht="12.75" customHeight="1">
      <c r="A8285" s="4">
        <v>4551.0</v>
      </c>
      <c r="B8285" s="4">
        <v>32386.0</v>
      </c>
      <c r="C8285" s="5">
        <f>DATE(2012,12,31)-257</f>
        <v>41017</v>
      </c>
      <c r="D8285" s="4" t="s">
        <v>78</v>
      </c>
      <c r="E8285" s="4">
        <v>1.0</v>
      </c>
      <c r="F8285" s="4">
        <v>1996.16</v>
      </c>
      <c r="G8285" s="4">
        <v>0.0</v>
      </c>
      <c r="H8285" s="4" t="s">
        <v>22</v>
      </c>
      <c r="I8285" s="6">
        <v>-3974.4558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7"/>
        <v>41019</v>
      </c>
    </row>
    <row r="8286" ht="12.75" customHeight="1">
      <c r="A8286" s="4">
        <v>4578.0</v>
      </c>
      <c r="B8286" s="4">
        <v>32610.0</v>
      </c>
      <c r="C8286" s="5">
        <f t="shared" ref="C8286:C8287" si="3518">DATE(2012,12,31)-134</f>
        <v>41140</v>
      </c>
      <c r="D8286" s="4" t="s">
        <v>45</v>
      </c>
      <c r="E8286" s="4">
        <v>47.0</v>
      </c>
      <c r="F8286" s="4">
        <v>316.99</v>
      </c>
      <c r="G8286" s="4">
        <v>0.04</v>
      </c>
      <c r="H8286" s="4" t="s">
        <v>22</v>
      </c>
      <c r="I8286" s="6">
        <v>-276.54</v>
      </c>
      <c r="J8286" s="4">
        <v>6.84</v>
      </c>
      <c r="K8286" s="4">
        <v>8.37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0.58</v>
      </c>
      <c r="U8286" s="5">
        <f t="shared" ref="U8286:U8287" si="3519">C8286+1</f>
        <v>41141</v>
      </c>
    </row>
    <row r="8287" ht="12.75" customHeight="1">
      <c r="A8287" s="4">
        <v>4579.0</v>
      </c>
      <c r="B8287" s="4">
        <v>32610.0</v>
      </c>
      <c r="C8287" s="5">
        <f t="shared" si="3518"/>
        <v>41140</v>
      </c>
      <c r="D8287" s="4" t="s">
        <v>45</v>
      </c>
      <c r="E8287" s="4">
        <v>20.0</v>
      </c>
      <c r="F8287" s="4">
        <v>1991.8984999999998</v>
      </c>
      <c r="G8287" s="4">
        <v>0.07</v>
      </c>
      <c r="H8287" s="4" t="s">
        <v>22</v>
      </c>
      <c r="I8287" s="6">
        <v>88.36200000000001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0.58</v>
      </c>
      <c r="U8287" s="5">
        <f t="shared" si="3519"/>
        <v>41141</v>
      </c>
    </row>
    <row r="8288" ht="12.75" customHeight="1">
      <c r="A8288" s="4">
        <v>4634.0</v>
      </c>
      <c r="B8288" s="4">
        <v>32994.0</v>
      </c>
      <c r="C8288" s="5">
        <f>DATE(2012,12,31)-106</f>
        <v>41168</v>
      </c>
      <c r="D8288" s="4" t="s">
        <v>78</v>
      </c>
      <c r="E8288" s="4">
        <v>34.0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20">C8288+0</f>
        <v>41168</v>
      </c>
    </row>
    <row r="8289" ht="12.75" customHeight="1">
      <c r="A8289" s="4">
        <v>4677.0</v>
      </c>
      <c r="B8289" s="4">
        <v>33283.0</v>
      </c>
      <c r="C8289" s="5">
        <f>DATE(2012,12,31)-1017</f>
        <v>40257</v>
      </c>
      <c r="D8289" s="4" t="s">
        <v>63</v>
      </c>
      <c r="E8289" s="4">
        <v>48.0</v>
      </c>
      <c r="F8289" s="4">
        <v>10462.54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20"/>
        <v>40257</v>
      </c>
    </row>
    <row r="8290" ht="12.75" customHeight="1">
      <c r="A8290" s="4">
        <v>4750.0</v>
      </c>
      <c r="B8290" s="4">
        <v>33764.0</v>
      </c>
      <c r="C8290" s="5">
        <f t="shared" ref="C8290:C8291" si="3521">DATE(2012,12,31)-690</f>
        <v>40584</v>
      </c>
      <c r="D8290" s="4" t="s">
        <v>78</v>
      </c>
      <c r="E8290" s="4">
        <v>4.0</v>
      </c>
      <c r="F8290" s="4">
        <v>539.82</v>
      </c>
      <c r="G8290" s="4">
        <v>0.0</v>
      </c>
      <c r="H8290" s="4" t="s">
        <v>22</v>
      </c>
      <c r="I8290" s="6">
        <v>-64.78</v>
      </c>
      <c r="J8290" s="4">
        <v>120.33</v>
      </c>
      <c r="K8290" s="4">
        <v>19.99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ht="12.75" customHeight="1">
      <c r="A8291" s="4">
        <v>4751.0</v>
      </c>
      <c r="B8291" s="4">
        <v>33764.0</v>
      </c>
      <c r="C8291" s="5">
        <f t="shared" si="3521"/>
        <v>40584</v>
      </c>
      <c r="D8291" s="4" t="s">
        <v>78</v>
      </c>
      <c r="E8291" s="4">
        <v>6.0</v>
      </c>
      <c r="F8291" s="4">
        <v>1029.8855</v>
      </c>
      <c r="G8291" s="4">
        <v>0.06</v>
      </c>
      <c r="H8291" s="4" t="s">
        <v>56</v>
      </c>
      <c r="I8291" s="6">
        <v>-620.829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</v>
      </c>
      <c r="U8291" s="5">
        <f>C8291+1</f>
        <v>40585</v>
      </c>
    </row>
    <row r="8292" ht="12.75" customHeight="1">
      <c r="A8292" s="4">
        <v>4800.0</v>
      </c>
      <c r="B8292" s="4">
        <v>34117.0</v>
      </c>
      <c r="C8292" s="5">
        <f>DATE(2012,12,31)-328</f>
        <v>40946</v>
      </c>
      <c r="D8292" s="4" t="s">
        <v>30</v>
      </c>
      <c r="E8292" s="4">
        <v>45.0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ht="12.75" customHeight="1">
      <c r="A8293" s="4">
        <v>4974.0</v>
      </c>
      <c r="B8293" s="4">
        <v>35366.0</v>
      </c>
      <c r="C8293" s="5">
        <f>DATE(2012,12,31)-538</f>
        <v>40736</v>
      </c>
      <c r="D8293" s="4" t="s">
        <v>21</v>
      </c>
      <c r="E8293" s="4">
        <v>23.0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ht="12.75" customHeight="1">
      <c r="A8294" s="4">
        <v>4979.0</v>
      </c>
      <c r="B8294" s="4">
        <v>35426.0</v>
      </c>
      <c r="C8294" s="5">
        <f>DATE(2012,12,31)-820</f>
        <v>40454</v>
      </c>
      <c r="D8294" s="4" t="s">
        <v>30</v>
      </c>
      <c r="E8294" s="4">
        <v>5.0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ht="12.75" customHeight="1">
      <c r="A8295" s="4">
        <v>4987.0</v>
      </c>
      <c r="B8295" s="4">
        <v>35490.0</v>
      </c>
      <c r="C8295" s="5">
        <f t="shared" ref="C8295:C8296" si="3522">DATE(2012,12,31)-755</f>
        <v>40519</v>
      </c>
      <c r="D8295" s="4" t="s">
        <v>30</v>
      </c>
      <c r="E8295" s="4">
        <v>7.0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</v>
      </c>
      <c r="U8295" s="5">
        <f t="shared" ref="U8295:U8298" si="3523">C8295+2</f>
        <v>40521</v>
      </c>
    </row>
    <row r="8296" ht="12.75" customHeight="1">
      <c r="A8296" s="4">
        <v>4988.0</v>
      </c>
      <c r="B8296" s="4">
        <v>35490.0</v>
      </c>
      <c r="C8296" s="5">
        <f t="shared" si="3522"/>
        <v>40519</v>
      </c>
      <c r="D8296" s="4" t="s">
        <v>30</v>
      </c>
      <c r="E8296" s="4">
        <v>41.0</v>
      </c>
      <c r="F8296" s="4">
        <v>1289.62</v>
      </c>
      <c r="G8296" s="4">
        <v>0.03</v>
      </c>
      <c r="H8296" s="4" t="s">
        <v>22</v>
      </c>
      <c r="I8296" s="6">
        <v>432.522</v>
      </c>
      <c r="J8296" s="4">
        <v>35.99</v>
      </c>
      <c r="K8296" s="4">
        <v>1.1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</v>
      </c>
      <c r="U8296" s="5">
        <f t="shared" si="3523"/>
        <v>40521</v>
      </c>
    </row>
    <row r="8297" ht="12.75" customHeight="1">
      <c r="A8297" s="4">
        <v>5005.0</v>
      </c>
      <c r="B8297" s="4">
        <v>35686.0</v>
      </c>
      <c r="C8297" s="5">
        <f>DATE(2012,12,31)-821</f>
        <v>40453</v>
      </c>
      <c r="D8297" s="4" t="s">
        <v>30</v>
      </c>
      <c r="E8297" s="4">
        <v>48.0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3"/>
        <v>40455</v>
      </c>
    </row>
    <row r="8298" ht="12.75" customHeight="1">
      <c r="A8298" s="4">
        <v>5010.0</v>
      </c>
      <c r="B8298" s="4">
        <v>35744.0</v>
      </c>
      <c r="C8298" s="5">
        <f>DATE(2012,12,31)-1381</f>
        <v>39893</v>
      </c>
      <c r="D8298" s="4" t="s">
        <v>45</v>
      </c>
      <c r="E8298" s="4">
        <v>44.0</v>
      </c>
      <c r="F8298" s="4">
        <v>2587.53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3"/>
        <v>39895</v>
      </c>
    </row>
    <row r="8299" ht="12.75" customHeight="1">
      <c r="A8299" s="4">
        <v>5042.0</v>
      </c>
      <c r="B8299" s="4">
        <v>35936.0</v>
      </c>
      <c r="C8299" s="5">
        <f t="shared" ref="C8299:C8300" si="3524">DATE(2012,12,31)-1440</f>
        <v>39834</v>
      </c>
      <c r="D8299" s="4" t="s">
        <v>63</v>
      </c>
      <c r="E8299" s="4">
        <v>41.0</v>
      </c>
      <c r="F8299" s="4">
        <v>312.26</v>
      </c>
      <c r="G8299" s="4">
        <v>0.08</v>
      </c>
      <c r="H8299" s="4" t="s">
        <v>22</v>
      </c>
      <c r="I8299" s="6">
        <v>-10.3845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5">C8299+1</f>
        <v>39835</v>
      </c>
    </row>
    <row r="8300" ht="12.75" customHeight="1">
      <c r="A8300" s="4">
        <v>5043.0</v>
      </c>
      <c r="B8300" s="4">
        <v>35936.0</v>
      </c>
      <c r="C8300" s="5">
        <f t="shared" si="3524"/>
        <v>39834</v>
      </c>
      <c r="D8300" s="4" t="s">
        <v>63</v>
      </c>
      <c r="E8300" s="4">
        <v>40.0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5"/>
        <v>39835</v>
      </c>
    </row>
    <row r="8301" ht="12.75" customHeight="1">
      <c r="A8301" s="4">
        <v>5085.0</v>
      </c>
      <c r="B8301" s="4">
        <v>36257.0</v>
      </c>
      <c r="C8301" s="5">
        <f>DATE(2012,12,31)-308</f>
        <v>40966</v>
      </c>
      <c r="D8301" s="4" t="s">
        <v>30</v>
      </c>
      <c r="E8301" s="4">
        <v>43.0</v>
      </c>
      <c r="F8301" s="4">
        <v>894.51</v>
      </c>
      <c r="G8301" s="4">
        <v>0.08</v>
      </c>
      <c r="H8301" s="4" t="s">
        <v>22</v>
      </c>
      <c r="I8301" s="6">
        <v>294.21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ht="12.75" customHeight="1">
      <c r="A8302" s="4">
        <v>5086.0</v>
      </c>
      <c r="B8302" s="4">
        <v>36262.0</v>
      </c>
      <c r="C8302" s="5">
        <f t="shared" ref="C8302:C8304" si="3526">DATE(2012,12,31)-888</f>
        <v>40386</v>
      </c>
      <c r="D8302" s="4" t="s">
        <v>45</v>
      </c>
      <c r="E8302" s="4">
        <v>23.0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7">C8302+1</f>
        <v>40387</v>
      </c>
    </row>
    <row r="8303" ht="12.75" customHeight="1">
      <c r="A8303" s="4">
        <v>5087.0</v>
      </c>
      <c r="B8303" s="4">
        <v>36262.0</v>
      </c>
      <c r="C8303" s="5">
        <f t="shared" si="3526"/>
        <v>40386</v>
      </c>
      <c r="D8303" s="4" t="s">
        <v>45</v>
      </c>
      <c r="E8303" s="4">
        <v>23.0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</v>
      </c>
      <c r="U8303" s="5">
        <f t="shared" si="3527"/>
        <v>40387</v>
      </c>
    </row>
    <row r="8304" ht="12.75" customHeight="1">
      <c r="A8304" s="4">
        <v>5088.0</v>
      </c>
      <c r="B8304" s="4">
        <v>36262.0</v>
      </c>
      <c r="C8304" s="5">
        <f t="shared" si="3526"/>
        <v>40386</v>
      </c>
      <c r="D8304" s="4" t="s">
        <v>45</v>
      </c>
      <c r="E8304" s="4">
        <v>26.0</v>
      </c>
      <c r="F8304" s="4">
        <v>4701.69</v>
      </c>
      <c r="G8304" s="4">
        <v>0.0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ht="12.75" customHeight="1">
      <c r="A8305" s="4">
        <v>5089.0</v>
      </c>
      <c r="B8305" s="4">
        <v>36292.0</v>
      </c>
      <c r="C8305" s="5">
        <f t="shared" ref="C8305:C8306" si="3528">DATE(2012,12,31)-1058</f>
        <v>40216</v>
      </c>
      <c r="D8305" s="4" t="s">
        <v>78</v>
      </c>
      <c r="E8305" s="4">
        <v>21.0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ht="12.75" customHeight="1">
      <c r="A8306" s="4">
        <v>5090.0</v>
      </c>
      <c r="B8306" s="4">
        <v>36292.0</v>
      </c>
      <c r="C8306" s="5">
        <f t="shared" si="3528"/>
        <v>40216</v>
      </c>
      <c r="D8306" s="4" t="s">
        <v>78</v>
      </c>
      <c r="E8306" s="4">
        <v>37.0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ht="12.75" customHeight="1">
      <c r="A8307" s="4">
        <v>5103.0</v>
      </c>
      <c r="B8307" s="4">
        <v>36357.0</v>
      </c>
      <c r="C8307" s="5">
        <f>DATE(2012,12,31)-352</f>
        <v>40922</v>
      </c>
      <c r="D8307" s="4" t="s">
        <v>45</v>
      </c>
      <c r="E8307" s="4">
        <v>38.0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49.0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9">C8307+1</f>
        <v>40923</v>
      </c>
    </row>
    <row r="8308" ht="12.75" customHeight="1">
      <c r="A8308" s="4">
        <v>5122.0</v>
      </c>
      <c r="B8308" s="4">
        <v>36482.0</v>
      </c>
      <c r="C8308" s="5">
        <f t="shared" ref="C8308:C8310" si="3530">DATE(2012,12,31)-545</f>
        <v>40729</v>
      </c>
      <c r="D8308" s="4" t="s">
        <v>63</v>
      </c>
      <c r="E8308" s="4">
        <v>7.0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9"/>
        <v>40730</v>
      </c>
    </row>
    <row r="8309" ht="12.75" customHeight="1">
      <c r="A8309" s="4">
        <v>5123.0</v>
      </c>
      <c r="B8309" s="4">
        <v>36482.0</v>
      </c>
      <c r="C8309" s="5">
        <f t="shared" si="3530"/>
        <v>40729</v>
      </c>
      <c r="D8309" s="4" t="s">
        <v>63</v>
      </c>
      <c r="E8309" s="4">
        <v>47.0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0.57</v>
      </c>
      <c r="U8309" s="5">
        <f t="shared" si="3529"/>
        <v>40730</v>
      </c>
    </row>
    <row r="8310" ht="12.75" customHeight="1">
      <c r="A8310" s="4">
        <v>5124.0</v>
      </c>
      <c r="B8310" s="4">
        <v>36482.0</v>
      </c>
      <c r="C8310" s="5">
        <f t="shared" si="3530"/>
        <v>40729</v>
      </c>
      <c r="D8310" s="4" t="s">
        <v>63</v>
      </c>
      <c r="E8310" s="4">
        <v>27.0</v>
      </c>
      <c r="F8310" s="4">
        <v>2675.08</v>
      </c>
      <c r="G8310" s="4">
        <v>0.07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ht="12.75" customHeight="1">
      <c r="A8311" s="4">
        <v>5168.0</v>
      </c>
      <c r="B8311" s="4">
        <v>36772.0</v>
      </c>
      <c r="C8311" s="5">
        <f>DATE(2012,12,31)-961</f>
        <v>40313</v>
      </c>
      <c r="D8311" s="4" t="s">
        <v>63</v>
      </c>
      <c r="E8311" s="4">
        <v>47.0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ht="12.75" customHeight="1">
      <c r="A8312" s="4">
        <v>5206.0</v>
      </c>
      <c r="B8312" s="4">
        <v>36998.0</v>
      </c>
      <c r="C8312" s="5">
        <f t="shared" ref="C8312:C8314" si="3531">DATE(2012,12,31)-93</f>
        <v>41181</v>
      </c>
      <c r="D8312" s="4" t="s">
        <v>21</v>
      </c>
      <c r="E8312" s="4">
        <v>50.0</v>
      </c>
      <c r="F8312" s="4">
        <v>481.23</v>
      </c>
      <c r="G8312" s="4">
        <v>0.07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0.57</v>
      </c>
      <c r="U8312" s="5">
        <f>C8312+5</f>
        <v>41186</v>
      </c>
    </row>
    <row r="8313" ht="12.75" customHeight="1">
      <c r="A8313" s="4">
        <v>5207.0</v>
      </c>
      <c r="B8313" s="4">
        <v>36998.0</v>
      </c>
      <c r="C8313" s="5">
        <f t="shared" si="3531"/>
        <v>41181</v>
      </c>
      <c r="D8313" s="4" t="s">
        <v>21</v>
      </c>
      <c r="E8313" s="4">
        <v>41.0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9.54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ht="12.75" customHeight="1">
      <c r="A8314" s="4">
        <v>5208.0</v>
      </c>
      <c r="B8314" s="4">
        <v>36998.0</v>
      </c>
      <c r="C8314" s="5">
        <f t="shared" si="3531"/>
        <v>41181</v>
      </c>
      <c r="D8314" s="4" t="s">
        <v>21</v>
      </c>
      <c r="E8314" s="4">
        <v>8.0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ht="12.75" customHeight="1">
      <c r="A8315" s="4">
        <v>5213.0</v>
      </c>
      <c r="B8315" s="4">
        <v>37095.0</v>
      </c>
      <c r="C8315" s="5">
        <f>DATE(2012,12,31)-1392</f>
        <v>39882</v>
      </c>
      <c r="D8315" s="4" t="s">
        <v>21</v>
      </c>
      <c r="E8315" s="4">
        <v>3.0</v>
      </c>
      <c r="F8315" s="4">
        <v>18888.0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ht="12.75" customHeight="1">
      <c r="A8316" s="4">
        <v>5248.0</v>
      </c>
      <c r="B8316" s="4">
        <v>37319.0</v>
      </c>
      <c r="C8316" s="5">
        <f>DATE(2012,12,31)-1245</f>
        <v>40029</v>
      </c>
      <c r="D8316" s="4" t="s">
        <v>78</v>
      </c>
      <c r="E8316" s="4">
        <v>37.0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2">C8316+2</f>
        <v>40031</v>
      </c>
    </row>
    <row r="8317" ht="12.75" customHeight="1">
      <c r="A8317" s="4">
        <v>5474.0</v>
      </c>
      <c r="B8317" s="4">
        <v>38886.0</v>
      </c>
      <c r="C8317" s="5">
        <f>DATE(2012,12,31)-1242</f>
        <v>40032</v>
      </c>
      <c r="D8317" s="4" t="s">
        <v>30</v>
      </c>
      <c r="E8317" s="4">
        <v>26.0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2"/>
        <v>40034</v>
      </c>
    </row>
    <row r="8318" ht="12.75" customHeight="1">
      <c r="A8318" s="4">
        <v>5523.0</v>
      </c>
      <c r="B8318" s="4">
        <v>39140.0</v>
      </c>
      <c r="C8318" s="5">
        <f>DATE(2012,12,31)-826</f>
        <v>40448</v>
      </c>
      <c r="D8318" s="4" t="s">
        <v>21</v>
      </c>
      <c r="E8318" s="4">
        <v>26.0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ht="12.75" customHeight="1">
      <c r="A8319" s="4">
        <v>5597.0</v>
      </c>
      <c r="B8319" s="4">
        <v>39682.0</v>
      </c>
      <c r="C8319" s="5">
        <f>DATE(2012,12,31)-783</f>
        <v>40491</v>
      </c>
      <c r="D8319" s="4" t="s">
        <v>63</v>
      </c>
      <c r="E8319" s="4">
        <v>43.0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ht="12.75" customHeight="1">
      <c r="A8320" s="4">
        <v>5621.0</v>
      </c>
      <c r="B8320" s="4">
        <v>39813.0</v>
      </c>
      <c r="C8320" s="5">
        <f>DATE(2012,12,31)-333</f>
        <v>40941</v>
      </c>
      <c r="D8320" s="4" t="s">
        <v>78</v>
      </c>
      <c r="E8320" s="4">
        <v>48.0</v>
      </c>
      <c r="F8320" s="4">
        <v>314.34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ht="12.75" customHeight="1">
      <c r="A8321" s="4">
        <v>5644.0</v>
      </c>
      <c r="B8321" s="4">
        <v>39937.0</v>
      </c>
      <c r="C8321" s="5">
        <f>DATE(2012,12,31)-588</f>
        <v>40686</v>
      </c>
      <c r="D8321" s="4" t="s">
        <v>63</v>
      </c>
      <c r="E8321" s="4">
        <v>42.0</v>
      </c>
      <c r="F8321" s="4">
        <v>113.33</v>
      </c>
      <c r="G8321" s="4">
        <v>0.07</v>
      </c>
      <c r="H8321" s="4" t="s">
        <v>22</v>
      </c>
      <c r="I8321" s="6">
        <v>-0.4025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ht="12.75" customHeight="1">
      <c r="A8322" s="4">
        <v>5658.0</v>
      </c>
      <c r="B8322" s="4">
        <v>40034.0</v>
      </c>
      <c r="C8322" s="5">
        <f>DATE(2012,12,31)-662</f>
        <v>40612</v>
      </c>
      <c r="D8322" s="4" t="s">
        <v>63</v>
      </c>
      <c r="E8322" s="4">
        <v>47.0</v>
      </c>
      <c r="F8322" s="4">
        <v>603.69</v>
      </c>
      <c r="G8322" s="4">
        <v>0.0</v>
      </c>
      <c r="H8322" s="4" t="s">
        <v>56</v>
      </c>
      <c r="I8322" s="6">
        <v>131.39</v>
      </c>
      <c r="J8322" s="4">
        <v>12.28</v>
      </c>
      <c r="K8322" s="4">
        <v>4.86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ht="12.75" customHeight="1">
      <c r="A8323" s="4">
        <v>5673.0</v>
      </c>
      <c r="B8323" s="4">
        <v>40128.0</v>
      </c>
      <c r="C8323" s="5">
        <f>DATE(2012,12,31)-1421</f>
        <v>39853</v>
      </c>
      <c r="D8323" s="4" t="s">
        <v>21</v>
      </c>
      <c r="E8323" s="4">
        <v>43.0</v>
      </c>
      <c r="F8323" s="4">
        <v>10318.72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</v>
      </c>
      <c r="U8323" s="5">
        <f>C8323+7</f>
        <v>39860</v>
      </c>
    </row>
    <row r="8324" ht="12.75" customHeight="1">
      <c r="A8324" s="4">
        <v>5720.0</v>
      </c>
      <c r="B8324" s="4">
        <v>40519.0</v>
      </c>
      <c r="C8324" s="5">
        <f>DATE(2012,12,31)-741</f>
        <v>40533</v>
      </c>
      <c r="D8324" s="4" t="s">
        <v>78</v>
      </c>
      <c r="E8324" s="4">
        <v>38.0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ht="12.75" customHeight="1">
      <c r="A8325" s="4">
        <v>5753.0</v>
      </c>
      <c r="B8325" s="4">
        <v>40838.0</v>
      </c>
      <c r="C8325" s="5">
        <f t="shared" ref="C8325:C8326" si="3533">DATE(2012,12,31)-35</f>
        <v>41239</v>
      </c>
      <c r="D8325" s="4" t="s">
        <v>45</v>
      </c>
      <c r="E8325" s="4">
        <v>40.0</v>
      </c>
      <c r="F8325" s="4">
        <v>323.96</v>
      </c>
      <c r="G8325" s="4">
        <v>0.07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ht="12.75" customHeight="1">
      <c r="A8326" s="4">
        <v>5754.0</v>
      </c>
      <c r="B8326" s="4">
        <v>40838.0</v>
      </c>
      <c r="C8326" s="5">
        <f t="shared" si="3533"/>
        <v>41239</v>
      </c>
      <c r="D8326" s="4" t="s">
        <v>45</v>
      </c>
      <c r="E8326" s="4">
        <v>10.0</v>
      </c>
      <c r="F8326" s="4">
        <v>175.85649999999998</v>
      </c>
      <c r="G8326" s="4">
        <v>0.03</v>
      </c>
      <c r="H8326" s="4" t="s">
        <v>22</v>
      </c>
      <c r="I8326" s="6">
        <v>-93.258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ht="12.75" customHeight="1">
      <c r="A8327" s="4">
        <v>5811.0</v>
      </c>
      <c r="B8327" s="4">
        <v>41189.0</v>
      </c>
      <c r="C8327" s="5">
        <f>DATE(2012,12,31)-1266</f>
        <v>40008</v>
      </c>
      <c r="D8327" s="4" t="s">
        <v>21</v>
      </c>
      <c r="E8327" s="4">
        <v>30.0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ht="12.75" customHeight="1">
      <c r="A8328" s="4">
        <v>5818.0</v>
      </c>
      <c r="B8328" s="4">
        <v>41255.0</v>
      </c>
      <c r="C8328" s="5">
        <f>DATE(2012,12,31)-1170</f>
        <v>40104</v>
      </c>
      <c r="D8328" s="4" t="s">
        <v>21</v>
      </c>
      <c r="E8328" s="4">
        <v>22.0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ht="12.75" customHeight="1">
      <c r="A8329" s="4">
        <v>5882.0</v>
      </c>
      <c r="B8329" s="4">
        <v>41760.0</v>
      </c>
      <c r="C8329" s="5">
        <f t="shared" ref="C8329:C8332" si="3534">DATE(2012,12,31)-339</f>
        <v>40935</v>
      </c>
      <c r="D8329" s="4" t="s">
        <v>21</v>
      </c>
      <c r="E8329" s="4">
        <v>21.0</v>
      </c>
      <c r="F8329" s="4">
        <v>6688.66</v>
      </c>
      <c r="G8329" s="4">
        <v>0.04</v>
      </c>
      <c r="H8329" s="4" t="s">
        <v>22</v>
      </c>
      <c r="I8329" s="6">
        <v>2648.0815</v>
      </c>
      <c r="J8329" s="4">
        <v>315.98</v>
      </c>
      <c r="K8329" s="4">
        <v>19.99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ht="12.75" customHeight="1">
      <c r="A8330" s="4">
        <v>5883.0</v>
      </c>
      <c r="B8330" s="4">
        <v>41760.0</v>
      </c>
      <c r="C8330" s="5">
        <f t="shared" si="3534"/>
        <v>40935</v>
      </c>
      <c r="D8330" s="4" t="s">
        <v>21</v>
      </c>
      <c r="E8330" s="4">
        <v>22.0</v>
      </c>
      <c r="F8330" s="4">
        <v>247.45</v>
      </c>
      <c r="G8330" s="4">
        <v>0.0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0.57</v>
      </c>
      <c r="U8330" s="5">
        <f>C8330+7</f>
        <v>40942</v>
      </c>
    </row>
    <row r="8331" ht="12.75" customHeight="1">
      <c r="A8331" s="4">
        <v>5884.0</v>
      </c>
      <c r="B8331" s="4">
        <v>41760.0</v>
      </c>
      <c r="C8331" s="5">
        <f t="shared" si="3534"/>
        <v>40935</v>
      </c>
      <c r="D8331" s="4" t="s">
        <v>21</v>
      </c>
      <c r="E8331" s="4">
        <v>7.0</v>
      </c>
      <c r="F8331" s="4">
        <v>685.7205</v>
      </c>
      <c r="G8331" s="4">
        <v>0.08</v>
      </c>
      <c r="H8331" s="4" t="s">
        <v>22</v>
      </c>
      <c r="I8331" s="6">
        <v>-278.872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0.57</v>
      </c>
      <c r="U8331" s="5">
        <f t="shared" ref="U8331:U8332" si="3535">C8331+5</f>
        <v>40940</v>
      </c>
    </row>
    <row r="8332" ht="12.75" customHeight="1">
      <c r="A8332" s="4">
        <v>5885.0</v>
      </c>
      <c r="B8332" s="4">
        <v>41760.0</v>
      </c>
      <c r="C8332" s="5">
        <f t="shared" si="3534"/>
        <v>40935</v>
      </c>
      <c r="D8332" s="4" t="s">
        <v>21</v>
      </c>
      <c r="E8332" s="4">
        <v>40.0</v>
      </c>
      <c r="F8332" s="4">
        <v>3232.1335</v>
      </c>
      <c r="G8332" s="4">
        <v>0.05</v>
      </c>
      <c r="H8332" s="4" t="s">
        <v>22</v>
      </c>
      <c r="I8332" s="6">
        <v>696.951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0.57</v>
      </c>
      <c r="U8332" s="5">
        <f t="shared" si="3535"/>
        <v>40940</v>
      </c>
    </row>
    <row r="8333" ht="12.75" customHeight="1">
      <c r="A8333" s="4">
        <v>6046.0</v>
      </c>
      <c r="B8333" s="4">
        <v>42852.0</v>
      </c>
      <c r="C8333" s="5">
        <f>DATE(2012,12,31)-1107</f>
        <v>40167</v>
      </c>
      <c r="D8333" s="4" t="s">
        <v>45</v>
      </c>
      <c r="E8333" s="4">
        <v>13.0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ht="12.75" customHeight="1">
      <c r="A8334" s="4">
        <v>6069.0</v>
      </c>
      <c r="B8334" s="4">
        <v>42982.0</v>
      </c>
      <c r="C8334" s="5">
        <f>DATE(2012,12,31)-157</f>
        <v>41117</v>
      </c>
      <c r="D8334" s="4" t="s">
        <v>21</v>
      </c>
      <c r="E8334" s="4">
        <v>42.0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ht="12.75" customHeight="1">
      <c r="A8335" s="4">
        <v>6111.0</v>
      </c>
      <c r="B8335" s="4">
        <v>43298.0</v>
      </c>
      <c r="C8335" s="5">
        <f t="shared" ref="C8335:C8336" si="3536">DATE(2012,12,31)-540</f>
        <v>40734</v>
      </c>
      <c r="D8335" s="4" t="s">
        <v>45</v>
      </c>
      <c r="E8335" s="4">
        <v>33.0</v>
      </c>
      <c r="F8335" s="4">
        <v>5964.19</v>
      </c>
      <c r="G8335" s="4">
        <v>0.1</v>
      </c>
      <c r="H8335" s="4" t="s">
        <v>22</v>
      </c>
      <c r="I8335" s="6">
        <v>988.1990000000001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7">C8335+2</f>
        <v>40736</v>
      </c>
    </row>
    <row r="8336" ht="12.75" customHeight="1">
      <c r="A8336" s="4">
        <v>6112.0</v>
      </c>
      <c r="B8336" s="4">
        <v>43298.0</v>
      </c>
      <c r="C8336" s="5">
        <f t="shared" si="3536"/>
        <v>40734</v>
      </c>
      <c r="D8336" s="4" t="s">
        <v>45</v>
      </c>
      <c r="E8336" s="4">
        <v>15.0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7"/>
        <v>40736</v>
      </c>
    </row>
    <row r="8337" ht="12.75" customHeight="1">
      <c r="A8337" s="4">
        <v>6288.0</v>
      </c>
      <c r="B8337" s="4">
        <v>44516.0</v>
      </c>
      <c r="C8337" s="5">
        <f>DATE(2012,12,31)-551</f>
        <v>40723</v>
      </c>
      <c r="D8337" s="4" t="s">
        <v>78</v>
      </c>
      <c r="E8337" s="4">
        <v>17.0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</v>
      </c>
      <c r="U8337" s="5">
        <f>C8337+0</f>
        <v>40723</v>
      </c>
    </row>
    <row r="8338" ht="12.75" customHeight="1">
      <c r="A8338" s="4">
        <v>6357.0</v>
      </c>
      <c r="B8338" s="4">
        <v>45088.0</v>
      </c>
      <c r="C8338" s="5">
        <f>DATE(2012,12,31)-770</f>
        <v>40504</v>
      </c>
      <c r="D8338" s="4" t="s">
        <v>21</v>
      </c>
      <c r="E8338" s="4">
        <v>9.0</v>
      </c>
      <c r="F8338" s="4">
        <v>1418.956</v>
      </c>
      <c r="G8338" s="4">
        <v>0.09</v>
      </c>
      <c r="H8338" s="4" t="s">
        <v>22</v>
      </c>
      <c r="I8338" s="6">
        <v>-447.414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ht="12.75" customHeight="1">
      <c r="A8339" s="4">
        <v>6555.0</v>
      </c>
      <c r="B8339" s="4">
        <v>46599.0</v>
      </c>
      <c r="C8339" s="5">
        <f>DATE(2012,12,31)-840</f>
        <v>40434</v>
      </c>
      <c r="D8339" s="4" t="s">
        <v>45</v>
      </c>
      <c r="E8339" s="4">
        <v>4.0</v>
      </c>
      <c r="F8339" s="4">
        <v>284.0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ht="12.75" customHeight="1">
      <c r="A8340" s="4">
        <v>6681.0</v>
      </c>
      <c r="B8340" s="4">
        <v>47524.0</v>
      </c>
      <c r="C8340" s="5">
        <f>DATE(2012,12,31)-991</f>
        <v>40283</v>
      </c>
      <c r="D8340" s="4" t="s">
        <v>63</v>
      </c>
      <c r="E8340" s="4">
        <v>8.0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ht="12.75" customHeight="1">
      <c r="A8341" s="4">
        <v>6741.0</v>
      </c>
      <c r="B8341" s="4">
        <v>48000.0</v>
      </c>
      <c r="C8341" s="5">
        <f>DATE(2012,12,31)-140</f>
        <v>41134</v>
      </c>
      <c r="D8341" s="4" t="s">
        <v>30</v>
      </c>
      <c r="E8341" s="4">
        <v>12.0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ht="12.75" customHeight="1">
      <c r="A8342" s="4">
        <v>6790.0</v>
      </c>
      <c r="B8342" s="4">
        <v>48385.0</v>
      </c>
      <c r="C8342" s="5">
        <f>DATE(2012,12,31)-1200</f>
        <v>40074</v>
      </c>
      <c r="D8342" s="4" t="s">
        <v>63</v>
      </c>
      <c r="E8342" s="4">
        <v>16.0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ht="12.75" customHeight="1">
      <c r="A8343" s="4">
        <v>6945.0</v>
      </c>
      <c r="B8343" s="4">
        <v>49602.0</v>
      </c>
      <c r="C8343" s="5">
        <f>DATE(2012,12,31)-298</f>
        <v>40976</v>
      </c>
      <c r="D8343" s="4" t="s">
        <v>45</v>
      </c>
      <c r="E8343" s="4">
        <v>31.0</v>
      </c>
      <c r="F8343" s="4">
        <v>4878.64</v>
      </c>
      <c r="G8343" s="4">
        <v>0.03</v>
      </c>
      <c r="H8343" s="4" t="s">
        <v>31</v>
      </c>
      <c r="I8343" s="6">
        <v>-519.94</v>
      </c>
      <c r="J8343" s="4">
        <v>150.98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ht="12.75" customHeight="1">
      <c r="A8344" s="4">
        <v>7026.0</v>
      </c>
      <c r="B8344" s="4">
        <v>50146.0</v>
      </c>
      <c r="C8344" s="5">
        <f>DATE(2012,12,31)-875</f>
        <v>40399</v>
      </c>
      <c r="D8344" s="4" t="s">
        <v>45</v>
      </c>
      <c r="E8344" s="4">
        <v>32.0</v>
      </c>
      <c r="F8344" s="4">
        <v>2288.642</v>
      </c>
      <c r="G8344" s="4">
        <v>0.05</v>
      </c>
      <c r="H8344" s="4" t="s">
        <v>22</v>
      </c>
      <c r="I8344" s="6">
        <v>519.5880000000001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0.58</v>
      </c>
      <c r="U8344" s="5">
        <f>C8344+0</f>
        <v>40399</v>
      </c>
    </row>
    <row r="8345" ht="12.75" customHeight="1">
      <c r="A8345" s="4">
        <v>7029.0</v>
      </c>
      <c r="B8345" s="4">
        <v>50148.0</v>
      </c>
      <c r="C8345" s="5">
        <f>DATE(2012,12,31)-334</f>
        <v>40940</v>
      </c>
      <c r="D8345" s="4" t="s">
        <v>63</v>
      </c>
      <c r="E8345" s="4">
        <v>9.0</v>
      </c>
      <c r="F8345" s="4">
        <v>17965.45</v>
      </c>
      <c r="G8345" s="4">
        <v>0.0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8">C8345+2</f>
        <v>40942</v>
      </c>
    </row>
    <row r="8346" ht="12.75" customHeight="1">
      <c r="A8346" s="4">
        <v>7090.0</v>
      </c>
      <c r="B8346" s="4">
        <v>50594.0</v>
      </c>
      <c r="C8346" s="5">
        <f t="shared" ref="C8346:C8347" si="3539">DATE(2012,12,31)-959</f>
        <v>40315</v>
      </c>
      <c r="D8346" s="4" t="s">
        <v>21</v>
      </c>
      <c r="E8346" s="4">
        <v>39.0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8"/>
        <v>40317</v>
      </c>
    </row>
    <row r="8347" ht="12.75" customHeight="1">
      <c r="A8347" s="4">
        <v>7091.0</v>
      </c>
      <c r="B8347" s="4">
        <v>50594.0</v>
      </c>
      <c r="C8347" s="5">
        <f t="shared" si="3539"/>
        <v>40315</v>
      </c>
      <c r="D8347" s="4" t="s">
        <v>21</v>
      </c>
      <c r="E8347" s="4">
        <v>48.0</v>
      </c>
      <c r="F8347" s="4">
        <v>2832.88</v>
      </c>
      <c r="G8347" s="4">
        <v>0.01</v>
      </c>
      <c r="H8347" s="4" t="s">
        <v>22</v>
      </c>
      <c r="I8347" s="6">
        <v>668.961</v>
      </c>
      <c r="J8347" s="4">
        <v>65.99</v>
      </c>
      <c r="K8347" s="4">
        <v>8.8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0.58</v>
      </c>
      <c r="U8347" s="5">
        <f>C8347+9</f>
        <v>40324</v>
      </c>
    </row>
    <row r="8348" ht="12.75" customHeight="1">
      <c r="A8348" s="4">
        <v>7109.0</v>
      </c>
      <c r="B8348" s="4">
        <v>50726.0</v>
      </c>
      <c r="C8348" s="5">
        <f t="shared" ref="C8348:C8349" si="3540">DATE(2012,12,31)-427</f>
        <v>40847</v>
      </c>
      <c r="D8348" s="4" t="s">
        <v>21</v>
      </c>
      <c r="E8348" s="4">
        <v>45.0</v>
      </c>
      <c r="F8348" s="4">
        <v>9248.74</v>
      </c>
      <c r="G8348" s="4">
        <v>0.0</v>
      </c>
      <c r="H8348" s="4" t="s">
        <v>31</v>
      </c>
      <c r="I8348" s="6">
        <v>2532.0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0.58</v>
      </c>
      <c r="U8348" s="5">
        <f>C8348+4</f>
        <v>40851</v>
      </c>
    </row>
    <row r="8349" ht="12.75" customHeight="1">
      <c r="A8349" s="4">
        <v>7110.0</v>
      </c>
      <c r="B8349" s="4">
        <v>50726.0</v>
      </c>
      <c r="C8349" s="5">
        <f t="shared" si="3540"/>
        <v>40847</v>
      </c>
      <c r="D8349" s="4" t="s">
        <v>21</v>
      </c>
      <c r="E8349" s="4">
        <v>21.0</v>
      </c>
      <c r="F8349" s="4">
        <v>98.88</v>
      </c>
      <c r="G8349" s="4">
        <v>0.07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ht="12.75" customHeight="1">
      <c r="A8350" s="4">
        <v>7119.0</v>
      </c>
      <c r="B8350" s="4">
        <v>50790.0</v>
      </c>
      <c r="C8350" s="5">
        <f>DATE(2012,12,31)-534</f>
        <v>40740</v>
      </c>
      <c r="D8350" s="4" t="s">
        <v>78</v>
      </c>
      <c r="E8350" s="4">
        <v>47.0</v>
      </c>
      <c r="F8350" s="4">
        <v>255.65</v>
      </c>
      <c r="G8350" s="4">
        <v>0.0</v>
      </c>
      <c r="H8350" s="4" t="s">
        <v>22</v>
      </c>
      <c r="I8350" s="6">
        <v>-148.8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ht="12.75" customHeight="1">
      <c r="A8351" s="4">
        <v>7206.0</v>
      </c>
      <c r="B8351" s="4">
        <v>51424.0</v>
      </c>
      <c r="C8351" s="5">
        <f t="shared" ref="C8351:C8352" si="3541">DATE(2012,12,31)-357</f>
        <v>40917</v>
      </c>
      <c r="D8351" s="4" t="s">
        <v>45</v>
      </c>
      <c r="E8351" s="4">
        <v>48.0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ht="12.75" customHeight="1">
      <c r="A8352" s="4">
        <v>7207.0</v>
      </c>
      <c r="B8352" s="4">
        <v>51424.0</v>
      </c>
      <c r="C8352" s="5">
        <f t="shared" si="3541"/>
        <v>40917</v>
      </c>
      <c r="D8352" s="4" t="s">
        <v>45</v>
      </c>
      <c r="E8352" s="4">
        <v>5.0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16.74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ht="12.75" customHeight="1">
      <c r="A8353" s="4">
        <v>7268.0</v>
      </c>
      <c r="B8353" s="4">
        <v>51872.0</v>
      </c>
      <c r="C8353" s="5">
        <f t="shared" ref="C8353:C8355" si="3542">DATE(2012,12,31)-252</f>
        <v>41022</v>
      </c>
      <c r="D8353" s="4" t="s">
        <v>63</v>
      </c>
      <c r="E8353" s="4">
        <v>10.0</v>
      </c>
      <c r="F8353" s="4">
        <v>2193.93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ht="12.75" customHeight="1">
      <c r="A8354" s="4">
        <v>7269.0</v>
      </c>
      <c r="B8354" s="4">
        <v>51872.0</v>
      </c>
      <c r="C8354" s="5">
        <f t="shared" si="3542"/>
        <v>41022</v>
      </c>
      <c r="D8354" s="4" t="s">
        <v>63</v>
      </c>
      <c r="E8354" s="4">
        <v>11.0</v>
      </c>
      <c r="F8354" s="4">
        <v>812.4979999999999</v>
      </c>
      <c r="G8354" s="4">
        <v>0.0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ht="12.75" customHeight="1">
      <c r="A8355" s="4">
        <v>7270.0</v>
      </c>
      <c r="B8355" s="4">
        <v>51872.0</v>
      </c>
      <c r="C8355" s="5">
        <f t="shared" si="3542"/>
        <v>41022</v>
      </c>
      <c r="D8355" s="4" t="s">
        <v>63</v>
      </c>
      <c r="E8355" s="4">
        <v>37.0</v>
      </c>
      <c r="F8355" s="4">
        <v>4657.6515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</v>
      </c>
      <c r="U8355" s="5">
        <f>C8355+3</f>
        <v>41025</v>
      </c>
    </row>
    <row r="8356" ht="12.75" customHeight="1">
      <c r="A8356" s="4">
        <v>7331.0</v>
      </c>
      <c r="B8356" s="4">
        <v>52230.0</v>
      </c>
      <c r="C8356" s="5">
        <f>DATE(2012,12,31)-123</f>
        <v>41151</v>
      </c>
      <c r="D8356" s="4" t="s">
        <v>78</v>
      </c>
      <c r="E8356" s="4">
        <v>29.0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0.58</v>
      </c>
      <c r="U8356" s="5">
        <f>C8356+2</f>
        <v>41153</v>
      </c>
    </row>
    <row r="8357" ht="12.75" customHeight="1">
      <c r="A8357" s="4">
        <v>7371.0</v>
      </c>
      <c r="B8357" s="4">
        <v>52518.0</v>
      </c>
      <c r="C8357" s="5">
        <f>DATE(2012,12,31)-272</f>
        <v>41002</v>
      </c>
      <c r="D8357" s="4" t="s">
        <v>78</v>
      </c>
      <c r="E8357" s="4">
        <v>8.0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4.0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3">C8357+1</f>
        <v>41003</v>
      </c>
    </row>
    <row r="8358" ht="12.75" customHeight="1">
      <c r="A8358" s="4">
        <v>7390.0</v>
      </c>
      <c r="B8358" s="4">
        <v>52673.0</v>
      </c>
      <c r="C8358" s="5">
        <f t="shared" ref="C8358:C8359" si="3544">DATE(2012,12,31)-237</f>
        <v>41037</v>
      </c>
      <c r="D8358" s="4" t="s">
        <v>63</v>
      </c>
      <c r="E8358" s="4">
        <v>14.0</v>
      </c>
      <c r="F8358" s="4">
        <v>2045.066</v>
      </c>
      <c r="G8358" s="4">
        <v>0.07</v>
      </c>
      <c r="H8358" s="4" t="s">
        <v>22</v>
      </c>
      <c r="I8358" s="6">
        <v>-4.675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0.57</v>
      </c>
      <c r="U8358" s="5">
        <f t="shared" si="3543"/>
        <v>41038</v>
      </c>
    </row>
    <row r="8359" ht="12.75" customHeight="1">
      <c r="A8359" s="4">
        <v>7391.0</v>
      </c>
      <c r="B8359" s="4">
        <v>52673.0</v>
      </c>
      <c r="C8359" s="5">
        <f t="shared" si="3544"/>
        <v>41037</v>
      </c>
      <c r="D8359" s="4" t="s">
        <v>63</v>
      </c>
      <c r="E8359" s="4">
        <v>4.0</v>
      </c>
      <c r="F8359" s="4">
        <v>26.41</v>
      </c>
      <c r="G8359" s="4">
        <v>0.05</v>
      </c>
      <c r="H8359" s="4" t="s">
        <v>22</v>
      </c>
      <c r="I8359" s="6">
        <v>-16.5255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ht="12.75" customHeight="1">
      <c r="A8360" s="4">
        <v>7438.0</v>
      </c>
      <c r="B8360" s="4">
        <v>53026.0</v>
      </c>
      <c r="C8360" s="5">
        <f>DATE(2012,12,31)-309</f>
        <v>40965</v>
      </c>
      <c r="D8360" s="4" t="s">
        <v>21</v>
      </c>
      <c r="E8360" s="4">
        <v>35.0</v>
      </c>
      <c r="F8360" s="4">
        <v>322.82</v>
      </c>
      <c r="G8360" s="4">
        <v>0.05</v>
      </c>
      <c r="H8360" s="4" t="s">
        <v>22</v>
      </c>
      <c r="I8360" s="6">
        <v>-17.58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</v>
      </c>
      <c r="U8360" s="5">
        <f>C8360+6</f>
        <v>40971</v>
      </c>
    </row>
    <row r="8361" ht="12.75" customHeight="1">
      <c r="A8361" s="4">
        <v>7549.0</v>
      </c>
      <c r="B8361" s="4">
        <v>54019.0</v>
      </c>
      <c r="C8361" s="5">
        <f>DATE(2012,12,31)-1279</f>
        <v>39995</v>
      </c>
      <c r="D8361" s="4" t="s">
        <v>21</v>
      </c>
      <c r="E8361" s="4">
        <v>35.0</v>
      </c>
      <c r="F8361" s="4">
        <v>4233.15</v>
      </c>
      <c r="G8361" s="4">
        <v>0.08</v>
      </c>
      <c r="H8361" s="4" t="s">
        <v>31</v>
      </c>
      <c r="I8361" s="6">
        <v>1219.87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ht="12.75" customHeight="1">
      <c r="A8362" s="4">
        <v>7658.0</v>
      </c>
      <c r="B8362" s="4">
        <v>54913.0</v>
      </c>
      <c r="C8362" s="5">
        <f>DATE(2012,12,31)-912</f>
        <v>40362</v>
      </c>
      <c r="D8362" s="4" t="s">
        <v>30</v>
      </c>
      <c r="E8362" s="4">
        <v>11.0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5">C8362+2</f>
        <v>40364</v>
      </c>
    </row>
    <row r="8363" ht="12.75" customHeight="1">
      <c r="A8363" s="4">
        <v>7738.0</v>
      </c>
      <c r="B8363" s="4">
        <v>55424.0</v>
      </c>
      <c r="C8363" s="5">
        <f>DATE(2012,12,31)-1035</f>
        <v>40239</v>
      </c>
      <c r="D8363" s="4" t="s">
        <v>63</v>
      </c>
      <c r="E8363" s="4">
        <v>6.0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5"/>
        <v>40241</v>
      </c>
    </row>
    <row r="8364" ht="12.75" customHeight="1">
      <c r="A8364" s="4">
        <v>7812.0</v>
      </c>
      <c r="B8364" s="4">
        <v>55874.0</v>
      </c>
      <c r="C8364" s="5">
        <f>DATE(2012,12,31)-1414</f>
        <v>39860</v>
      </c>
      <c r="D8364" s="4" t="s">
        <v>63</v>
      </c>
      <c r="E8364" s="4">
        <v>24.0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ht="12.75" customHeight="1">
      <c r="A8365" s="4">
        <v>7878.0</v>
      </c>
      <c r="B8365" s="4">
        <v>56327.0</v>
      </c>
      <c r="C8365" s="5">
        <f t="shared" ref="C8365:C8367" si="3546">DATE(2012,12,31)-1085</f>
        <v>40189</v>
      </c>
      <c r="D8365" s="4" t="s">
        <v>63</v>
      </c>
      <c r="E8365" s="4">
        <v>42.0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ht="12.75" customHeight="1">
      <c r="A8366" s="4">
        <v>7879.0</v>
      </c>
      <c r="B8366" s="4">
        <v>56327.0</v>
      </c>
      <c r="C8366" s="5">
        <f t="shared" si="3546"/>
        <v>40189</v>
      </c>
      <c r="D8366" s="4" t="s">
        <v>63</v>
      </c>
      <c r="E8366" s="4">
        <v>11.0</v>
      </c>
      <c r="F8366" s="4">
        <v>2164.07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0.57</v>
      </c>
      <c r="U8366" s="5">
        <f>C8366+2</f>
        <v>40191</v>
      </c>
    </row>
    <row r="8367" ht="12.75" customHeight="1">
      <c r="A8367" s="4">
        <v>7880.0</v>
      </c>
      <c r="B8367" s="4">
        <v>56327.0</v>
      </c>
      <c r="C8367" s="5">
        <f t="shared" si="3546"/>
        <v>40189</v>
      </c>
      <c r="D8367" s="4" t="s">
        <v>63</v>
      </c>
      <c r="E8367" s="4">
        <v>47.0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7">C8367+1</f>
        <v>40190</v>
      </c>
    </row>
    <row r="8368" ht="12.75" customHeight="1">
      <c r="A8368" s="4">
        <v>7933.0</v>
      </c>
      <c r="B8368" s="4">
        <v>56706.0</v>
      </c>
      <c r="C8368" s="5">
        <f>DATE(2012,12,31)-1147</f>
        <v>40127</v>
      </c>
      <c r="D8368" s="4" t="s">
        <v>30</v>
      </c>
      <c r="E8368" s="4">
        <v>7.0</v>
      </c>
      <c r="F8368" s="4">
        <v>754.92</v>
      </c>
      <c r="G8368" s="4">
        <v>0.0</v>
      </c>
      <c r="H8368" s="4" t="s">
        <v>22</v>
      </c>
      <c r="I8368" s="6">
        <v>-129.5691</v>
      </c>
      <c r="J8368" s="4">
        <v>99.99</v>
      </c>
      <c r="K8368" s="4">
        <v>19.99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7"/>
        <v>40128</v>
      </c>
    </row>
    <row r="8369" ht="12.75" customHeight="1">
      <c r="A8369" s="4">
        <v>7991.0</v>
      </c>
      <c r="B8369" s="4">
        <v>57125.0</v>
      </c>
      <c r="C8369" s="5">
        <f t="shared" ref="C8369:C8370" si="3548">DATE(2012,12,31)-942</f>
        <v>40332</v>
      </c>
      <c r="D8369" s="4" t="s">
        <v>63</v>
      </c>
      <c r="E8369" s="4">
        <v>19.0</v>
      </c>
      <c r="F8369" s="4">
        <v>61.02</v>
      </c>
      <c r="G8369" s="4">
        <v>0.0</v>
      </c>
      <c r="H8369" s="4" t="s">
        <v>22</v>
      </c>
      <c r="I8369" s="6">
        <v>-71.0355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9">C8369+2</f>
        <v>40334</v>
      </c>
    </row>
    <row r="8370" ht="12.75" customHeight="1">
      <c r="A8370" s="4">
        <v>7992.0</v>
      </c>
      <c r="B8370" s="4">
        <v>57125.0</v>
      </c>
      <c r="C8370" s="5">
        <f t="shared" si="3548"/>
        <v>40332</v>
      </c>
      <c r="D8370" s="4" t="s">
        <v>63</v>
      </c>
      <c r="E8370" s="4">
        <v>31.0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9"/>
        <v>40334</v>
      </c>
    </row>
    <row r="8371" ht="12.75" customHeight="1">
      <c r="A8371" s="4">
        <v>7994.0</v>
      </c>
      <c r="B8371" s="4">
        <v>57152.0</v>
      </c>
      <c r="C8371" s="5">
        <f t="shared" ref="C8371:C8372" si="3550">DATE(2012,12,31)-119</f>
        <v>41155</v>
      </c>
      <c r="D8371" s="4" t="s">
        <v>21</v>
      </c>
      <c r="E8371" s="4">
        <v>6.0</v>
      </c>
      <c r="F8371" s="4">
        <v>22.89</v>
      </c>
      <c r="G8371" s="4">
        <v>0.08</v>
      </c>
      <c r="H8371" s="4" t="s">
        <v>22</v>
      </c>
      <c r="I8371" s="6">
        <v>-2.6565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ht="12.75" customHeight="1">
      <c r="A8372" s="4">
        <v>7995.0</v>
      </c>
      <c r="B8372" s="4">
        <v>57152.0</v>
      </c>
      <c r="C8372" s="5">
        <f t="shared" si="3550"/>
        <v>41155</v>
      </c>
      <c r="D8372" s="4" t="s">
        <v>21</v>
      </c>
      <c r="E8372" s="4">
        <v>18.0</v>
      </c>
      <c r="F8372" s="4">
        <v>271.85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ht="12.75" customHeight="1">
      <c r="A8373" s="4">
        <v>8006.0</v>
      </c>
      <c r="B8373" s="4">
        <v>57216.0</v>
      </c>
      <c r="C8373" s="5">
        <f t="shared" ref="C8373:C8374" si="3551">DATE(2012,12,31)-886</f>
        <v>40388</v>
      </c>
      <c r="D8373" s="4" t="s">
        <v>30</v>
      </c>
      <c r="E8373" s="4">
        <v>46.0</v>
      </c>
      <c r="F8373" s="4">
        <v>12719.7</v>
      </c>
      <c r="G8373" s="4">
        <v>0.03</v>
      </c>
      <c r="H8373" s="4" t="s">
        <v>31</v>
      </c>
      <c r="I8373" s="6">
        <v>-545.82</v>
      </c>
      <c r="J8373" s="4">
        <v>280.98</v>
      </c>
      <c r="K8373" s="4">
        <v>57.0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ht="12.75" customHeight="1">
      <c r="A8374" s="4">
        <v>8007.0</v>
      </c>
      <c r="B8374" s="4">
        <v>57216.0</v>
      </c>
      <c r="C8374" s="5">
        <f t="shared" si="3551"/>
        <v>40388</v>
      </c>
      <c r="D8374" s="4" t="s">
        <v>30</v>
      </c>
      <c r="E8374" s="4">
        <v>48.0</v>
      </c>
      <c r="F8374" s="4">
        <v>109.78</v>
      </c>
      <c r="G8374" s="4">
        <v>0.03</v>
      </c>
      <c r="H8374" s="4" t="s">
        <v>22</v>
      </c>
      <c r="I8374" s="6">
        <v>4.48</v>
      </c>
      <c r="J8374" s="4">
        <v>2.2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ht="12.75" customHeight="1">
      <c r="A8375" s="4">
        <v>8017.0</v>
      </c>
      <c r="B8375" s="4">
        <v>57281.0</v>
      </c>
      <c r="C8375" s="5">
        <f t="shared" ref="C8375:C8376" si="3552">DATE(2012,12,31)-986</f>
        <v>40288</v>
      </c>
      <c r="D8375" s="4" t="s">
        <v>30</v>
      </c>
      <c r="E8375" s="4">
        <v>26.0</v>
      </c>
      <c r="F8375" s="4">
        <v>561.66</v>
      </c>
      <c r="G8375" s="4">
        <v>0.07</v>
      </c>
      <c r="H8375" s="4" t="s">
        <v>22</v>
      </c>
      <c r="I8375" s="6">
        <v>-111.3315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ht="12.75" customHeight="1">
      <c r="A8376" s="4">
        <v>8018.0</v>
      </c>
      <c r="B8376" s="4">
        <v>57281.0</v>
      </c>
      <c r="C8376" s="5">
        <f t="shared" si="3552"/>
        <v>40288</v>
      </c>
      <c r="D8376" s="4" t="s">
        <v>30</v>
      </c>
      <c r="E8376" s="4">
        <v>19.0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3">C8376+2</f>
        <v>40290</v>
      </c>
    </row>
    <row r="8377" ht="12.75" customHeight="1">
      <c r="A8377" s="4">
        <v>8102.0</v>
      </c>
      <c r="B8377" s="4">
        <v>57827.0</v>
      </c>
      <c r="C8377" s="5">
        <f t="shared" ref="C8377:C8378" si="3554">DATE(2012,12,31)-1278</f>
        <v>39996</v>
      </c>
      <c r="D8377" s="4" t="s">
        <v>63</v>
      </c>
      <c r="E8377" s="4">
        <v>24.0</v>
      </c>
      <c r="F8377" s="4">
        <v>2453.3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3"/>
        <v>39998</v>
      </c>
    </row>
    <row r="8378" ht="12.75" customHeight="1">
      <c r="A8378" s="4">
        <v>8103.0</v>
      </c>
      <c r="B8378" s="4">
        <v>57827.0</v>
      </c>
      <c r="C8378" s="5">
        <f t="shared" si="3554"/>
        <v>39996</v>
      </c>
      <c r="D8378" s="4" t="s">
        <v>63</v>
      </c>
      <c r="E8378" s="4">
        <v>29.0</v>
      </c>
      <c r="F8378" s="4">
        <v>147.02</v>
      </c>
      <c r="G8378" s="4">
        <v>0.02</v>
      </c>
      <c r="H8378" s="4" t="s">
        <v>22</v>
      </c>
      <c r="I8378" s="6">
        <v>-77.03</v>
      </c>
      <c r="J8378" s="4">
        <v>4.98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5">C8378+1</f>
        <v>39997</v>
      </c>
    </row>
    <row r="8379" ht="12.75" customHeight="1">
      <c r="A8379" s="4">
        <v>8247.0</v>
      </c>
      <c r="B8379" s="4">
        <v>58949.0</v>
      </c>
      <c r="C8379" s="5">
        <f>DATE(2012,12,31)-15</f>
        <v>41259</v>
      </c>
      <c r="D8379" s="4" t="s">
        <v>78</v>
      </c>
      <c r="E8379" s="4">
        <v>50.0</v>
      </c>
      <c r="F8379" s="4">
        <v>1558.9424999999999</v>
      </c>
      <c r="G8379" s="4">
        <v>0.02</v>
      </c>
      <c r="H8379" s="4" t="s">
        <v>22</v>
      </c>
      <c r="I8379" s="6">
        <v>548.442</v>
      </c>
      <c r="J8379" s="4">
        <v>35.99</v>
      </c>
      <c r="K8379" s="4">
        <v>1.1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</v>
      </c>
      <c r="U8379" s="5">
        <f t="shared" si="3555"/>
        <v>41260</v>
      </c>
    </row>
    <row r="8380" ht="12.75" customHeight="1">
      <c r="A8380" s="4">
        <v>188.0</v>
      </c>
      <c r="B8380" s="4">
        <v>1222.0</v>
      </c>
      <c r="C8380" s="5">
        <f>DATE(2012,12,31)-1061</f>
        <v>40213</v>
      </c>
      <c r="D8380" s="4" t="s">
        <v>63</v>
      </c>
      <c r="E8380" s="4">
        <v>48.0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ht="12.75" customHeight="1">
      <c r="A8381" s="4">
        <v>805.0</v>
      </c>
      <c r="B8381" s="4">
        <v>5767.0</v>
      </c>
      <c r="C8381" s="5">
        <f t="shared" ref="C8381:C8382" si="3556">DATE(2012,12,31)-247</f>
        <v>41027</v>
      </c>
      <c r="D8381" s="4" t="s">
        <v>30</v>
      </c>
      <c r="E8381" s="4">
        <v>36.0</v>
      </c>
      <c r="F8381" s="4">
        <v>163.54</v>
      </c>
      <c r="G8381" s="4">
        <v>0.03</v>
      </c>
      <c r="H8381" s="4" t="s">
        <v>56</v>
      </c>
      <c r="I8381" s="6">
        <v>-95.059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ht="12.75" customHeight="1">
      <c r="A8382" s="4">
        <v>806.0</v>
      </c>
      <c r="B8382" s="4">
        <v>5767.0</v>
      </c>
      <c r="C8382" s="5">
        <f t="shared" si="3556"/>
        <v>41027</v>
      </c>
      <c r="D8382" s="4" t="s">
        <v>30</v>
      </c>
      <c r="E8382" s="4">
        <v>31.0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ht="12.75" customHeight="1">
      <c r="A8383" s="4">
        <v>1219.0</v>
      </c>
      <c r="B8383" s="4">
        <v>8961.0</v>
      </c>
      <c r="C8383" s="5">
        <f>DATE(2012,12,31)-552</f>
        <v>40722</v>
      </c>
      <c r="D8383" s="4" t="s">
        <v>21</v>
      </c>
      <c r="E8383" s="4">
        <v>48.0</v>
      </c>
      <c r="F8383" s="4">
        <v>4644.87</v>
      </c>
      <c r="G8383" s="4">
        <v>0.08</v>
      </c>
      <c r="H8383" s="4" t="s">
        <v>31</v>
      </c>
      <c r="I8383" s="6">
        <v>-1291.39</v>
      </c>
      <c r="J8383" s="4">
        <v>100.8</v>
      </c>
      <c r="K8383" s="4">
        <v>60.0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ht="12.75" customHeight="1">
      <c r="A8384" s="4">
        <v>1617.0</v>
      </c>
      <c r="B8384" s="4">
        <v>11712.0</v>
      </c>
      <c r="C8384" s="5">
        <f>DATE(2012,12,31)-1345</f>
        <v>39929</v>
      </c>
      <c r="D8384" s="4" t="s">
        <v>21</v>
      </c>
      <c r="E8384" s="4">
        <v>9.0</v>
      </c>
      <c r="F8384" s="4">
        <v>38.96</v>
      </c>
      <c r="G8384" s="4">
        <v>0.06</v>
      </c>
      <c r="H8384" s="4" t="s">
        <v>22</v>
      </c>
      <c r="I8384" s="6">
        <v>0.3699999999999992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</v>
      </c>
      <c r="U8384" s="5">
        <f>C8384+2</f>
        <v>39931</v>
      </c>
    </row>
    <row r="8385" ht="12.75" customHeight="1">
      <c r="A8385" s="4">
        <v>2082.0</v>
      </c>
      <c r="B8385" s="4">
        <v>14883.0</v>
      </c>
      <c r="C8385" s="5">
        <f t="shared" ref="C8385:C8386" si="3557">DATE(2012,12,31)-605</f>
        <v>40669</v>
      </c>
      <c r="D8385" s="4" t="s">
        <v>21</v>
      </c>
      <c r="E8385" s="4">
        <v>38.0</v>
      </c>
      <c r="F8385" s="4">
        <v>978.4</v>
      </c>
      <c r="G8385" s="4">
        <v>0.07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ht="12.75" customHeight="1">
      <c r="A8386" s="4">
        <v>2083.0</v>
      </c>
      <c r="B8386" s="4">
        <v>14883.0</v>
      </c>
      <c r="C8386" s="5">
        <f t="shared" si="3557"/>
        <v>40669</v>
      </c>
      <c r="D8386" s="4" t="s">
        <v>21</v>
      </c>
      <c r="E8386" s="4">
        <v>47.0</v>
      </c>
      <c r="F8386" s="4">
        <v>5126.418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ht="12.75" customHeight="1">
      <c r="A8387" s="4">
        <v>2800.0</v>
      </c>
      <c r="B8387" s="4">
        <v>20193.0</v>
      </c>
      <c r="C8387" s="5">
        <f>DATE(2012,12,31)-785</f>
        <v>40489</v>
      </c>
      <c r="D8387" s="4" t="s">
        <v>63</v>
      </c>
      <c r="E8387" s="4">
        <v>23.0</v>
      </c>
      <c r="F8387" s="4">
        <v>82.12</v>
      </c>
      <c r="G8387" s="4">
        <v>0.07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ht="12.75" customHeight="1">
      <c r="A8388" s="4">
        <v>5166.0</v>
      </c>
      <c r="B8388" s="4">
        <v>36772.0</v>
      </c>
      <c r="C8388" s="5">
        <f t="shared" ref="C8388:C8389" si="3558">DATE(2012,12,31)-961</f>
        <v>40313</v>
      </c>
      <c r="D8388" s="4" t="s">
        <v>63</v>
      </c>
      <c r="E8388" s="4">
        <v>8.0</v>
      </c>
      <c r="F8388" s="4">
        <v>22.85</v>
      </c>
      <c r="G8388" s="4">
        <v>0.07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ht="12.75" customHeight="1">
      <c r="A8389" s="4">
        <v>5167.0</v>
      </c>
      <c r="B8389" s="4">
        <v>36772.0</v>
      </c>
      <c r="C8389" s="5">
        <f t="shared" si="3558"/>
        <v>40313</v>
      </c>
      <c r="D8389" s="4" t="s">
        <v>63</v>
      </c>
      <c r="E8389" s="4">
        <v>16.0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ht="12.75" customHeight="1">
      <c r="A8390" s="4">
        <v>5577.0</v>
      </c>
      <c r="B8390" s="4">
        <v>39492.0</v>
      </c>
      <c r="C8390" s="5">
        <f>DATE(2012,12,31)-624</f>
        <v>40650</v>
      </c>
      <c r="D8390" s="4" t="s">
        <v>45</v>
      </c>
      <c r="E8390" s="4">
        <v>31.0</v>
      </c>
      <c r="F8390" s="4">
        <v>5347.9875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ht="12.75" customHeight="1">
      <c r="A8391" s="4">
        <v>6492.0</v>
      </c>
      <c r="B8391" s="4">
        <v>46212.0</v>
      </c>
      <c r="C8391" s="5">
        <f>DATE(2012,12,31)-110</f>
        <v>41164</v>
      </c>
      <c r="D8391" s="4" t="s">
        <v>45</v>
      </c>
      <c r="E8391" s="4">
        <v>43.0</v>
      </c>
      <c r="F8391" s="4">
        <v>322.47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9">C8391+2</f>
        <v>41166</v>
      </c>
    </row>
    <row r="8392" ht="12.75" customHeight="1">
      <c r="A8392" s="4">
        <v>6526.0</v>
      </c>
      <c r="B8392" s="4">
        <v>46437.0</v>
      </c>
      <c r="C8392" s="5">
        <f>DATE(2012,12,31)-1203</f>
        <v>40071</v>
      </c>
      <c r="D8392" s="4" t="s">
        <v>63</v>
      </c>
      <c r="E8392" s="4">
        <v>49.0</v>
      </c>
      <c r="F8392" s="4">
        <v>1488.66</v>
      </c>
      <c r="G8392" s="4">
        <v>0.0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9"/>
        <v>40073</v>
      </c>
    </row>
    <row r="8393" ht="12.75" customHeight="1">
      <c r="A8393" s="4">
        <v>6657.0</v>
      </c>
      <c r="B8393" s="4">
        <v>47360.0</v>
      </c>
      <c r="C8393" s="5">
        <f>DATE(2012,12,31)-815</f>
        <v>40459</v>
      </c>
      <c r="D8393" s="4" t="s">
        <v>45</v>
      </c>
      <c r="E8393" s="4">
        <v>25.0</v>
      </c>
      <c r="F8393" s="4">
        <v>2200.64</v>
      </c>
      <c r="G8393" s="4">
        <v>0.05</v>
      </c>
      <c r="H8393" s="4" t="s">
        <v>31</v>
      </c>
      <c r="I8393" s="6">
        <v>-514.18</v>
      </c>
      <c r="J8393" s="4">
        <v>89.99</v>
      </c>
      <c r="K8393" s="4">
        <v>42.0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9"/>
        <v>40461</v>
      </c>
    </row>
    <row r="8394" ht="12.75" customHeight="1">
      <c r="A8394" s="4">
        <v>7396.0</v>
      </c>
      <c r="B8394" s="4">
        <v>52706.0</v>
      </c>
      <c r="C8394" s="5">
        <f>DATE(2012,12,31)-175</f>
        <v>41099</v>
      </c>
      <c r="D8394" s="4" t="s">
        <v>21</v>
      </c>
      <c r="E8394" s="4">
        <v>34.0</v>
      </c>
      <c r="F8394" s="4">
        <v>1041.66</v>
      </c>
      <c r="G8394" s="4">
        <v>0.02</v>
      </c>
      <c r="H8394" s="4" t="s">
        <v>56</v>
      </c>
      <c r="I8394" s="6">
        <v>480.5305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ht="12.75" customHeight="1">
      <c r="A8395" s="4">
        <v>7586.0</v>
      </c>
      <c r="B8395" s="4">
        <v>54279.0</v>
      </c>
      <c r="C8395" s="5">
        <f>DATE(2012,12,31)-520</f>
        <v>40754</v>
      </c>
      <c r="D8395" s="4" t="s">
        <v>30</v>
      </c>
      <c r="E8395" s="4">
        <v>41.0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0.58</v>
      </c>
      <c r="U8395" s="5">
        <f>C8395+1</f>
        <v>40755</v>
      </c>
    </row>
    <row r="8396" ht="12.75" customHeight="1">
      <c r="A8396" s="4">
        <v>7765.0</v>
      </c>
      <c r="B8396" s="4">
        <v>55558.0</v>
      </c>
      <c r="C8396" s="5">
        <f t="shared" ref="C8396:C8397" si="3560">DATE(2012,12,31)-875</f>
        <v>40399</v>
      </c>
      <c r="D8396" s="4" t="s">
        <v>63</v>
      </c>
      <c r="E8396" s="4">
        <v>8.0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150.98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ht="12.75" customHeight="1">
      <c r="A8397" s="4">
        <v>7766.0</v>
      </c>
      <c r="B8397" s="4">
        <v>55558.0</v>
      </c>
      <c r="C8397" s="5">
        <f t="shared" si="3560"/>
        <v>40399</v>
      </c>
      <c r="D8397" s="4" t="s">
        <v>63</v>
      </c>
      <c r="E8397" s="4">
        <v>23.0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1">C8397+2</f>
        <v>40401</v>
      </c>
    </row>
    <row r="8398" ht="12.75" customHeight="1">
      <c r="A8398" s="4">
        <v>7906.0</v>
      </c>
      <c r="B8398" s="4">
        <v>56550.0</v>
      </c>
      <c r="C8398" s="5">
        <f t="shared" ref="C8398:C8399" si="3562">DATE(2012,12,31)-633</f>
        <v>40641</v>
      </c>
      <c r="D8398" s="4" t="s">
        <v>45</v>
      </c>
      <c r="E8398" s="4">
        <v>37.0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1"/>
        <v>40643</v>
      </c>
    </row>
    <row r="8399" ht="12.75" customHeight="1">
      <c r="A8399" s="4">
        <v>7907.0</v>
      </c>
      <c r="B8399" s="4">
        <v>56550.0</v>
      </c>
      <c r="C8399" s="5">
        <f t="shared" si="3562"/>
        <v>40641</v>
      </c>
      <c r="D8399" s="4" t="s">
        <v>45</v>
      </c>
      <c r="E8399" s="4">
        <v>8.0</v>
      </c>
      <c r="F8399" s="4">
        <v>469.8375</v>
      </c>
      <c r="G8399" s="4">
        <v>0.0</v>
      </c>
      <c r="H8399" s="4" t="s">
        <v>22</v>
      </c>
      <c r="I8399" s="6">
        <v>-159.236</v>
      </c>
      <c r="J8399" s="4">
        <v>65.99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</v>
      </c>
      <c r="U8399" s="5">
        <f>C8399+1</f>
        <v>40642</v>
      </c>
    </row>
    <row r="8400" ht="12.75" customHeight="1">
      <c r="A8400" s="4">
        <v>7914.0</v>
      </c>
      <c r="B8400" s="4">
        <v>56581.0</v>
      </c>
      <c r="C8400" s="5">
        <f>DATE(2012,12,31)-1422</f>
        <v>39852</v>
      </c>
      <c r="D8400" s="4" t="s">
        <v>30</v>
      </c>
      <c r="E8400" s="4">
        <v>20.0</v>
      </c>
      <c r="F8400" s="4">
        <v>2026.01</v>
      </c>
      <c r="G8400" s="4">
        <v>0.1</v>
      </c>
      <c r="H8400" s="4" t="s">
        <v>56</v>
      </c>
      <c r="I8400" s="6">
        <v>580.43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$A$1:$U$8400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29"/>
    <col customWidth="1" min="2" max="6" width="9.14"/>
  </cols>
  <sheetData>
    <row r="1" ht="13.5" customHeight="1">
      <c r="A1" s="7" t="s">
        <v>11</v>
      </c>
      <c r="B1" s="7" t="s">
        <v>1</v>
      </c>
      <c r="C1" s="8"/>
      <c r="D1" s="8"/>
      <c r="E1" s="8"/>
      <c r="F1" s="8"/>
    </row>
    <row r="2" ht="13.5" customHeight="1">
      <c r="A2" s="8" t="s">
        <v>23</v>
      </c>
      <c r="B2" s="8">
        <v>3.0</v>
      </c>
      <c r="C2" s="8"/>
      <c r="D2" s="8"/>
      <c r="E2" s="8"/>
      <c r="F2" s="8"/>
    </row>
    <row r="3" ht="13.5" customHeight="1">
      <c r="A3" s="8" t="s">
        <v>32</v>
      </c>
      <c r="B3" s="8">
        <v>293.0</v>
      </c>
      <c r="C3" s="8"/>
      <c r="D3" s="8"/>
      <c r="E3" s="8"/>
      <c r="F3" s="8"/>
    </row>
    <row r="4" ht="13.5" customHeight="1">
      <c r="A4" s="8" t="s">
        <v>40</v>
      </c>
      <c r="B4" s="8">
        <v>483.0</v>
      </c>
      <c r="C4" s="8"/>
      <c r="D4" s="8"/>
      <c r="E4" s="8"/>
      <c r="F4" s="8"/>
    </row>
    <row r="5" ht="13.5" customHeight="1">
      <c r="A5" s="8" t="s">
        <v>46</v>
      </c>
      <c r="B5" s="8">
        <v>515.0</v>
      </c>
      <c r="C5" s="8"/>
      <c r="D5" s="8"/>
      <c r="E5" s="8"/>
      <c r="F5" s="8"/>
    </row>
    <row r="6" ht="13.5" customHeight="1">
      <c r="A6" s="8" t="s">
        <v>53</v>
      </c>
      <c r="B6" s="8">
        <v>613.0</v>
      </c>
      <c r="C6" s="8"/>
      <c r="D6" s="8"/>
      <c r="E6" s="8"/>
      <c r="F6" s="8"/>
    </row>
    <row r="7" ht="13.5" customHeight="1">
      <c r="A7" s="8" t="s">
        <v>57</v>
      </c>
      <c r="B7" s="8">
        <v>643.0</v>
      </c>
      <c r="C7" s="8"/>
      <c r="D7" s="8"/>
      <c r="E7" s="8"/>
      <c r="F7" s="8"/>
    </row>
    <row r="8" ht="13.5" customHeight="1">
      <c r="A8" s="8" t="s">
        <v>59</v>
      </c>
      <c r="B8" s="8">
        <v>678.0</v>
      </c>
      <c r="C8" s="8"/>
      <c r="D8" s="8"/>
      <c r="E8" s="8"/>
      <c r="F8" s="8"/>
    </row>
    <row r="9" ht="13.5" customHeight="1">
      <c r="A9" s="8" t="s">
        <v>64</v>
      </c>
      <c r="B9" s="8">
        <v>807.0</v>
      </c>
      <c r="C9" s="8"/>
      <c r="D9" s="8"/>
      <c r="E9" s="8"/>
      <c r="F9" s="8"/>
    </row>
    <row r="10" ht="13.5" customHeight="1">
      <c r="A10" s="8" t="s">
        <v>69</v>
      </c>
      <c r="B10" s="8">
        <v>868.0</v>
      </c>
      <c r="C10" s="8"/>
      <c r="D10" s="8"/>
      <c r="E10" s="8"/>
      <c r="F10" s="8"/>
    </row>
    <row r="11" ht="13.5" customHeight="1">
      <c r="A11" s="8" t="s">
        <v>72</v>
      </c>
      <c r="B11" s="8">
        <v>933.0</v>
      </c>
      <c r="C11" s="8"/>
      <c r="D11" s="8"/>
      <c r="E11" s="8"/>
      <c r="F11" s="8"/>
    </row>
    <row r="12" ht="13.5" customHeight="1">
      <c r="A12" s="8" t="s">
        <v>64</v>
      </c>
      <c r="B12" s="8">
        <v>995.0</v>
      </c>
      <c r="C12" s="8"/>
      <c r="D12" s="8"/>
      <c r="E12" s="8"/>
      <c r="F12" s="8"/>
    </row>
    <row r="13" ht="13.5" customHeight="1">
      <c r="A13" s="8" t="s">
        <v>75</v>
      </c>
      <c r="B13" s="8">
        <v>998.0</v>
      </c>
      <c r="C13" s="8"/>
      <c r="D13" s="8"/>
      <c r="E13" s="8"/>
      <c r="F13" s="8"/>
    </row>
    <row r="14" ht="13.5" customHeight="1">
      <c r="A14" s="8" t="s">
        <v>79</v>
      </c>
      <c r="B14" s="8">
        <v>1154.0</v>
      </c>
      <c r="C14" s="8"/>
      <c r="D14" s="8"/>
      <c r="E14" s="8"/>
      <c r="F14" s="8"/>
    </row>
    <row r="15" ht="13.5" customHeight="1">
      <c r="A15" s="8" t="s">
        <v>85</v>
      </c>
      <c r="B15" s="8">
        <v>1344.0</v>
      </c>
      <c r="C15" s="8"/>
      <c r="D15" s="8"/>
      <c r="E15" s="8"/>
      <c r="F15" s="8"/>
    </row>
    <row r="16" ht="13.5" customHeight="1">
      <c r="A16" s="8" t="s">
        <v>46</v>
      </c>
      <c r="B16" s="8">
        <v>1412.0</v>
      </c>
      <c r="C16" s="8"/>
      <c r="D16" s="8"/>
      <c r="E16" s="8"/>
      <c r="F16" s="8"/>
    </row>
    <row r="17" ht="13.5" customHeight="1">
      <c r="A17" s="8" t="s">
        <v>91</v>
      </c>
      <c r="B17" s="8">
        <v>1539.0</v>
      </c>
      <c r="C17" s="8"/>
      <c r="D17" s="8"/>
      <c r="E17" s="8"/>
      <c r="F17" s="8"/>
    </row>
    <row r="18" ht="13.5" customHeight="1">
      <c r="A18" s="8" t="s">
        <v>94</v>
      </c>
      <c r="B18" s="8">
        <v>1540.0</v>
      </c>
      <c r="C18" s="8"/>
      <c r="D18" s="8"/>
      <c r="E18" s="8"/>
      <c r="F18" s="8"/>
    </row>
    <row r="19" ht="13.5" customHeight="1">
      <c r="A19" s="8" t="s">
        <v>97</v>
      </c>
      <c r="B19" s="8">
        <v>1702.0</v>
      </c>
      <c r="C19" s="8"/>
      <c r="D19" s="8"/>
      <c r="E19" s="8"/>
      <c r="F19" s="8"/>
    </row>
    <row r="20" ht="13.5" customHeight="1">
      <c r="A20" s="8" t="s">
        <v>91</v>
      </c>
      <c r="B20" s="8">
        <v>1761.0</v>
      </c>
      <c r="C20" s="8"/>
      <c r="D20" s="8"/>
      <c r="E20" s="8"/>
      <c r="F20" s="8"/>
    </row>
    <row r="21" ht="13.5" customHeight="1">
      <c r="A21" s="8" t="s">
        <v>46</v>
      </c>
      <c r="B21" s="8">
        <v>1792.0</v>
      </c>
      <c r="C21" s="8"/>
      <c r="D21" s="8"/>
      <c r="E21" s="8"/>
      <c r="F21" s="8"/>
    </row>
    <row r="22" ht="13.5" customHeight="1">
      <c r="A22" s="8" t="s">
        <v>102</v>
      </c>
      <c r="B22" s="8">
        <v>2275.0</v>
      </c>
      <c r="C22" s="8"/>
      <c r="D22" s="8"/>
      <c r="E22" s="8"/>
      <c r="F22" s="8"/>
    </row>
    <row r="23" ht="13.5" customHeight="1">
      <c r="A23" s="8" t="s">
        <v>94</v>
      </c>
      <c r="B23" s="8">
        <v>2277.0</v>
      </c>
      <c r="C23" s="8"/>
      <c r="D23" s="8"/>
      <c r="E23" s="8"/>
      <c r="F23" s="8"/>
    </row>
    <row r="24" ht="13.5" customHeight="1">
      <c r="A24" s="8" t="s">
        <v>106</v>
      </c>
      <c r="B24" s="8">
        <v>2532.0</v>
      </c>
      <c r="C24" s="8"/>
      <c r="D24" s="8"/>
      <c r="E24" s="8"/>
      <c r="F24" s="8"/>
    </row>
    <row r="25" ht="13.5" customHeight="1">
      <c r="A25" s="8" t="s">
        <v>109</v>
      </c>
      <c r="B25" s="8">
        <v>2631.0</v>
      </c>
      <c r="C25" s="8"/>
      <c r="D25" s="8"/>
      <c r="E25" s="8"/>
      <c r="F25" s="8"/>
    </row>
    <row r="26" ht="13.5" customHeight="1">
      <c r="A26" s="8" t="s">
        <v>111</v>
      </c>
      <c r="B26" s="8">
        <v>2757.0</v>
      </c>
      <c r="C26" s="8"/>
      <c r="D26" s="8"/>
      <c r="E26" s="8"/>
      <c r="F26" s="8"/>
    </row>
    <row r="27" ht="13.5" customHeight="1">
      <c r="A27" s="8" t="s">
        <v>114</v>
      </c>
      <c r="B27" s="8">
        <v>2791.0</v>
      </c>
      <c r="C27" s="8"/>
      <c r="D27" s="8"/>
      <c r="E27" s="8"/>
      <c r="F27" s="8"/>
    </row>
    <row r="28" ht="13.5" customHeight="1">
      <c r="A28" s="8" t="s">
        <v>118</v>
      </c>
      <c r="B28" s="8">
        <v>2976.0</v>
      </c>
      <c r="C28" s="8"/>
      <c r="D28" s="8"/>
      <c r="E28" s="8"/>
      <c r="F28" s="8"/>
    </row>
    <row r="29" ht="13.5" customHeight="1">
      <c r="A29" s="8" t="s">
        <v>120</v>
      </c>
      <c r="B29" s="8">
        <v>3232.0</v>
      </c>
      <c r="C29" s="8"/>
      <c r="D29" s="8"/>
      <c r="E29" s="8"/>
      <c r="F29" s="8"/>
    </row>
    <row r="30" ht="13.5" customHeight="1">
      <c r="A30" s="8" t="s">
        <v>122</v>
      </c>
      <c r="B30" s="8">
        <v>3524.0</v>
      </c>
      <c r="C30" s="8"/>
      <c r="D30" s="8"/>
      <c r="E30" s="8"/>
      <c r="F30" s="8"/>
    </row>
    <row r="31" ht="13.5" customHeight="1">
      <c r="A31" s="8" t="s">
        <v>124</v>
      </c>
      <c r="B31" s="8">
        <v>3908.0</v>
      </c>
      <c r="C31" s="8"/>
      <c r="D31" s="8"/>
      <c r="E31" s="8"/>
      <c r="F31" s="8"/>
    </row>
    <row r="32" ht="13.5" customHeight="1">
      <c r="A32" s="8" t="s">
        <v>126</v>
      </c>
      <c r="B32" s="8">
        <v>4132.0</v>
      </c>
      <c r="C32" s="8"/>
      <c r="D32" s="8"/>
      <c r="E32" s="8"/>
      <c r="F32" s="8"/>
    </row>
    <row r="33" ht="13.5" customHeight="1">
      <c r="A33" s="8" t="s">
        <v>85</v>
      </c>
      <c r="B33" s="8">
        <v>4612.0</v>
      </c>
      <c r="C33" s="8"/>
      <c r="D33" s="8"/>
      <c r="E33" s="8"/>
      <c r="F33" s="8"/>
    </row>
    <row r="34" ht="13.5" customHeight="1">
      <c r="A34" s="8" t="s">
        <v>97</v>
      </c>
      <c r="B34" s="8">
        <v>4676.0</v>
      </c>
      <c r="C34" s="8"/>
      <c r="D34" s="8"/>
      <c r="E34" s="8"/>
      <c r="F34" s="8"/>
    </row>
    <row r="35" ht="13.5" customHeight="1">
      <c r="A35" s="8" t="s">
        <v>97</v>
      </c>
      <c r="B35" s="8">
        <v>5284.0</v>
      </c>
      <c r="C35" s="8"/>
      <c r="D35" s="8"/>
      <c r="E35" s="8"/>
      <c r="F35" s="8"/>
    </row>
    <row r="36" ht="13.5" customHeight="1">
      <c r="A36" s="8" t="s">
        <v>40</v>
      </c>
      <c r="B36" s="8">
        <v>5316.0</v>
      </c>
      <c r="C36" s="8"/>
      <c r="D36" s="8"/>
      <c r="E36" s="8"/>
      <c r="F36" s="8"/>
    </row>
    <row r="37" ht="13.5" customHeight="1">
      <c r="A37" s="8" t="s">
        <v>133</v>
      </c>
      <c r="B37" s="8">
        <v>5409.0</v>
      </c>
      <c r="C37" s="8"/>
      <c r="D37" s="8"/>
      <c r="E37" s="8"/>
      <c r="F37" s="8"/>
    </row>
    <row r="38" ht="13.5" customHeight="1">
      <c r="A38" s="8" t="s">
        <v>135</v>
      </c>
      <c r="B38" s="8">
        <v>5506.0</v>
      </c>
      <c r="C38" s="8"/>
      <c r="D38" s="8"/>
      <c r="E38" s="8"/>
      <c r="F38" s="8"/>
    </row>
    <row r="39" ht="13.5" customHeight="1">
      <c r="A39" s="8" t="s">
        <v>137</v>
      </c>
      <c r="B39" s="8">
        <v>5569.0</v>
      </c>
      <c r="C39" s="8"/>
      <c r="D39" s="8"/>
      <c r="E39" s="8"/>
      <c r="F39" s="8"/>
    </row>
    <row r="40" ht="13.5" customHeight="1">
      <c r="A40" s="8" t="s">
        <v>139</v>
      </c>
      <c r="B40" s="8">
        <v>5607.0</v>
      </c>
      <c r="C40" s="8"/>
      <c r="D40" s="8"/>
      <c r="E40" s="8"/>
      <c r="F40" s="8"/>
    </row>
    <row r="41" ht="13.5" customHeight="1">
      <c r="A41" s="8" t="s">
        <v>141</v>
      </c>
      <c r="B41" s="8">
        <v>5894.0</v>
      </c>
      <c r="C41" s="8"/>
      <c r="D41" s="8"/>
      <c r="E41" s="8"/>
      <c r="F41" s="8"/>
    </row>
    <row r="42" ht="13.5" customHeight="1">
      <c r="A42" s="8" t="s">
        <v>144</v>
      </c>
      <c r="B42" s="8">
        <v>5925.0</v>
      </c>
      <c r="C42" s="8"/>
      <c r="D42" s="8"/>
      <c r="E42" s="8"/>
      <c r="F42" s="8"/>
    </row>
    <row r="43" ht="13.5" customHeight="1">
      <c r="A43" s="8" t="s">
        <v>147</v>
      </c>
      <c r="B43" s="8">
        <v>6016.0</v>
      </c>
      <c r="C43" s="8"/>
      <c r="D43" s="8"/>
      <c r="E43" s="8"/>
      <c r="F43" s="8"/>
    </row>
    <row r="44" ht="13.5" customHeight="1">
      <c r="A44" s="8" t="s">
        <v>149</v>
      </c>
      <c r="B44" s="8">
        <v>6116.0</v>
      </c>
      <c r="C44" s="8"/>
      <c r="D44" s="8"/>
      <c r="E44" s="8"/>
      <c r="F44" s="8"/>
    </row>
    <row r="45" ht="13.5" customHeight="1">
      <c r="A45" s="8" t="s">
        <v>102</v>
      </c>
      <c r="B45" s="8">
        <v>6182.0</v>
      </c>
      <c r="C45" s="8"/>
      <c r="D45" s="8"/>
      <c r="E45" s="8"/>
      <c r="F45" s="8"/>
    </row>
    <row r="46" ht="13.5" customHeight="1">
      <c r="A46" s="8" t="s">
        <v>154</v>
      </c>
      <c r="B46" s="8">
        <v>6535.0</v>
      </c>
      <c r="C46" s="8"/>
      <c r="D46" s="8"/>
      <c r="E46" s="8"/>
      <c r="F46" s="8"/>
    </row>
    <row r="47" ht="13.5" customHeight="1">
      <c r="A47" s="8" t="s">
        <v>147</v>
      </c>
      <c r="B47" s="8">
        <v>6884.0</v>
      </c>
      <c r="C47" s="8"/>
      <c r="D47" s="8"/>
      <c r="E47" s="8"/>
      <c r="F47" s="8"/>
    </row>
    <row r="48" ht="13.5" customHeight="1">
      <c r="A48" s="8" t="s">
        <v>158</v>
      </c>
      <c r="B48" s="8">
        <v>6916.0</v>
      </c>
      <c r="C48" s="8"/>
      <c r="D48" s="8"/>
      <c r="E48" s="8"/>
      <c r="F48" s="8"/>
    </row>
    <row r="49" ht="13.5" customHeight="1">
      <c r="A49" s="8" t="s">
        <v>160</v>
      </c>
      <c r="B49" s="8">
        <v>6980.0</v>
      </c>
      <c r="C49" s="8"/>
      <c r="D49" s="8"/>
      <c r="E49" s="8"/>
      <c r="F49" s="8"/>
    </row>
    <row r="50" ht="13.5" customHeight="1">
      <c r="A50" s="8" t="s">
        <v>124</v>
      </c>
      <c r="B50" s="8">
        <v>6982.0</v>
      </c>
      <c r="C50" s="8"/>
      <c r="D50" s="8"/>
      <c r="E50" s="8"/>
      <c r="F50" s="8"/>
    </row>
    <row r="51" ht="13.5" customHeight="1">
      <c r="A51" s="8" t="s">
        <v>102</v>
      </c>
      <c r="B51" s="8">
        <v>7110.0</v>
      </c>
      <c r="C51" s="8"/>
      <c r="D51" s="8"/>
      <c r="E51" s="8"/>
      <c r="F51" s="8"/>
    </row>
    <row r="52" ht="13.5" customHeight="1">
      <c r="A52" s="8" t="s">
        <v>149</v>
      </c>
      <c r="B52" s="8">
        <v>7430.0</v>
      </c>
      <c r="C52" s="8"/>
      <c r="D52" s="8"/>
      <c r="E52" s="8"/>
      <c r="F52" s="8"/>
    </row>
    <row r="53" ht="13.5" customHeight="1">
      <c r="A53" s="8" t="s">
        <v>166</v>
      </c>
      <c r="B53" s="8">
        <v>7906.0</v>
      </c>
      <c r="C53" s="8"/>
      <c r="D53" s="8"/>
      <c r="E53" s="8"/>
      <c r="F53" s="8"/>
    </row>
    <row r="54" ht="13.5" customHeight="1">
      <c r="A54" s="8" t="s">
        <v>79</v>
      </c>
      <c r="B54" s="8">
        <v>8391.0</v>
      </c>
      <c r="C54" s="8"/>
      <c r="D54" s="8"/>
      <c r="E54" s="8"/>
      <c r="F54" s="8"/>
    </row>
    <row r="55" ht="13.5" customHeight="1">
      <c r="A55" s="8" t="s">
        <v>122</v>
      </c>
      <c r="B55" s="8">
        <v>8419.0</v>
      </c>
      <c r="C55" s="8"/>
      <c r="D55" s="8"/>
      <c r="E55" s="8"/>
      <c r="F55" s="8"/>
    </row>
    <row r="56" ht="13.5" customHeight="1">
      <c r="A56" s="8" t="s">
        <v>122</v>
      </c>
      <c r="B56" s="8">
        <v>8833.0</v>
      </c>
      <c r="C56" s="8"/>
      <c r="D56" s="8"/>
      <c r="E56" s="8"/>
      <c r="F56" s="8"/>
    </row>
    <row r="57" ht="13.5" customHeight="1">
      <c r="A57" s="8" t="s">
        <v>166</v>
      </c>
      <c r="B57" s="8">
        <v>8995.0</v>
      </c>
      <c r="C57" s="8"/>
      <c r="D57" s="8"/>
      <c r="E57" s="8"/>
      <c r="F57" s="8"/>
    </row>
    <row r="58" ht="13.5" customHeight="1">
      <c r="A58" s="8" t="s">
        <v>79</v>
      </c>
      <c r="B58" s="8">
        <v>9126.0</v>
      </c>
      <c r="C58" s="8"/>
      <c r="D58" s="8"/>
      <c r="E58" s="8"/>
      <c r="F58" s="8"/>
    </row>
    <row r="59" ht="13.5" customHeight="1">
      <c r="A59" s="8" t="s">
        <v>179</v>
      </c>
      <c r="B59" s="8">
        <v>9127.0</v>
      </c>
      <c r="C59" s="8"/>
      <c r="D59" s="8"/>
      <c r="E59" s="8"/>
      <c r="F59" s="8"/>
    </row>
    <row r="60" ht="13.5" customHeight="1">
      <c r="A60" s="8" t="s">
        <v>144</v>
      </c>
      <c r="B60" s="8">
        <v>9509.0</v>
      </c>
      <c r="C60" s="8"/>
      <c r="D60" s="8"/>
      <c r="E60" s="8"/>
      <c r="F60" s="8"/>
    </row>
    <row r="61" ht="13.5" customHeight="1">
      <c r="A61" s="8" t="s">
        <v>106</v>
      </c>
      <c r="B61" s="8">
        <v>9763.0</v>
      </c>
      <c r="C61" s="8"/>
      <c r="D61" s="8"/>
      <c r="E61" s="8"/>
      <c r="F61" s="8"/>
    </row>
    <row r="62" ht="13.5" customHeight="1">
      <c r="A62" s="8" t="s">
        <v>102</v>
      </c>
      <c r="B62" s="8">
        <v>9927.0</v>
      </c>
      <c r="C62" s="8"/>
      <c r="D62" s="8"/>
      <c r="E62" s="8"/>
      <c r="F62" s="8"/>
    </row>
    <row r="63" ht="13.5" customHeight="1">
      <c r="A63" s="8" t="s">
        <v>188</v>
      </c>
      <c r="B63" s="8">
        <v>10022.0</v>
      </c>
      <c r="C63" s="8"/>
      <c r="D63" s="8"/>
      <c r="E63" s="8"/>
      <c r="F63" s="8"/>
    </row>
    <row r="64" ht="13.5" customHeight="1">
      <c r="A64" s="8" t="s">
        <v>133</v>
      </c>
      <c r="B64" s="8">
        <v>10437.0</v>
      </c>
      <c r="C64" s="8"/>
      <c r="D64" s="8"/>
      <c r="E64" s="8"/>
      <c r="F64" s="8"/>
    </row>
    <row r="65" ht="13.5" customHeight="1">
      <c r="A65" s="8" t="s">
        <v>190</v>
      </c>
      <c r="B65" s="8">
        <v>10499.0</v>
      </c>
      <c r="C65" s="8"/>
      <c r="D65" s="8"/>
      <c r="E65" s="8"/>
      <c r="F65" s="8"/>
    </row>
    <row r="66" ht="13.5" customHeight="1">
      <c r="A66" s="8" t="s">
        <v>190</v>
      </c>
      <c r="B66" s="8">
        <v>10535.0</v>
      </c>
      <c r="C66" s="8"/>
      <c r="D66" s="8"/>
      <c r="E66" s="8"/>
      <c r="F66" s="8"/>
    </row>
    <row r="67" ht="13.5" customHeight="1">
      <c r="A67" s="8" t="s">
        <v>194</v>
      </c>
      <c r="B67" s="8">
        <v>10789.0</v>
      </c>
      <c r="C67" s="8"/>
      <c r="D67" s="8"/>
      <c r="E67" s="8"/>
      <c r="F67" s="8"/>
    </row>
    <row r="68" ht="13.5" customHeight="1">
      <c r="A68" s="8" t="s">
        <v>196</v>
      </c>
      <c r="B68" s="8">
        <v>10791.0</v>
      </c>
      <c r="C68" s="8"/>
      <c r="D68" s="8"/>
      <c r="E68" s="8"/>
      <c r="F68" s="8"/>
    </row>
    <row r="69" ht="13.5" customHeight="1">
      <c r="A69" s="8" t="s">
        <v>160</v>
      </c>
      <c r="B69" s="8">
        <v>10945.0</v>
      </c>
      <c r="C69" s="8"/>
      <c r="D69" s="8"/>
      <c r="E69" s="8"/>
      <c r="F69" s="8"/>
    </row>
    <row r="70" ht="13.5" customHeight="1">
      <c r="A70" s="8" t="s">
        <v>75</v>
      </c>
      <c r="B70" s="8">
        <v>11137.0</v>
      </c>
      <c r="C70" s="8"/>
      <c r="D70" s="8"/>
      <c r="E70" s="8"/>
      <c r="F70" s="8"/>
    </row>
    <row r="71" ht="13.5" customHeight="1">
      <c r="A71" s="8" t="s">
        <v>149</v>
      </c>
      <c r="B71" s="8">
        <v>11202.0</v>
      </c>
      <c r="C71" s="8"/>
      <c r="D71" s="8"/>
      <c r="E71" s="8"/>
      <c r="F71" s="8"/>
    </row>
    <row r="72" ht="13.5" customHeight="1">
      <c r="A72" s="8" t="s">
        <v>190</v>
      </c>
      <c r="B72" s="8">
        <v>11456.0</v>
      </c>
      <c r="C72" s="8"/>
      <c r="D72" s="8"/>
      <c r="E72" s="8"/>
      <c r="F72" s="8"/>
    </row>
    <row r="73" ht="13.5" customHeight="1">
      <c r="A73" s="8" t="s">
        <v>53</v>
      </c>
      <c r="B73" s="8">
        <v>11460.0</v>
      </c>
      <c r="C73" s="8"/>
      <c r="D73" s="8"/>
      <c r="E73" s="8"/>
      <c r="F73" s="8"/>
    </row>
    <row r="74" ht="13.5" customHeight="1">
      <c r="A74" s="8" t="s">
        <v>203</v>
      </c>
      <c r="B74" s="8">
        <v>11495.0</v>
      </c>
      <c r="C74" s="8"/>
      <c r="D74" s="8"/>
      <c r="E74" s="8"/>
      <c r="F74" s="8"/>
    </row>
    <row r="75" ht="13.5" customHeight="1">
      <c r="A75" s="8" t="s">
        <v>118</v>
      </c>
      <c r="B75" s="8">
        <v>11911.0</v>
      </c>
      <c r="C75" s="8"/>
      <c r="D75" s="8"/>
      <c r="E75" s="8"/>
      <c r="F75" s="8"/>
    </row>
    <row r="76" ht="13.5" customHeight="1">
      <c r="A76" s="8" t="s">
        <v>194</v>
      </c>
      <c r="B76" s="8">
        <v>11941.0</v>
      </c>
      <c r="C76" s="8"/>
      <c r="D76" s="8"/>
      <c r="E76" s="8"/>
      <c r="F76" s="8"/>
    </row>
    <row r="77" ht="13.5" customHeight="1">
      <c r="A77" s="8" t="s">
        <v>139</v>
      </c>
      <c r="B77" s="8">
        <v>12096.0</v>
      </c>
      <c r="C77" s="8"/>
      <c r="D77" s="8"/>
      <c r="E77" s="8"/>
      <c r="F77" s="8"/>
    </row>
    <row r="78" ht="13.5" customHeight="1">
      <c r="A78" s="8" t="s">
        <v>203</v>
      </c>
      <c r="B78" s="8">
        <v>12289.0</v>
      </c>
      <c r="C78" s="8"/>
      <c r="D78" s="8"/>
      <c r="E78" s="8"/>
      <c r="F78" s="8"/>
    </row>
    <row r="79" ht="13.5" customHeight="1">
      <c r="A79" s="8" t="s">
        <v>212</v>
      </c>
      <c r="B79" s="8">
        <v>12352.0</v>
      </c>
      <c r="C79" s="8"/>
      <c r="D79" s="8"/>
      <c r="E79" s="8"/>
      <c r="F79" s="8"/>
    </row>
    <row r="80" ht="13.5" customHeight="1">
      <c r="A80" s="8" t="s">
        <v>79</v>
      </c>
      <c r="B80" s="8">
        <v>12419.0</v>
      </c>
      <c r="C80" s="8"/>
      <c r="D80" s="8"/>
      <c r="E80" s="8"/>
      <c r="F80" s="8"/>
    </row>
    <row r="81" ht="13.5" customHeight="1">
      <c r="A81" s="8" t="s">
        <v>114</v>
      </c>
      <c r="B81" s="8">
        <v>12485.0</v>
      </c>
      <c r="C81" s="8"/>
      <c r="D81" s="8"/>
      <c r="E81" s="8"/>
      <c r="F81" s="8"/>
    </row>
    <row r="82" ht="13.5" customHeight="1">
      <c r="A82" s="8" t="s">
        <v>85</v>
      </c>
      <c r="B82" s="8">
        <v>12544.0</v>
      </c>
      <c r="C82" s="8"/>
      <c r="D82" s="8"/>
      <c r="E82" s="8"/>
      <c r="F82" s="8"/>
    </row>
    <row r="83" ht="13.5" customHeight="1">
      <c r="A83" s="8" t="s">
        <v>46</v>
      </c>
      <c r="B83" s="8">
        <v>12704.0</v>
      </c>
      <c r="C83" s="8"/>
      <c r="D83" s="8"/>
      <c r="E83" s="8"/>
      <c r="F83" s="8"/>
    </row>
    <row r="84" ht="13.5" customHeight="1">
      <c r="A84" s="8" t="s">
        <v>46</v>
      </c>
      <c r="B84" s="8">
        <v>12771.0</v>
      </c>
      <c r="C84" s="8"/>
      <c r="D84" s="8"/>
      <c r="E84" s="8"/>
      <c r="F84" s="8"/>
    </row>
    <row r="85" ht="13.5" customHeight="1">
      <c r="A85" s="8" t="s">
        <v>85</v>
      </c>
      <c r="B85" s="8">
        <v>12929.0</v>
      </c>
      <c r="C85" s="8"/>
      <c r="D85" s="8"/>
      <c r="E85" s="8"/>
      <c r="F85" s="8"/>
    </row>
    <row r="86" ht="13.5" customHeight="1">
      <c r="A86" s="8" t="s">
        <v>102</v>
      </c>
      <c r="B86" s="8">
        <v>13280.0</v>
      </c>
      <c r="C86" s="8"/>
      <c r="D86" s="8"/>
      <c r="E86" s="8"/>
      <c r="F86" s="8"/>
    </row>
    <row r="87" ht="13.5" customHeight="1">
      <c r="A87" s="8" t="s">
        <v>147</v>
      </c>
      <c r="B87" s="8">
        <v>13313.0</v>
      </c>
      <c r="C87" s="8"/>
      <c r="D87" s="8"/>
      <c r="E87" s="8"/>
      <c r="F87" s="8"/>
    </row>
    <row r="88" ht="13.5" customHeight="1">
      <c r="A88" s="8" t="s">
        <v>190</v>
      </c>
      <c r="B88" s="8">
        <v>13346.0</v>
      </c>
      <c r="C88" s="8"/>
      <c r="D88" s="8"/>
      <c r="E88" s="8"/>
      <c r="F88" s="8"/>
    </row>
    <row r="89" ht="13.5" customHeight="1">
      <c r="A89" s="8" t="s">
        <v>102</v>
      </c>
      <c r="B89" s="8">
        <v>13702.0</v>
      </c>
      <c r="C89" s="8"/>
      <c r="D89" s="8"/>
      <c r="E89" s="8"/>
      <c r="F89" s="8"/>
    </row>
    <row r="90" ht="13.5" customHeight="1">
      <c r="A90" s="8" t="s">
        <v>23</v>
      </c>
      <c r="B90" s="8">
        <v>13795.0</v>
      </c>
      <c r="C90" s="8"/>
      <c r="D90" s="8"/>
      <c r="E90" s="8"/>
      <c r="F90" s="8"/>
    </row>
    <row r="91" ht="13.5" customHeight="1">
      <c r="A91" s="8" t="s">
        <v>190</v>
      </c>
      <c r="B91" s="8">
        <v>14116.0</v>
      </c>
      <c r="C91" s="8"/>
      <c r="D91" s="8"/>
      <c r="E91" s="8"/>
      <c r="F91" s="8"/>
    </row>
    <row r="92" ht="13.5" customHeight="1">
      <c r="A92" s="8" t="s">
        <v>135</v>
      </c>
      <c r="B92" s="8">
        <v>14372.0</v>
      </c>
      <c r="C92" s="8"/>
      <c r="D92" s="8"/>
      <c r="E92" s="8"/>
      <c r="F92" s="8"/>
    </row>
    <row r="93" ht="13.5" customHeight="1">
      <c r="A93" s="8" t="s">
        <v>160</v>
      </c>
      <c r="B93" s="8">
        <v>14726.0</v>
      </c>
      <c r="C93" s="8"/>
      <c r="D93" s="8"/>
      <c r="E93" s="8"/>
      <c r="F93" s="8"/>
    </row>
    <row r="94" ht="13.5" customHeight="1">
      <c r="A94" s="8" t="s">
        <v>53</v>
      </c>
      <c r="B94" s="8">
        <v>14819.0</v>
      </c>
      <c r="C94" s="8"/>
      <c r="D94" s="8"/>
      <c r="E94" s="8"/>
      <c r="F94" s="8"/>
    </row>
    <row r="95" ht="13.5" customHeight="1">
      <c r="A95" s="8" t="s">
        <v>59</v>
      </c>
      <c r="B95" s="8">
        <v>15106.0</v>
      </c>
      <c r="C95" s="8"/>
      <c r="D95" s="8"/>
      <c r="E95" s="8"/>
      <c r="F95" s="8"/>
    </row>
    <row r="96" ht="13.5" customHeight="1">
      <c r="A96" s="8" t="s">
        <v>188</v>
      </c>
      <c r="B96" s="8">
        <v>15108.0</v>
      </c>
      <c r="C96" s="8"/>
      <c r="D96" s="8"/>
      <c r="E96" s="8"/>
      <c r="F96" s="8"/>
    </row>
    <row r="97" ht="13.5" customHeight="1">
      <c r="A97" s="8" t="s">
        <v>111</v>
      </c>
      <c r="B97" s="8">
        <v>15205.0</v>
      </c>
      <c r="C97" s="8"/>
      <c r="D97" s="8"/>
      <c r="E97" s="8"/>
      <c r="F97" s="8"/>
    </row>
    <row r="98" ht="13.5" customHeight="1">
      <c r="A98" s="8" t="s">
        <v>120</v>
      </c>
      <c r="B98" s="8">
        <v>15591.0</v>
      </c>
      <c r="C98" s="8"/>
      <c r="D98" s="8"/>
      <c r="E98" s="8"/>
      <c r="F98" s="8"/>
    </row>
    <row r="99" ht="13.5" customHeight="1">
      <c r="A99" s="8" t="s">
        <v>240</v>
      </c>
      <c r="B99" s="8">
        <v>15907.0</v>
      </c>
      <c r="C99" s="8"/>
      <c r="D99" s="8"/>
      <c r="E99" s="8"/>
      <c r="F99" s="8"/>
    </row>
    <row r="100" ht="13.5" customHeight="1">
      <c r="A100" s="8" t="s">
        <v>57</v>
      </c>
      <c r="B100" s="8">
        <v>15937.0</v>
      </c>
      <c r="C100" s="8"/>
      <c r="D100" s="8"/>
      <c r="E100" s="8"/>
      <c r="F100" s="8"/>
    </row>
    <row r="101" ht="13.5" customHeight="1">
      <c r="A101" s="8" t="s">
        <v>139</v>
      </c>
      <c r="B101" s="8">
        <v>16039.0</v>
      </c>
      <c r="C101" s="8"/>
      <c r="D101" s="8"/>
      <c r="E101" s="8"/>
      <c r="F101" s="8"/>
    </row>
    <row r="102" ht="13.5" customHeight="1">
      <c r="A102" s="8" t="s">
        <v>137</v>
      </c>
      <c r="B102" s="8">
        <v>16193.0</v>
      </c>
      <c r="C102" s="8"/>
      <c r="D102" s="8"/>
      <c r="E102" s="8"/>
      <c r="F102" s="8"/>
    </row>
    <row r="103" ht="13.5" customHeight="1">
      <c r="A103" s="8" t="s">
        <v>179</v>
      </c>
      <c r="B103" s="8">
        <v>16423.0</v>
      </c>
      <c r="C103" s="8"/>
      <c r="D103" s="8"/>
      <c r="E103" s="8"/>
      <c r="F103" s="8"/>
    </row>
    <row r="104" ht="13.5" customHeight="1">
      <c r="A104" s="8" t="s">
        <v>133</v>
      </c>
      <c r="B104" s="8">
        <v>16451.0</v>
      </c>
      <c r="C104" s="8"/>
      <c r="D104" s="8"/>
      <c r="E104" s="8"/>
      <c r="F104" s="8"/>
    </row>
    <row r="105" ht="13.5" customHeight="1">
      <c r="A105" s="8" t="s">
        <v>46</v>
      </c>
      <c r="B105" s="8">
        <v>16545.0</v>
      </c>
      <c r="C105" s="8"/>
      <c r="D105" s="8"/>
      <c r="E105" s="8"/>
      <c r="F105" s="8"/>
    </row>
    <row r="106" ht="13.5" customHeight="1">
      <c r="A106" s="8" t="s">
        <v>122</v>
      </c>
      <c r="B106" s="8">
        <v>16547.0</v>
      </c>
      <c r="C106" s="8"/>
      <c r="D106" s="8"/>
      <c r="E106" s="8"/>
      <c r="F106" s="8"/>
    </row>
    <row r="107" ht="13.5" customHeight="1">
      <c r="A107" s="8" t="s">
        <v>135</v>
      </c>
      <c r="B107" s="8">
        <v>16706.0</v>
      </c>
      <c r="C107" s="8"/>
      <c r="D107" s="8"/>
      <c r="E107" s="8"/>
      <c r="F107" s="8"/>
    </row>
    <row r="108" ht="13.5" customHeight="1">
      <c r="A108" s="8" t="s">
        <v>122</v>
      </c>
      <c r="B108" s="8">
        <v>16741.0</v>
      </c>
      <c r="C108" s="8"/>
      <c r="D108" s="8"/>
      <c r="E108" s="8"/>
      <c r="F108" s="8"/>
    </row>
    <row r="109" ht="13.5" customHeight="1">
      <c r="A109" s="8" t="s">
        <v>46</v>
      </c>
      <c r="B109" s="8">
        <v>16932.0</v>
      </c>
      <c r="C109" s="8"/>
      <c r="D109" s="8"/>
      <c r="E109" s="8"/>
      <c r="F109" s="8"/>
    </row>
    <row r="110" ht="13.5" customHeight="1">
      <c r="A110" s="8" t="s">
        <v>59</v>
      </c>
      <c r="B110" s="8">
        <v>17283.0</v>
      </c>
      <c r="C110" s="8"/>
      <c r="D110" s="8"/>
      <c r="E110" s="8"/>
      <c r="F110" s="8"/>
    </row>
    <row r="111" ht="13.5" customHeight="1">
      <c r="A111" s="8" t="s">
        <v>23</v>
      </c>
      <c r="B111" s="8">
        <v>17286.0</v>
      </c>
      <c r="C111" s="8"/>
      <c r="D111" s="8"/>
      <c r="E111" s="8"/>
      <c r="F111" s="8"/>
    </row>
    <row r="112" ht="13.5" customHeight="1">
      <c r="A112" s="8" t="s">
        <v>23</v>
      </c>
      <c r="B112" s="8">
        <v>17409.0</v>
      </c>
      <c r="C112" s="8"/>
      <c r="D112" s="8"/>
      <c r="E112" s="8"/>
      <c r="F112" s="8"/>
    </row>
    <row r="113" ht="13.5" customHeight="1">
      <c r="A113" s="8" t="s">
        <v>94</v>
      </c>
      <c r="B113" s="8">
        <v>17764.0</v>
      </c>
      <c r="C113" s="8"/>
      <c r="D113" s="8"/>
      <c r="E113" s="8"/>
      <c r="F113" s="8"/>
    </row>
    <row r="114" ht="13.5" customHeight="1">
      <c r="A114" s="8" t="s">
        <v>79</v>
      </c>
      <c r="B114" s="8">
        <v>18080.0</v>
      </c>
      <c r="C114" s="8"/>
      <c r="D114" s="8"/>
      <c r="E114" s="8"/>
      <c r="F114" s="8"/>
    </row>
    <row r="115" ht="13.5" customHeight="1">
      <c r="A115" s="8" t="s">
        <v>264</v>
      </c>
      <c r="B115" s="8">
        <v>18113.0</v>
      </c>
      <c r="C115" s="8"/>
      <c r="D115" s="8"/>
      <c r="E115" s="8"/>
      <c r="F115" s="8"/>
    </row>
    <row r="116" ht="13.5" customHeight="1">
      <c r="A116" s="8" t="s">
        <v>124</v>
      </c>
      <c r="B116" s="8">
        <v>18144.0</v>
      </c>
      <c r="C116" s="8"/>
      <c r="D116" s="8"/>
      <c r="E116" s="8"/>
      <c r="F116" s="8"/>
    </row>
    <row r="117" ht="13.5" customHeight="1">
      <c r="A117" s="8" t="s">
        <v>141</v>
      </c>
      <c r="B117" s="8">
        <v>18308.0</v>
      </c>
      <c r="C117" s="8"/>
      <c r="D117" s="8"/>
      <c r="E117" s="8"/>
      <c r="F117" s="8"/>
    </row>
    <row r="118" ht="13.5" customHeight="1">
      <c r="A118" s="8" t="s">
        <v>40</v>
      </c>
      <c r="B118" s="8">
        <v>18887.0</v>
      </c>
      <c r="C118" s="8"/>
      <c r="D118" s="8"/>
      <c r="E118" s="8"/>
      <c r="F118" s="8"/>
    </row>
    <row r="119" ht="13.5" customHeight="1">
      <c r="A119" s="8" t="s">
        <v>102</v>
      </c>
      <c r="B119" s="8">
        <v>19010.0</v>
      </c>
      <c r="C119" s="8"/>
      <c r="D119" s="8"/>
      <c r="E119" s="8"/>
      <c r="F119" s="8"/>
    </row>
    <row r="120" ht="13.5" customHeight="1">
      <c r="A120" s="8" t="s">
        <v>203</v>
      </c>
      <c r="B120" s="8">
        <v>19078.0</v>
      </c>
      <c r="C120" s="8"/>
      <c r="D120" s="8"/>
      <c r="E120" s="8"/>
      <c r="F120" s="8"/>
    </row>
    <row r="121" ht="13.5" customHeight="1">
      <c r="A121" s="8" t="s">
        <v>69</v>
      </c>
      <c r="B121" s="8">
        <v>19138.0</v>
      </c>
      <c r="C121" s="8"/>
      <c r="D121" s="8"/>
      <c r="E121" s="8"/>
      <c r="F121" s="8"/>
    </row>
    <row r="122" ht="13.5" customHeight="1">
      <c r="A122" s="8" t="s">
        <v>106</v>
      </c>
      <c r="B122" s="8">
        <v>19655.0</v>
      </c>
      <c r="C122" s="8"/>
      <c r="D122" s="8"/>
      <c r="E122" s="8"/>
      <c r="F122" s="8"/>
    </row>
    <row r="123" ht="13.5" customHeight="1">
      <c r="A123" s="8" t="s">
        <v>106</v>
      </c>
      <c r="B123" s="8">
        <v>19686.0</v>
      </c>
      <c r="C123" s="8"/>
      <c r="D123" s="8"/>
      <c r="E123" s="8"/>
      <c r="F123" s="8"/>
    </row>
    <row r="124" ht="13.5" customHeight="1">
      <c r="A124" s="8" t="s">
        <v>122</v>
      </c>
      <c r="B124" s="8">
        <v>20007.0</v>
      </c>
      <c r="C124" s="8"/>
      <c r="D124" s="8"/>
      <c r="E124" s="8"/>
      <c r="F124" s="8"/>
    </row>
    <row r="125" ht="13.5" customHeight="1">
      <c r="A125" s="8" t="s">
        <v>279</v>
      </c>
      <c r="B125" s="8">
        <v>20071.0</v>
      </c>
      <c r="C125" s="8"/>
      <c r="D125" s="8"/>
      <c r="E125" s="8"/>
      <c r="F125" s="8"/>
    </row>
    <row r="126" ht="13.5" customHeight="1">
      <c r="A126" s="8" t="s">
        <v>281</v>
      </c>
      <c r="B126" s="8">
        <v>20160.0</v>
      </c>
      <c r="C126" s="8"/>
      <c r="D126" s="8"/>
      <c r="E126" s="8"/>
      <c r="F126" s="8"/>
    </row>
    <row r="127" ht="13.5" customHeight="1">
      <c r="A127" s="8" t="s">
        <v>283</v>
      </c>
      <c r="B127" s="8">
        <v>20263.0</v>
      </c>
      <c r="C127" s="8"/>
      <c r="D127" s="8"/>
      <c r="E127" s="8"/>
      <c r="F127" s="8"/>
    </row>
    <row r="128" ht="13.5" customHeight="1">
      <c r="A128" s="8" t="s">
        <v>154</v>
      </c>
      <c r="B128" s="8">
        <v>21285.0</v>
      </c>
      <c r="C128" s="8"/>
      <c r="D128" s="8"/>
      <c r="E128" s="8"/>
      <c r="F128" s="8"/>
    </row>
    <row r="129" ht="13.5" customHeight="1">
      <c r="A129" s="8" t="s">
        <v>287</v>
      </c>
      <c r="B129" s="8">
        <v>21383.0</v>
      </c>
      <c r="C129" s="8"/>
      <c r="D129" s="8"/>
      <c r="E129" s="8"/>
      <c r="F129" s="8"/>
    </row>
    <row r="130" ht="13.5" customHeight="1">
      <c r="A130" s="8" t="s">
        <v>289</v>
      </c>
      <c r="B130" s="8">
        <v>21607.0</v>
      </c>
      <c r="C130" s="8"/>
      <c r="D130" s="8"/>
      <c r="E130" s="8"/>
      <c r="F130" s="8"/>
    </row>
    <row r="131" ht="13.5" customHeight="1">
      <c r="A131" s="8" t="s">
        <v>291</v>
      </c>
      <c r="B131" s="8">
        <v>21636.0</v>
      </c>
      <c r="C131" s="8"/>
      <c r="D131" s="8"/>
      <c r="E131" s="8"/>
      <c r="F131" s="8"/>
    </row>
    <row r="132" ht="13.5" customHeight="1">
      <c r="A132" s="8" t="s">
        <v>264</v>
      </c>
      <c r="B132" s="8">
        <v>21889.0</v>
      </c>
      <c r="C132" s="8"/>
      <c r="D132" s="8"/>
      <c r="E132" s="8"/>
      <c r="F132" s="8"/>
    </row>
    <row r="133" ht="13.5" customHeight="1">
      <c r="A133" s="8" t="s">
        <v>135</v>
      </c>
      <c r="B133" s="8">
        <v>22151.0</v>
      </c>
      <c r="C133" s="8"/>
      <c r="D133" s="8"/>
      <c r="E133" s="8"/>
      <c r="F133" s="8"/>
    </row>
    <row r="134" ht="13.5" customHeight="1">
      <c r="A134" s="8" t="s">
        <v>72</v>
      </c>
      <c r="B134" s="8">
        <v>22342.0</v>
      </c>
      <c r="C134" s="8"/>
      <c r="D134" s="8"/>
      <c r="E134" s="8"/>
      <c r="F134" s="8"/>
    </row>
    <row r="135" ht="13.5" customHeight="1">
      <c r="A135" s="8" t="s">
        <v>296</v>
      </c>
      <c r="B135" s="8">
        <v>22469.0</v>
      </c>
      <c r="C135" s="8"/>
      <c r="D135" s="8"/>
      <c r="E135" s="8"/>
      <c r="F135" s="8"/>
    </row>
    <row r="136" ht="13.5" customHeight="1">
      <c r="A136" s="8" t="s">
        <v>106</v>
      </c>
      <c r="B136" s="8">
        <v>22501.0</v>
      </c>
      <c r="C136" s="8"/>
      <c r="D136" s="8"/>
      <c r="E136" s="8"/>
      <c r="F136" s="8"/>
    </row>
    <row r="137" ht="13.5" customHeight="1">
      <c r="A137" s="8" t="s">
        <v>46</v>
      </c>
      <c r="B137" s="8">
        <v>22532.0</v>
      </c>
      <c r="C137" s="8"/>
      <c r="D137" s="8"/>
      <c r="E137" s="8"/>
      <c r="F137" s="8"/>
    </row>
    <row r="138" ht="13.5" customHeight="1">
      <c r="A138" s="8" t="s">
        <v>40</v>
      </c>
      <c r="B138" s="8">
        <v>23264.0</v>
      </c>
      <c r="C138" s="8"/>
      <c r="D138" s="8"/>
      <c r="E138" s="8"/>
      <c r="F138" s="8"/>
    </row>
    <row r="139" ht="13.5" customHeight="1">
      <c r="A139" s="8" t="s">
        <v>111</v>
      </c>
      <c r="B139" s="8">
        <v>23488.0</v>
      </c>
      <c r="C139" s="8"/>
      <c r="D139" s="8"/>
      <c r="E139" s="8"/>
      <c r="F139" s="8"/>
    </row>
    <row r="140" ht="13.5" customHeight="1">
      <c r="A140" s="8" t="s">
        <v>106</v>
      </c>
      <c r="B140" s="8">
        <v>23584.0</v>
      </c>
      <c r="C140" s="8"/>
      <c r="D140" s="8"/>
      <c r="E140" s="8"/>
      <c r="F140" s="8"/>
    </row>
    <row r="141" ht="13.5" customHeight="1">
      <c r="A141" s="8" t="s">
        <v>144</v>
      </c>
      <c r="B141" s="8">
        <v>24007.0</v>
      </c>
      <c r="C141" s="8"/>
      <c r="D141" s="8"/>
      <c r="E141" s="8"/>
      <c r="F141" s="8"/>
    </row>
    <row r="142" ht="13.5" customHeight="1">
      <c r="A142" s="8" t="s">
        <v>296</v>
      </c>
      <c r="B142" s="8">
        <v>24038.0</v>
      </c>
      <c r="C142" s="8"/>
      <c r="D142" s="8"/>
      <c r="E142" s="8"/>
      <c r="F142" s="8"/>
    </row>
    <row r="143" ht="13.5" customHeight="1">
      <c r="A143" s="8" t="s">
        <v>196</v>
      </c>
      <c r="B143" s="8">
        <v>24097.0</v>
      </c>
      <c r="C143" s="8"/>
      <c r="D143" s="8"/>
      <c r="E143" s="8"/>
      <c r="F143" s="8"/>
    </row>
    <row r="144" ht="13.5" customHeight="1">
      <c r="A144" s="8" t="s">
        <v>114</v>
      </c>
      <c r="B144" s="8">
        <v>24128.0</v>
      </c>
      <c r="C144" s="8"/>
      <c r="D144" s="8"/>
      <c r="E144" s="8"/>
      <c r="F144" s="8"/>
    </row>
    <row r="145" ht="13.5" customHeight="1">
      <c r="A145" s="8" t="s">
        <v>240</v>
      </c>
      <c r="B145" s="8">
        <v>24294.0</v>
      </c>
      <c r="C145" s="8"/>
      <c r="D145" s="8"/>
      <c r="E145" s="8"/>
      <c r="F145" s="8"/>
    </row>
    <row r="146" ht="13.5" customHeight="1">
      <c r="A146" s="8" t="s">
        <v>283</v>
      </c>
      <c r="B146" s="8">
        <v>24387.0</v>
      </c>
      <c r="C146" s="8"/>
      <c r="D146" s="8"/>
      <c r="E146" s="8"/>
      <c r="F146" s="8"/>
    </row>
    <row r="147" ht="13.5" customHeight="1">
      <c r="A147" s="8" t="s">
        <v>114</v>
      </c>
      <c r="B147" s="8">
        <v>24515.0</v>
      </c>
      <c r="C147" s="8"/>
      <c r="D147" s="8"/>
      <c r="E147" s="8"/>
      <c r="F147" s="8"/>
    </row>
    <row r="148" ht="13.5" customHeight="1">
      <c r="A148" s="8" t="s">
        <v>79</v>
      </c>
      <c r="B148" s="8">
        <v>24743.0</v>
      </c>
      <c r="C148" s="8"/>
      <c r="D148" s="8"/>
      <c r="E148" s="8"/>
      <c r="F148" s="8"/>
    </row>
    <row r="149" ht="13.5" customHeight="1">
      <c r="A149" s="8" t="s">
        <v>91</v>
      </c>
      <c r="B149" s="8">
        <v>24871.0</v>
      </c>
      <c r="C149" s="8"/>
      <c r="D149" s="8"/>
      <c r="E149" s="8"/>
      <c r="F149" s="8"/>
    </row>
    <row r="150" ht="13.5" customHeight="1">
      <c r="A150" s="8" t="s">
        <v>111</v>
      </c>
      <c r="B150" s="8">
        <v>25318.0</v>
      </c>
      <c r="C150" s="8"/>
      <c r="D150" s="8"/>
      <c r="E150" s="8"/>
      <c r="F150" s="8"/>
    </row>
    <row r="151" ht="13.5" customHeight="1">
      <c r="A151" s="8" t="s">
        <v>133</v>
      </c>
      <c r="B151" s="8">
        <v>25377.0</v>
      </c>
      <c r="C151" s="8"/>
      <c r="D151" s="8"/>
      <c r="E151" s="8"/>
      <c r="F151" s="8"/>
    </row>
    <row r="152" ht="13.5" customHeight="1">
      <c r="A152" s="8" t="s">
        <v>317</v>
      </c>
      <c r="B152" s="8">
        <v>25634.0</v>
      </c>
      <c r="C152" s="8"/>
      <c r="D152" s="8"/>
      <c r="E152" s="8"/>
      <c r="F152" s="8"/>
    </row>
    <row r="153" ht="13.5" customHeight="1">
      <c r="A153" s="8" t="s">
        <v>114</v>
      </c>
      <c r="B153" s="8">
        <v>25733.0</v>
      </c>
      <c r="C153" s="8"/>
      <c r="D153" s="8"/>
      <c r="E153" s="8"/>
      <c r="F153" s="8"/>
    </row>
    <row r="154" ht="13.5" customHeight="1">
      <c r="A154" s="8" t="s">
        <v>141</v>
      </c>
      <c r="B154" s="8">
        <v>25767.0</v>
      </c>
      <c r="C154" s="8"/>
      <c r="D154" s="8"/>
      <c r="E154" s="8"/>
      <c r="F154" s="8"/>
    </row>
    <row r="155" ht="13.5" customHeight="1">
      <c r="A155" s="8" t="s">
        <v>321</v>
      </c>
      <c r="B155" s="8">
        <v>26023.0</v>
      </c>
      <c r="C155" s="8"/>
      <c r="D155" s="8"/>
      <c r="E155" s="8"/>
      <c r="F155" s="8"/>
    </row>
    <row r="156" ht="13.5" customHeight="1">
      <c r="A156" s="8" t="s">
        <v>97</v>
      </c>
      <c r="B156" s="8">
        <v>26051.0</v>
      </c>
      <c r="C156" s="8"/>
      <c r="D156" s="8"/>
      <c r="E156" s="8"/>
      <c r="F156" s="8"/>
    </row>
    <row r="157" ht="13.5" customHeight="1">
      <c r="A157" s="8" t="s">
        <v>46</v>
      </c>
      <c r="B157" s="8">
        <v>26116.0</v>
      </c>
      <c r="C157" s="8"/>
      <c r="D157" s="8"/>
      <c r="E157" s="8"/>
      <c r="F157" s="8"/>
    </row>
    <row r="158" ht="13.5" customHeight="1">
      <c r="A158" s="8" t="s">
        <v>190</v>
      </c>
      <c r="B158" s="8">
        <v>26182.0</v>
      </c>
      <c r="C158" s="8"/>
      <c r="D158" s="8"/>
      <c r="E158" s="8"/>
      <c r="F158" s="8"/>
    </row>
    <row r="159" ht="13.5" customHeight="1">
      <c r="A159" s="8" t="s">
        <v>69</v>
      </c>
      <c r="B159" s="8">
        <v>26272.0</v>
      </c>
      <c r="C159" s="8"/>
      <c r="D159" s="8"/>
      <c r="E159" s="8"/>
      <c r="F159" s="8"/>
    </row>
    <row r="160" ht="13.5" customHeight="1">
      <c r="A160" s="8" t="s">
        <v>291</v>
      </c>
      <c r="B160" s="8">
        <v>26370.0</v>
      </c>
      <c r="C160" s="8"/>
      <c r="D160" s="8"/>
      <c r="E160" s="8"/>
      <c r="F160" s="8"/>
    </row>
    <row r="161" ht="13.5" customHeight="1">
      <c r="A161" s="8" t="s">
        <v>79</v>
      </c>
      <c r="B161" s="8">
        <v>26499.0</v>
      </c>
      <c r="C161" s="8"/>
      <c r="D161" s="8"/>
      <c r="E161" s="8"/>
      <c r="F161" s="8"/>
    </row>
    <row r="162" ht="13.5" customHeight="1">
      <c r="A162" s="8" t="s">
        <v>139</v>
      </c>
      <c r="B162" s="8">
        <v>26531.0</v>
      </c>
      <c r="C162" s="8"/>
      <c r="D162" s="8"/>
      <c r="E162" s="8"/>
      <c r="F162" s="8"/>
    </row>
    <row r="163" ht="13.5" customHeight="1">
      <c r="A163" s="8" t="s">
        <v>79</v>
      </c>
      <c r="B163" s="8">
        <v>26567.0</v>
      </c>
      <c r="C163" s="8"/>
      <c r="D163" s="8"/>
      <c r="E163" s="8"/>
      <c r="F163" s="8"/>
    </row>
    <row r="164" ht="13.5" customHeight="1">
      <c r="A164" s="8" t="s">
        <v>334</v>
      </c>
      <c r="B164" s="8">
        <v>26854.0</v>
      </c>
      <c r="C164" s="8"/>
      <c r="D164" s="8"/>
      <c r="E164" s="8"/>
      <c r="F164" s="8"/>
    </row>
    <row r="165" ht="13.5" customHeight="1">
      <c r="A165" s="8" t="s">
        <v>32</v>
      </c>
      <c r="B165" s="8">
        <v>27109.0</v>
      </c>
      <c r="C165" s="8"/>
      <c r="D165" s="8"/>
      <c r="E165" s="8"/>
      <c r="F165" s="8"/>
    </row>
    <row r="166" ht="13.5" customHeight="1">
      <c r="A166" s="8" t="s">
        <v>289</v>
      </c>
      <c r="B166" s="8">
        <v>27111.0</v>
      </c>
      <c r="C166" s="8"/>
      <c r="D166" s="8"/>
      <c r="E166" s="8"/>
      <c r="F166" s="8"/>
    </row>
    <row r="167" ht="13.5" customHeight="1">
      <c r="A167" s="8" t="s">
        <v>339</v>
      </c>
      <c r="B167" s="8">
        <v>27264.0</v>
      </c>
      <c r="C167" s="8"/>
      <c r="D167" s="8"/>
      <c r="E167" s="8"/>
      <c r="F167" s="8"/>
    </row>
    <row r="168" ht="13.5" customHeight="1">
      <c r="A168" s="8" t="s">
        <v>137</v>
      </c>
      <c r="B168" s="8">
        <v>27392.0</v>
      </c>
      <c r="C168" s="8"/>
      <c r="D168" s="8"/>
      <c r="E168" s="8"/>
      <c r="F168" s="8"/>
    </row>
    <row r="169" ht="13.5" customHeight="1">
      <c r="A169" s="8" t="s">
        <v>85</v>
      </c>
      <c r="B169" s="8">
        <v>27553.0</v>
      </c>
      <c r="C169" s="8"/>
      <c r="D169" s="8"/>
      <c r="E169" s="8"/>
      <c r="F169" s="8"/>
    </row>
    <row r="170" ht="13.5" customHeight="1">
      <c r="A170" s="8" t="s">
        <v>160</v>
      </c>
      <c r="B170" s="8">
        <v>27555.0</v>
      </c>
      <c r="C170" s="8"/>
      <c r="D170" s="8"/>
      <c r="E170" s="8"/>
      <c r="F170" s="8"/>
    </row>
    <row r="171" ht="13.5" customHeight="1">
      <c r="A171" s="8" t="s">
        <v>188</v>
      </c>
      <c r="B171" s="8">
        <v>27680.0</v>
      </c>
      <c r="C171" s="8"/>
      <c r="D171" s="8"/>
      <c r="E171" s="8"/>
      <c r="F171" s="8"/>
    </row>
    <row r="172" ht="13.5" customHeight="1">
      <c r="A172" s="8" t="s">
        <v>347</v>
      </c>
      <c r="B172" s="8">
        <v>27778.0</v>
      </c>
      <c r="C172" s="8"/>
      <c r="D172" s="8"/>
      <c r="E172" s="8"/>
      <c r="F172" s="8"/>
    </row>
    <row r="173" ht="13.5" customHeight="1">
      <c r="A173" s="8" t="s">
        <v>57</v>
      </c>
      <c r="B173" s="8">
        <v>27909.0</v>
      </c>
      <c r="C173" s="8"/>
      <c r="D173" s="8"/>
      <c r="E173" s="8"/>
      <c r="F173" s="8"/>
    </row>
    <row r="174" ht="13.5" customHeight="1">
      <c r="A174" s="8" t="s">
        <v>321</v>
      </c>
      <c r="B174" s="8">
        <v>28003.0</v>
      </c>
      <c r="C174" s="8"/>
      <c r="D174" s="8"/>
      <c r="E174" s="8"/>
      <c r="F174" s="8"/>
    </row>
    <row r="175" ht="13.5" customHeight="1">
      <c r="A175" s="8" t="s">
        <v>94</v>
      </c>
      <c r="B175" s="8">
        <v>28035.0</v>
      </c>
      <c r="C175" s="8"/>
      <c r="D175" s="8"/>
      <c r="E175" s="8"/>
      <c r="F175" s="8"/>
    </row>
    <row r="176" ht="13.5" customHeight="1">
      <c r="A176" s="8" t="s">
        <v>354</v>
      </c>
      <c r="B176" s="8">
        <v>28135.0</v>
      </c>
      <c r="C176" s="8"/>
      <c r="D176" s="8"/>
      <c r="E176" s="8"/>
      <c r="F176" s="8"/>
    </row>
    <row r="177" ht="13.5" customHeight="1">
      <c r="A177" s="8" t="s">
        <v>102</v>
      </c>
      <c r="B177" s="8">
        <v>28165.0</v>
      </c>
      <c r="C177" s="8"/>
      <c r="D177" s="8"/>
      <c r="E177" s="8"/>
      <c r="F177" s="8"/>
    </row>
    <row r="178" ht="13.5" customHeight="1">
      <c r="A178" s="8" t="s">
        <v>91</v>
      </c>
      <c r="B178" s="8">
        <v>28289.0</v>
      </c>
      <c r="C178" s="8"/>
      <c r="D178" s="8"/>
      <c r="E178" s="8"/>
      <c r="F178" s="8"/>
    </row>
    <row r="179" ht="13.5" customHeight="1">
      <c r="A179" s="8" t="s">
        <v>69</v>
      </c>
      <c r="B179" s="8">
        <v>28486.0</v>
      </c>
      <c r="C179" s="8"/>
      <c r="D179" s="8"/>
      <c r="E179" s="8"/>
      <c r="F179" s="8"/>
    </row>
    <row r="180" ht="13.5" customHeight="1">
      <c r="A180" s="8" t="s">
        <v>160</v>
      </c>
      <c r="B180" s="8">
        <v>28675.0</v>
      </c>
      <c r="C180" s="8"/>
      <c r="D180" s="8"/>
      <c r="E180" s="8"/>
      <c r="F180" s="8"/>
    </row>
    <row r="181" ht="13.5" customHeight="1">
      <c r="A181" s="8" t="s">
        <v>360</v>
      </c>
      <c r="B181" s="8">
        <v>28870.0</v>
      </c>
      <c r="C181" s="8"/>
      <c r="D181" s="8"/>
      <c r="E181" s="8"/>
      <c r="F181" s="8"/>
    </row>
    <row r="182" ht="13.5" customHeight="1">
      <c r="A182" s="8" t="s">
        <v>72</v>
      </c>
      <c r="B182" s="8">
        <v>28871.0</v>
      </c>
      <c r="C182" s="8"/>
      <c r="D182" s="8"/>
      <c r="E182" s="8"/>
      <c r="F182" s="8"/>
    </row>
    <row r="183" ht="13.5" customHeight="1">
      <c r="A183" s="8" t="s">
        <v>347</v>
      </c>
      <c r="B183" s="8">
        <v>29030.0</v>
      </c>
      <c r="C183" s="8"/>
      <c r="D183" s="8"/>
      <c r="E183" s="8"/>
      <c r="F183" s="8"/>
    </row>
    <row r="184" ht="13.5" customHeight="1">
      <c r="A184" s="8" t="s">
        <v>188</v>
      </c>
      <c r="B184" s="8">
        <v>29095.0</v>
      </c>
      <c r="C184" s="8"/>
      <c r="D184" s="8"/>
      <c r="E184" s="8"/>
      <c r="F184" s="8"/>
    </row>
    <row r="185" ht="13.5" customHeight="1">
      <c r="A185" s="8" t="s">
        <v>118</v>
      </c>
      <c r="B185" s="8">
        <v>29287.0</v>
      </c>
      <c r="C185" s="8"/>
      <c r="D185" s="8"/>
      <c r="E185" s="8"/>
      <c r="F185" s="8"/>
    </row>
    <row r="186" ht="13.5" customHeight="1">
      <c r="A186" s="8" t="s">
        <v>94</v>
      </c>
      <c r="B186" s="8">
        <v>29510.0</v>
      </c>
      <c r="C186" s="8"/>
      <c r="D186" s="8"/>
      <c r="E186" s="8"/>
      <c r="F186" s="8"/>
    </row>
    <row r="187" ht="13.5" customHeight="1">
      <c r="A187" s="8" t="s">
        <v>102</v>
      </c>
      <c r="B187" s="8">
        <v>29795.0</v>
      </c>
      <c r="C187" s="8"/>
      <c r="D187" s="8"/>
      <c r="E187" s="8"/>
      <c r="F187" s="8"/>
    </row>
    <row r="188" ht="13.5" customHeight="1">
      <c r="A188" s="8" t="s">
        <v>120</v>
      </c>
      <c r="B188" s="8">
        <v>29861.0</v>
      </c>
      <c r="C188" s="8"/>
      <c r="D188" s="8"/>
      <c r="E188" s="8"/>
      <c r="F188" s="8"/>
    </row>
    <row r="189" ht="13.5" customHeight="1">
      <c r="A189" s="8" t="s">
        <v>321</v>
      </c>
      <c r="B189" s="8">
        <v>30658.0</v>
      </c>
      <c r="C189" s="8"/>
      <c r="D189" s="8"/>
      <c r="E189" s="8"/>
      <c r="F189" s="8"/>
    </row>
    <row r="190" ht="13.5" customHeight="1">
      <c r="A190" s="8" t="s">
        <v>321</v>
      </c>
      <c r="B190" s="8">
        <v>30947.0</v>
      </c>
      <c r="C190" s="8"/>
      <c r="D190" s="8"/>
      <c r="E190" s="8"/>
      <c r="F190" s="8"/>
    </row>
    <row r="191" ht="13.5" customHeight="1">
      <c r="A191" s="8" t="s">
        <v>283</v>
      </c>
      <c r="B191" s="8">
        <v>31077.0</v>
      </c>
      <c r="C191" s="8"/>
      <c r="D191" s="8"/>
      <c r="E191" s="8"/>
      <c r="F191" s="8"/>
    </row>
    <row r="192" ht="13.5" customHeight="1">
      <c r="A192" s="8" t="s">
        <v>57</v>
      </c>
      <c r="B192" s="8">
        <v>31111.0</v>
      </c>
      <c r="C192" s="8"/>
      <c r="D192" s="8"/>
      <c r="E192" s="8"/>
      <c r="F192" s="8"/>
    </row>
    <row r="193" ht="13.5" customHeight="1">
      <c r="A193" s="8" t="s">
        <v>139</v>
      </c>
      <c r="B193" s="8">
        <v>31169.0</v>
      </c>
      <c r="C193" s="8"/>
      <c r="D193" s="8"/>
      <c r="E193" s="8"/>
      <c r="F193" s="8"/>
    </row>
    <row r="194" ht="13.5" customHeight="1">
      <c r="A194" s="8" t="s">
        <v>139</v>
      </c>
      <c r="B194" s="8">
        <v>31270.0</v>
      </c>
      <c r="C194" s="8"/>
      <c r="D194" s="8"/>
      <c r="E194" s="8"/>
      <c r="F194" s="8"/>
    </row>
    <row r="195" ht="13.5" customHeight="1">
      <c r="A195" s="8" t="s">
        <v>135</v>
      </c>
      <c r="B195" s="8">
        <v>31364.0</v>
      </c>
      <c r="C195" s="8"/>
      <c r="D195" s="8"/>
      <c r="E195" s="8"/>
      <c r="F195" s="8"/>
    </row>
    <row r="196" ht="13.5" customHeight="1">
      <c r="A196" s="8" t="s">
        <v>360</v>
      </c>
      <c r="B196" s="8">
        <v>31393.0</v>
      </c>
      <c r="C196" s="8"/>
      <c r="D196" s="8"/>
      <c r="E196" s="8"/>
      <c r="F196" s="8"/>
    </row>
    <row r="197" ht="13.5" customHeight="1">
      <c r="A197" s="8" t="s">
        <v>122</v>
      </c>
      <c r="B197" s="8">
        <v>31492.0</v>
      </c>
      <c r="C197" s="8"/>
      <c r="D197" s="8"/>
      <c r="E197" s="8"/>
      <c r="F197" s="8"/>
    </row>
    <row r="198" ht="13.5" customHeight="1">
      <c r="A198" s="8" t="s">
        <v>279</v>
      </c>
      <c r="B198" s="8">
        <v>31558.0</v>
      </c>
      <c r="C198" s="8"/>
      <c r="D198" s="8"/>
      <c r="E198" s="8"/>
      <c r="F198" s="8"/>
    </row>
    <row r="199" ht="13.5" customHeight="1">
      <c r="A199" s="8" t="s">
        <v>347</v>
      </c>
      <c r="B199" s="8">
        <v>31618.0</v>
      </c>
      <c r="C199" s="8"/>
      <c r="D199" s="8"/>
      <c r="E199" s="8"/>
      <c r="F199" s="8"/>
    </row>
    <row r="200" ht="13.5" customHeight="1">
      <c r="A200" s="8" t="s">
        <v>381</v>
      </c>
      <c r="B200" s="8">
        <v>31684.0</v>
      </c>
      <c r="C200" s="8"/>
      <c r="D200" s="8"/>
      <c r="E200" s="8"/>
      <c r="F200" s="8"/>
    </row>
    <row r="201" ht="13.5" customHeight="1">
      <c r="A201" s="8" t="s">
        <v>79</v>
      </c>
      <c r="B201" s="8">
        <v>31781.0</v>
      </c>
      <c r="C201" s="8"/>
      <c r="D201" s="8"/>
      <c r="E201" s="8"/>
      <c r="F201" s="8"/>
    </row>
    <row r="202" ht="13.5" customHeight="1">
      <c r="A202" s="8" t="s">
        <v>281</v>
      </c>
      <c r="B202" s="8">
        <v>32193.0</v>
      </c>
      <c r="C202" s="8"/>
      <c r="D202" s="8"/>
      <c r="E202" s="8"/>
      <c r="F202" s="8"/>
    </row>
    <row r="203" ht="13.5" customHeight="1">
      <c r="A203" s="8" t="s">
        <v>69</v>
      </c>
      <c r="B203" s="8">
        <v>32229.0</v>
      </c>
      <c r="C203" s="8"/>
      <c r="D203" s="8"/>
      <c r="E203" s="8"/>
      <c r="F203" s="8"/>
    </row>
    <row r="204" ht="13.5" customHeight="1">
      <c r="A204" s="8" t="s">
        <v>102</v>
      </c>
      <c r="B204" s="8">
        <v>32743.0</v>
      </c>
      <c r="C204" s="8"/>
      <c r="D204" s="8"/>
      <c r="E204" s="8"/>
      <c r="F204" s="8"/>
    </row>
    <row r="205" ht="13.5" customHeight="1">
      <c r="A205" s="8" t="s">
        <v>111</v>
      </c>
      <c r="B205" s="8">
        <v>32806.0</v>
      </c>
      <c r="C205" s="8"/>
      <c r="D205" s="8"/>
      <c r="E205" s="8"/>
      <c r="F205" s="8"/>
    </row>
    <row r="206" ht="13.5" customHeight="1">
      <c r="A206" s="8" t="s">
        <v>347</v>
      </c>
      <c r="B206" s="8">
        <v>33123.0</v>
      </c>
      <c r="C206" s="8"/>
      <c r="D206" s="8"/>
      <c r="E206" s="8"/>
      <c r="F206" s="8"/>
    </row>
    <row r="207" ht="13.5" customHeight="1">
      <c r="A207" s="8" t="s">
        <v>360</v>
      </c>
      <c r="B207" s="8">
        <v>33159.0</v>
      </c>
      <c r="C207" s="8"/>
      <c r="D207" s="8"/>
      <c r="E207" s="8"/>
      <c r="F207" s="8"/>
    </row>
    <row r="208" ht="13.5" customHeight="1">
      <c r="A208" s="8" t="s">
        <v>133</v>
      </c>
      <c r="B208" s="8">
        <v>33186.0</v>
      </c>
      <c r="C208" s="8"/>
      <c r="D208" s="8"/>
      <c r="E208" s="8"/>
      <c r="F208" s="8"/>
    </row>
    <row r="209" ht="13.5" customHeight="1">
      <c r="A209" s="8" t="s">
        <v>135</v>
      </c>
      <c r="B209" s="8">
        <v>33377.0</v>
      </c>
      <c r="C209" s="8"/>
      <c r="D209" s="8"/>
      <c r="E209" s="8"/>
      <c r="F209" s="8"/>
    </row>
    <row r="210" ht="13.5" customHeight="1">
      <c r="A210" s="8" t="s">
        <v>106</v>
      </c>
      <c r="B210" s="8">
        <v>33444.0</v>
      </c>
      <c r="C210" s="8"/>
      <c r="D210" s="8"/>
      <c r="E210" s="8"/>
      <c r="F210" s="8"/>
    </row>
    <row r="211" ht="13.5" customHeight="1">
      <c r="A211" s="8" t="s">
        <v>91</v>
      </c>
      <c r="B211" s="8">
        <v>33703.0</v>
      </c>
      <c r="C211" s="8"/>
      <c r="D211" s="8"/>
      <c r="E211" s="8"/>
      <c r="F211" s="8"/>
    </row>
    <row r="212" ht="13.5" customHeight="1">
      <c r="A212" s="8" t="s">
        <v>194</v>
      </c>
      <c r="B212" s="8">
        <v>33734.0</v>
      </c>
      <c r="C212" s="8"/>
      <c r="D212" s="8"/>
      <c r="E212" s="8"/>
      <c r="F212" s="8"/>
    </row>
    <row r="213" ht="13.5" customHeight="1">
      <c r="A213" s="8" t="s">
        <v>289</v>
      </c>
      <c r="B213" s="8">
        <v>33888.0</v>
      </c>
      <c r="C213" s="8"/>
      <c r="D213" s="8"/>
      <c r="E213" s="8"/>
      <c r="F213" s="8"/>
    </row>
    <row r="214" ht="13.5" customHeight="1">
      <c r="A214" s="8" t="s">
        <v>190</v>
      </c>
      <c r="B214" s="8">
        <v>33894.0</v>
      </c>
      <c r="C214" s="8"/>
      <c r="D214" s="8"/>
      <c r="E214" s="8"/>
      <c r="F214" s="8"/>
    </row>
    <row r="215" ht="13.5" customHeight="1">
      <c r="A215" s="8" t="s">
        <v>69</v>
      </c>
      <c r="B215" s="8">
        <v>33922.0</v>
      </c>
      <c r="C215" s="8"/>
      <c r="D215" s="8"/>
      <c r="E215" s="8"/>
      <c r="F215" s="8"/>
    </row>
    <row r="216" ht="13.5" customHeight="1">
      <c r="A216" s="8" t="s">
        <v>405</v>
      </c>
      <c r="B216" s="8">
        <v>34177.0</v>
      </c>
      <c r="C216" s="8"/>
      <c r="D216" s="8"/>
      <c r="E216" s="8"/>
      <c r="F216" s="8"/>
    </row>
    <row r="217" ht="13.5" customHeight="1">
      <c r="A217" s="8" t="s">
        <v>279</v>
      </c>
      <c r="B217" s="8">
        <v>34215.0</v>
      </c>
      <c r="C217" s="8"/>
      <c r="D217" s="8"/>
      <c r="E217" s="8"/>
      <c r="F217" s="8"/>
    </row>
    <row r="218" ht="13.5" customHeight="1">
      <c r="A218" s="8" t="s">
        <v>240</v>
      </c>
      <c r="B218" s="8">
        <v>34246.0</v>
      </c>
      <c r="C218" s="8"/>
      <c r="D218" s="8"/>
      <c r="E218" s="8"/>
      <c r="F218" s="8"/>
    </row>
    <row r="219" ht="13.5" customHeight="1">
      <c r="A219" s="8" t="s">
        <v>203</v>
      </c>
      <c r="B219" s="8">
        <v>34631.0</v>
      </c>
      <c r="C219" s="8"/>
      <c r="D219" s="8"/>
      <c r="E219" s="8"/>
      <c r="F219" s="8"/>
    </row>
    <row r="220" ht="13.5" customHeight="1">
      <c r="A220" s="8" t="s">
        <v>334</v>
      </c>
      <c r="B220" s="8">
        <v>35047.0</v>
      </c>
      <c r="C220" s="8"/>
      <c r="D220" s="8"/>
      <c r="E220" s="8"/>
      <c r="F220" s="8"/>
    </row>
    <row r="221" ht="13.5" customHeight="1">
      <c r="A221" s="8" t="s">
        <v>135</v>
      </c>
      <c r="B221" s="8">
        <v>35266.0</v>
      </c>
      <c r="C221" s="8"/>
      <c r="D221" s="8"/>
      <c r="E221" s="8"/>
      <c r="F221" s="8"/>
    </row>
    <row r="222" ht="13.5" customHeight="1">
      <c r="A222" s="8" t="s">
        <v>114</v>
      </c>
      <c r="B222" s="8">
        <v>35847.0</v>
      </c>
      <c r="C222" s="8"/>
      <c r="D222" s="8"/>
      <c r="E222" s="8"/>
      <c r="F222" s="8"/>
    </row>
    <row r="223" ht="13.5" customHeight="1">
      <c r="A223" s="8" t="s">
        <v>139</v>
      </c>
      <c r="B223" s="8">
        <v>36001.0</v>
      </c>
      <c r="C223" s="8"/>
      <c r="D223" s="8"/>
      <c r="E223" s="8"/>
      <c r="F223" s="8"/>
    </row>
    <row r="224" ht="13.5" customHeight="1">
      <c r="A224" s="8" t="s">
        <v>102</v>
      </c>
      <c r="B224" s="8">
        <v>36134.0</v>
      </c>
      <c r="C224" s="8"/>
      <c r="D224" s="8"/>
      <c r="E224" s="8"/>
      <c r="F224" s="8"/>
    </row>
    <row r="225" ht="13.5" customHeight="1">
      <c r="A225" s="8" t="s">
        <v>166</v>
      </c>
      <c r="B225" s="8">
        <v>36135.0</v>
      </c>
      <c r="C225" s="8"/>
      <c r="D225" s="8"/>
      <c r="E225" s="8"/>
      <c r="F225" s="8"/>
    </row>
    <row r="226" ht="13.5" customHeight="1">
      <c r="A226" s="8" t="s">
        <v>124</v>
      </c>
      <c r="B226" s="8">
        <v>36644.0</v>
      </c>
      <c r="C226" s="8"/>
      <c r="D226" s="8"/>
      <c r="E226" s="8"/>
      <c r="F226" s="8"/>
    </row>
    <row r="227" ht="13.5" customHeight="1">
      <c r="A227" s="8" t="s">
        <v>23</v>
      </c>
      <c r="B227" s="8">
        <v>36646.0</v>
      </c>
      <c r="C227" s="8"/>
      <c r="D227" s="8"/>
      <c r="E227" s="8"/>
      <c r="F227" s="8"/>
    </row>
    <row r="228" ht="13.5" customHeight="1">
      <c r="A228" s="8" t="s">
        <v>334</v>
      </c>
      <c r="B228" s="8">
        <v>36707.0</v>
      </c>
      <c r="C228" s="8"/>
      <c r="D228" s="8"/>
      <c r="E228" s="8"/>
      <c r="F228" s="8"/>
    </row>
    <row r="229" ht="13.5" customHeight="1">
      <c r="A229" s="8" t="s">
        <v>23</v>
      </c>
      <c r="B229" s="8">
        <v>37253.0</v>
      </c>
      <c r="C229" s="8"/>
      <c r="D229" s="8"/>
      <c r="E229" s="8"/>
      <c r="F229" s="8"/>
    </row>
    <row r="230" ht="13.5" customHeight="1">
      <c r="A230" s="8" t="s">
        <v>72</v>
      </c>
      <c r="B230" s="8">
        <v>37541.0</v>
      </c>
      <c r="C230" s="8"/>
      <c r="D230" s="8"/>
      <c r="E230" s="8"/>
      <c r="F230" s="8"/>
    </row>
    <row r="231" ht="13.5" customHeight="1">
      <c r="A231" s="8" t="s">
        <v>203</v>
      </c>
      <c r="B231" s="8">
        <v>37634.0</v>
      </c>
      <c r="C231" s="8"/>
      <c r="D231" s="8"/>
      <c r="E231" s="8"/>
      <c r="F231" s="8"/>
    </row>
    <row r="232" ht="13.5" customHeight="1">
      <c r="A232" s="8" t="s">
        <v>124</v>
      </c>
      <c r="B232" s="8">
        <v>37793.0</v>
      </c>
      <c r="C232" s="8"/>
      <c r="D232" s="8"/>
      <c r="E232" s="8"/>
      <c r="F232" s="8"/>
    </row>
    <row r="233" ht="13.5" customHeight="1">
      <c r="A233" s="8" t="s">
        <v>317</v>
      </c>
      <c r="B233" s="8">
        <v>37860.0</v>
      </c>
      <c r="C233" s="8"/>
      <c r="D233" s="8"/>
      <c r="E233" s="8"/>
      <c r="F233" s="8"/>
    </row>
    <row r="234" ht="13.5" customHeight="1">
      <c r="A234" s="8" t="s">
        <v>118</v>
      </c>
      <c r="B234" s="8">
        <v>38884.0</v>
      </c>
      <c r="C234" s="8"/>
      <c r="D234" s="8"/>
      <c r="E234" s="8"/>
      <c r="F234" s="8"/>
    </row>
    <row r="235" ht="13.5" customHeight="1">
      <c r="A235" s="8" t="s">
        <v>194</v>
      </c>
      <c r="B235" s="8">
        <v>39364.0</v>
      </c>
      <c r="C235" s="8"/>
      <c r="D235" s="8"/>
      <c r="E235" s="8"/>
      <c r="F235" s="8"/>
    </row>
    <row r="236" ht="13.5" customHeight="1">
      <c r="A236" s="8" t="s">
        <v>111</v>
      </c>
      <c r="B236" s="8">
        <v>39457.0</v>
      </c>
      <c r="C236" s="8"/>
      <c r="D236" s="8"/>
      <c r="E236" s="8"/>
      <c r="F236" s="8"/>
    </row>
    <row r="237" ht="13.5" customHeight="1">
      <c r="A237" s="8" t="s">
        <v>354</v>
      </c>
      <c r="B237" s="8">
        <v>39683.0</v>
      </c>
      <c r="C237" s="8"/>
      <c r="D237" s="8"/>
      <c r="E237" s="8"/>
      <c r="F237" s="8"/>
    </row>
    <row r="238" ht="13.5" customHeight="1">
      <c r="A238" s="8" t="s">
        <v>360</v>
      </c>
      <c r="B238" s="8">
        <v>39846.0</v>
      </c>
      <c r="C238" s="8"/>
      <c r="D238" s="8"/>
      <c r="E238" s="8"/>
      <c r="F238" s="8"/>
    </row>
    <row r="239" ht="13.5" customHeight="1">
      <c r="A239" s="8" t="s">
        <v>289</v>
      </c>
      <c r="B239" s="8">
        <v>40036.0</v>
      </c>
      <c r="C239" s="8"/>
      <c r="D239" s="8"/>
      <c r="E239" s="8"/>
      <c r="F239" s="8"/>
    </row>
    <row r="240" ht="13.5" customHeight="1">
      <c r="A240" s="8" t="s">
        <v>106</v>
      </c>
      <c r="B240" s="8">
        <v>40067.0</v>
      </c>
      <c r="C240" s="8"/>
      <c r="D240" s="8"/>
      <c r="E240" s="8"/>
      <c r="F240" s="8"/>
    </row>
    <row r="241" ht="13.5" customHeight="1">
      <c r="A241" s="8" t="s">
        <v>212</v>
      </c>
      <c r="B241" s="8">
        <v>40132.0</v>
      </c>
      <c r="C241" s="8"/>
      <c r="D241" s="8"/>
      <c r="E241" s="8"/>
      <c r="F241" s="8"/>
    </row>
    <row r="242" ht="13.5" customHeight="1">
      <c r="A242" s="8" t="s">
        <v>111</v>
      </c>
      <c r="B242" s="8">
        <v>40160.0</v>
      </c>
      <c r="C242" s="8"/>
      <c r="D242" s="8"/>
      <c r="E242" s="8"/>
      <c r="F242" s="8"/>
    </row>
    <row r="243" ht="13.5" customHeight="1">
      <c r="A243" s="8" t="s">
        <v>69</v>
      </c>
      <c r="B243" s="8">
        <v>40518.0</v>
      </c>
      <c r="C243" s="8"/>
      <c r="D243" s="8"/>
      <c r="E243" s="8"/>
      <c r="F243" s="8"/>
    </row>
    <row r="244" ht="13.5" customHeight="1">
      <c r="A244" s="8" t="s">
        <v>32</v>
      </c>
      <c r="B244" s="8">
        <v>40804.0</v>
      </c>
      <c r="C244" s="8"/>
      <c r="D244" s="8"/>
      <c r="E244" s="8"/>
      <c r="F244" s="8"/>
    </row>
    <row r="245" ht="13.5" customHeight="1">
      <c r="A245" s="8" t="s">
        <v>381</v>
      </c>
      <c r="B245" s="8">
        <v>40902.0</v>
      </c>
      <c r="C245" s="8"/>
      <c r="D245" s="8"/>
      <c r="E245" s="8"/>
      <c r="F245" s="8"/>
    </row>
    <row r="246" ht="13.5" customHeight="1">
      <c r="A246" s="8" t="s">
        <v>53</v>
      </c>
      <c r="B246" s="8">
        <v>41063.0</v>
      </c>
      <c r="C246" s="8"/>
      <c r="D246" s="8"/>
      <c r="E246" s="8"/>
      <c r="F246" s="8"/>
    </row>
    <row r="247" ht="13.5" customHeight="1">
      <c r="A247" s="8" t="s">
        <v>106</v>
      </c>
      <c r="B247" s="8">
        <v>41153.0</v>
      </c>
      <c r="C247" s="8"/>
      <c r="D247" s="8"/>
      <c r="E247" s="8"/>
      <c r="F247" s="8"/>
    </row>
    <row r="248" ht="13.5" customHeight="1">
      <c r="A248" s="8" t="s">
        <v>334</v>
      </c>
      <c r="B248" s="8">
        <v>41184.0</v>
      </c>
      <c r="C248" s="8"/>
      <c r="D248" s="8"/>
      <c r="E248" s="8"/>
      <c r="F248" s="8"/>
    </row>
    <row r="249" ht="13.5" customHeight="1">
      <c r="A249" s="8" t="s">
        <v>135</v>
      </c>
      <c r="B249" s="8">
        <v>41409.0</v>
      </c>
      <c r="C249" s="8"/>
      <c r="D249" s="8"/>
      <c r="E249" s="8"/>
      <c r="F249" s="8"/>
    </row>
    <row r="250" ht="13.5" customHeight="1">
      <c r="A250" s="8" t="s">
        <v>283</v>
      </c>
      <c r="B250" s="8">
        <v>41696.0</v>
      </c>
      <c r="C250" s="8"/>
      <c r="D250" s="8"/>
      <c r="E250" s="8"/>
      <c r="F250" s="8"/>
    </row>
    <row r="251" ht="13.5" customHeight="1">
      <c r="A251" s="8" t="s">
        <v>106</v>
      </c>
      <c r="B251" s="8">
        <v>42209.0</v>
      </c>
      <c r="C251" s="8"/>
      <c r="D251" s="8"/>
      <c r="E251" s="8"/>
      <c r="F251" s="8"/>
    </row>
    <row r="252" ht="13.5" customHeight="1">
      <c r="A252" s="8" t="s">
        <v>166</v>
      </c>
      <c r="B252" s="8">
        <v>42561.0</v>
      </c>
      <c r="C252" s="8"/>
      <c r="D252" s="8"/>
      <c r="E252" s="8"/>
      <c r="F252" s="8"/>
    </row>
    <row r="253" ht="13.5" customHeight="1">
      <c r="A253" s="8" t="s">
        <v>317</v>
      </c>
      <c r="B253" s="8">
        <v>42564.0</v>
      </c>
      <c r="C253" s="8"/>
      <c r="D253" s="8"/>
      <c r="E253" s="8"/>
      <c r="F253" s="8"/>
    </row>
    <row r="254" ht="13.5" customHeight="1">
      <c r="A254" s="8" t="s">
        <v>188</v>
      </c>
      <c r="B254" s="8">
        <v>42695.0</v>
      </c>
      <c r="C254" s="8"/>
      <c r="D254" s="8"/>
      <c r="E254" s="8"/>
      <c r="F254" s="8"/>
    </row>
    <row r="255" ht="13.5" customHeight="1">
      <c r="A255" s="8" t="s">
        <v>381</v>
      </c>
      <c r="B255" s="8">
        <v>42981.0</v>
      </c>
      <c r="C255" s="8"/>
      <c r="D255" s="8"/>
      <c r="E255" s="8"/>
      <c r="F255" s="8"/>
    </row>
    <row r="256" ht="13.5" customHeight="1">
      <c r="A256" s="8" t="s">
        <v>124</v>
      </c>
      <c r="B256" s="8">
        <v>43109.0</v>
      </c>
      <c r="C256" s="8"/>
      <c r="D256" s="8"/>
      <c r="E256" s="8"/>
      <c r="F256" s="8"/>
    </row>
    <row r="257" ht="13.5" customHeight="1">
      <c r="A257" s="8" t="s">
        <v>381</v>
      </c>
      <c r="B257" s="8">
        <v>43203.0</v>
      </c>
      <c r="C257" s="8"/>
      <c r="D257" s="8"/>
      <c r="E257" s="8"/>
      <c r="F257" s="8"/>
    </row>
    <row r="258" ht="13.5" customHeight="1">
      <c r="A258" s="8" t="s">
        <v>194</v>
      </c>
      <c r="B258" s="8">
        <v>43236.0</v>
      </c>
      <c r="C258" s="8"/>
      <c r="D258" s="8"/>
      <c r="E258" s="8"/>
      <c r="F258" s="8"/>
    </row>
    <row r="259" ht="13.5" customHeight="1">
      <c r="A259" s="8" t="s">
        <v>291</v>
      </c>
      <c r="B259" s="8">
        <v>43267.0</v>
      </c>
      <c r="C259" s="8"/>
      <c r="D259" s="8"/>
      <c r="E259" s="8"/>
      <c r="F259" s="8"/>
    </row>
    <row r="260" ht="13.5" customHeight="1">
      <c r="A260" s="8" t="s">
        <v>190</v>
      </c>
      <c r="B260" s="8">
        <v>43329.0</v>
      </c>
      <c r="C260" s="8"/>
      <c r="D260" s="8"/>
      <c r="E260" s="8"/>
      <c r="F260" s="8"/>
    </row>
    <row r="261" ht="13.5" customHeight="1">
      <c r="A261" s="8" t="s">
        <v>291</v>
      </c>
      <c r="B261" s="8">
        <v>43330.0</v>
      </c>
      <c r="C261" s="8"/>
      <c r="D261" s="8"/>
      <c r="E261" s="8"/>
      <c r="F261" s="8"/>
    </row>
    <row r="262" ht="13.5" customHeight="1">
      <c r="A262" s="8" t="s">
        <v>381</v>
      </c>
      <c r="B262" s="8">
        <v>43364.0</v>
      </c>
      <c r="C262" s="8"/>
      <c r="D262" s="8"/>
      <c r="E262" s="8"/>
      <c r="F262" s="8"/>
    </row>
    <row r="263" ht="13.5" customHeight="1">
      <c r="A263" s="8" t="s">
        <v>190</v>
      </c>
      <c r="B263" s="8">
        <v>43392.0</v>
      </c>
      <c r="C263" s="8"/>
      <c r="D263" s="8"/>
      <c r="E263" s="8"/>
      <c r="F263" s="8"/>
    </row>
    <row r="264" ht="13.5" customHeight="1">
      <c r="A264" s="8" t="s">
        <v>72</v>
      </c>
      <c r="B264" s="8">
        <v>43781.0</v>
      </c>
      <c r="C264" s="8"/>
      <c r="D264" s="8"/>
      <c r="E264" s="8"/>
      <c r="F264" s="8"/>
    </row>
    <row r="265" ht="13.5" customHeight="1">
      <c r="A265" s="8" t="s">
        <v>137</v>
      </c>
      <c r="B265" s="8">
        <v>44071.0</v>
      </c>
      <c r="C265" s="8"/>
      <c r="D265" s="8"/>
      <c r="E265" s="8"/>
      <c r="F265" s="8"/>
    </row>
    <row r="266" ht="13.5" customHeight="1">
      <c r="A266" s="8" t="s">
        <v>124</v>
      </c>
      <c r="B266" s="8">
        <v>44519.0</v>
      </c>
      <c r="C266" s="8"/>
      <c r="D266" s="8"/>
      <c r="E266" s="8"/>
      <c r="F266" s="8"/>
    </row>
    <row r="267" ht="13.5" customHeight="1">
      <c r="A267" s="8" t="s">
        <v>75</v>
      </c>
      <c r="B267" s="8">
        <v>44708.0</v>
      </c>
      <c r="C267" s="8"/>
      <c r="D267" s="8"/>
      <c r="E267" s="8"/>
      <c r="F267" s="8"/>
    </row>
    <row r="268" ht="13.5" customHeight="1">
      <c r="A268" s="8" t="s">
        <v>124</v>
      </c>
      <c r="B268" s="8">
        <v>44772.0</v>
      </c>
      <c r="C268" s="8"/>
      <c r="D268" s="8"/>
      <c r="E268" s="8"/>
      <c r="F268" s="8"/>
    </row>
    <row r="269" ht="13.5" customHeight="1">
      <c r="A269" s="8" t="s">
        <v>111</v>
      </c>
      <c r="B269" s="8">
        <v>44839.0</v>
      </c>
      <c r="C269" s="8"/>
      <c r="D269" s="8"/>
      <c r="E269" s="8"/>
      <c r="F269" s="8"/>
    </row>
    <row r="270" ht="13.5" customHeight="1">
      <c r="A270" s="8" t="s">
        <v>160</v>
      </c>
      <c r="B270" s="8">
        <v>45217.0</v>
      </c>
      <c r="C270" s="8"/>
      <c r="D270" s="8"/>
      <c r="E270" s="8"/>
      <c r="F270" s="8"/>
    </row>
    <row r="271" ht="13.5" customHeight="1">
      <c r="A271" s="8" t="s">
        <v>139</v>
      </c>
      <c r="B271" s="8">
        <v>45440.0</v>
      </c>
      <c r="C271" s="8"/>
      <c r="D271" s="8"/>
      <c r="E271" s="8"/>
      <c r="F271" s="8"/>
    </row>
    <row r="272" ht="13.5" customHeight="1">
      <c r="A272" s="8" t="s">
        <v>334</v>
      </c>
      <c r="B272" s="8">
        <v>45766.0</v>
      </c>
      <c r="C272" s="8"/>
      <c r="D272" s="8"/>
      <c r="E272" s="8"/>
      <c r="F272" s="8"/>
    </row>
    <row r="273" ht="13.5" customHeight="1">
      <c r="A273" s="8" t="s">
        <v>75</v>
      </c>
      <c r="B273" s="8">
        <v>45861.0</v>
      </c>
      <c r="C273" s="8"/>
      <c r="D273" s="8"/>
      <c r="E273" s="8"/>
      <c r="F273" s="8"/>
    </row>
    <row r="274" ht="13.5" customHeight="1">
      <c r="A274" s="8" t="s">
        <v>64</v>
      </c>
      <c r="B274" s="8">
        <v>45957.0</v>
      </c>
      <c r="C274" s="8"/>
      <c r="D274" s="8"/>
      <c r="E274" s="8"/>
      <c r="F274" s="8"/>
    </row>
    <row r="275" ht="13.5" customHeight="1">
      <c r="A275" s="8" t="s">
        <v>144</v>
      </c>
      <c r="B275" s="8">
        <v>46912.0</v>
      </c>
      <c r="C275" s="8"/>
      <c r="D275" s="8"/>
      <c r="E275" s="8"/>
      <c r="F275" s="8"/>
    </row>
    <row r="276" ht="13.5" customHeight="1">
      <c r="A276" s="8" t="s">
        <v>57</v>
      </c>
      <c r="B276" s="8">
        <v>46980.0</v>
      </c>
      <c r="C276" s="8"/>
      <c r="D276" s="8"/>
      <c r="E276" s="8"/>
      <c r="F276" s="8"/>
    </row>
    <row r="277" ht="13.5" customHeight="1">
      <c r="A277" s="8" t="s">
        <v>194</v>
      </c>
      <c r="B277" s="8">
        <v>47460.0</v>
      </c>
      <c r="C277" s="8"/>
      <c r="D277" s="8"/>
      <c r="E277" s="8"/>
      <c r="F277" s="8"/>
    </row>
    <row r="278" ht="13.5" customHeight="1">
      <c r="A278" s="8" t="s">
        <v>381</v>
      </c>
      <c r="B278" s="8">
        <v>47462.0</v>
      </c>
      <c r="C278" s="8"/>
      <c r="D278" s="8"/>
      <c r="E278" s="8"/>
      <c r="F278" s="8"/>
    </row>
    <row r="279" ht="13.5" customHeight="1">
      <c r="A279" s="8" t="s">
        <v>321</v>
      </c>
      <c r="B279" s="8">
        <v>47620.0</v>
      </c>
      <c r="C279" s="8"/>
      <c r="D279" s="8"/>
      <c r="E279" s="8"/>
      <c r="F279" s="8"/>
    </row>
    <row r="280" ht="13.5" customHeight="1">
      <c r="A280" s="8" t="s">
        <v>279</v>
      </c>
      <c r="B280" s="8">
        <v>47749.0</v>
      </c>
      <c r="C280" s="8"/>
      <c r="D280" s="8"/>
      <c r="E280" s="8"/>
      <c r="F280" s="8"/>
    </row>
    <row r="281" ht="13.5" customHeight="1">
      <c r="A281" s="8" t="s">
        <v>190</v>
      </c>
      <c r="B281" s="8">
        <v>47873.0</v>
      </c>
      <c r="C281" s="8"/>
      <c r="D281" s="8"/>
      <c r="E281" s="8"/>
      <c r="F281" s="8"/>
    </row>
    <row r="282" ht="13.5" customHeight="1">
      <c r="A282" s="8" t="s">
        <v>94</v>
      </c>
      <c r="B282" s="8">
        <v>47943.0</v>
      </c>
      <c r="C282" s="8"/>
      <c r="D282" s="8"/>
      <c r="E282" s="8"/>
      <c r="F282" s="8"/>
    </row>
    <row r="283" ht="13.5" customHeight="1">
      <c r="A283" s="8" t="s">
        <v>291</v>
      </c>
      <c r="B283" s="8">
        <v>48101.0</v>
      </c>
      <c r="C283" s="8"/>
      <c r="D283" s="8"/>
      <c r="E283" s="8"/>
      <c r="F283" s="8"/>
    </row>
    <row r="284" ht="13.5" customHeight="1">
      <c r="A284" s="8" t="s">
        <v>283</v>
      </c>
      <c r="B284" s="8">
        <v>48295.0</v>
      </c>
      <c r="C284" s="8"/>
      <c r="D284" s="8"/>
      <c r="E284" s="8"/>
      <c r="F284" s="8"/>
    </row>
    <row r="285" ht="13.5" customHeight="1">
      <c r="A285" s="8" t="s">
        <v>69</v>
      </c>
      <c r="B285" s="8">
        <v>48839.0</v>
      </c>
      <c r="C285" s="8"/>
      <c r="D285" s="8"/>
      <c r="E285" s="8"/>
      <c r="F285" s="8"/>
    </row>
    <row r="286" ht="13.5" customHeight="1">
      <c r="A286" s="8" t="s">
        <v>144</v>
      </c>
      <c r="B286" s="8">
        <v>49154.0</v>
      </c>
      <c r="C286" s="8"/>
      <c r="D286" s="8"/>
      <c r="E286" s="8"/>
      <c r="F286" s="8"/>
    </row>
    <row r="287" ht="13.5" customHeight="1">
      <c r="A287" s="8" t="s">
        <v>72</v>
      </c>
      <c r="B287" s="8">
        <v>49921.0</v>
      </c>
      <c r="C287" s="8"/>
      <c r="D287" s="8"/>
      <c r="E287" s="8"/>
      <c r="F287" s="8"/>
    </row>
    <row r="288" ht="13.5" customHeight="1">
      <c r="A288" s="8" t="s">
        <v>135</v>
      </c>
      <c r="B288" s="8">
        <v>49952.0</v>
      </c>
      <c r="C288" s="8"/>
      <c r="D288" s="8"/>
      <c r="E288" s="8"/>
      <c r="F288" s="8"/>
    </row>
    <row r="289" ht="13.5" customHeight="1">
      <c r="A289" s="8" t="s">
        <v>75</v>
      </c>
      <c r="B289" s="8">
        <v>50117.0</v>
      </c>
      <c r="C289" s="8"/>
      <c r="D289" s="8"/>
      <c r="E289" s="8"/>
      <c r="F289" s="8"/>
    </row>
    <row r="290" ht="13.5" customHeight="1">
      <c r="A290" s="8" t="s">
        <v>135</v>
      </c>
      <c r="B290" s="8">
        <v>50278.0</v>
      </c>
      <c r="C290" s="8"/>
      <c r="D290" s="8"/>
      <c r="E290" s="8"/>
      <c r="F290" s="8"/>
    </row>
    <row r="291" ht="13.5" customHeight="1">
      <c r="A291" s="8" t="s">
        <v>381</v>
      </c>
      <c r="B291" s="8">
        <v>50374.0</v>
      </c>
      <c r="C291" s="8"/>
      <c r="D291" s="8"/>
      <c r="E291" s="8"/>
      <c r="F291" s="8"/>
    </row>
    <row r="292" ht="13.5" customHeight="1">
      <c r="A292" s="8" t="s">
        <v>79</v>
      </c>
      <c r="B292" s="8">
        <v>50565.0</v>
      </c>
      <c r="C292" s="8"/>
      <c r="D292" s="8"/>
      <c r="E292" s="8"/>
      <c r="F292" s="8"/>
    </row>
    <row r="293" ht="13.5" customHeight="1">
      <c r="A293" s="8" t="s">
        <v>144</v>
      </c>
      <c r="B293" s="8">
        <v>50688.0</v>
      </c>
      <c r="C293" s="8"/>
      <c r="D293" s="8"/>
      <c r="E293" s="8"/>
      <c r="F293" s="8"/>
    </row>
    <row r="294" ht="13.5" customHeight="1">
      <c r="A294" s="8" t="s">
        <v>264</v>
      </c>
      <c r="B294" s="8">
        <v>50754.0</v>
      </c>
      <c r="C294" s="8"/>
      <c r="D294" s="8"/>
      <c r="E294" s="8"/>
      <c r="F294" s="8"/>
    </row>
    <row r="295" ht="13.5" customHeight="1">
      <c r="A295" s="8" t="s">
        <v>69</v>
      </c>
      <c r="B295" s="8">
        <v>50914.0</v>
      </c>
      <c r="C295" s="8"/>
      <c r="D295" s="8"/>
      <c r="E295" s="8"/>
      <c r="F295" s="8"/>
    </row>
    <row r="296" ht="13.5" customHeight="1">
      <c r="A296" s="8" t="s">
        <v>279</v>
      </c>
      <c r="B296" s="8">
        <v>51169.0</v>
      </c>
      <c r="C296" s="8"/>
      <c r="D296" s="8"/>
      <c r="E296" s="8"/>
      <c r="F296" s="8"/>
    </row>
    <row r="297" ht="13.5" customHeight="1">
      <c r="A297" s="8" t="s">
        <v>85</v>
      </c>
      <c r="B297" s="8">
        <v>51938.0</v>
      </c>
      <c r="C297" s="8"/>
      <c r="D297" s="8"/>
      <c r="E297" s="8"/>
      <c r="F297" s="8"/>
    </row>
    <row r="298" ht="13.5" customHeight="1">
      <c r="A298" s="8" t="s">
        <v>75</v>
      </c>
      <c r="B298" s="8">
        <v>51970.0</v>
      </c>
      <c r="C298" s="8"/>
      <c r="D298" s="8"/>
      <c r="E298" s="8"/>
      <c r="F298" s="8"/>
    </row>
    <row r="299" ht="13.5" customHeight="1">
      <c r="A299" s="8" t="s">
        <v>59</v>
      </c>
      <c r="B299" s="8">
        <v>51971.0</v>
      </c>
      <c r="C299" s="8"/>
      <c r="D299" s="8"/>
      <c r="E299" s="8"/>
      <c r="F299" s="8"/>
    </row>
    <row r="300" ht="13.5" customHeight="1">
      <c r="A300" s="8" t="s">
        <v>317</v>
      </c>
      <c r="B300" s="8">
        <v>52193.0</v>
      </c>
      <c r="C300" s="8"/>
      <c r="D300" s="8"/>
      <c r="E300" s="8"/>
      <c r="F300" s="8"/>
    </row>
    <row r="301" ht="13.5" customHeight="1">
      <c r="A301" s="8" t="s">
        <v>190</v>
      </c>
      <c r="B301" s="8">
        <v>52321.0</v>
      </c>
      <c r="C301" s="8"/>
      <c r="D301" s="8"/>
      <c r="E301" s="8"/>
      <c r="F301" s="8"/>
    </row>
    <row r="302" ht="13.5" customHeight="1">
      <c r="A302" s="8" t="s">
        <v>381</v>
      </c>
      <c r="B302" s="8">
        <v>52386.0</v>
      </c>
      <c r="C302" s="8"/>
      <c r="D302" s="8"/>
      <c r="E302" s="8"/>
      <c r="F302" s="8"/>
    </row>
    <row r="303" ht="13.5" customHeight="1">
      <c r="A303" s="8" t="s">
        <v>158</v>
      </c>
      <c r="B303" s="8">
        <v>52807.0</v>
      </c>
      <c r="C303" s="8"/>
      <c r="D303" s="8"/>
      <c r="E303" s="8"/>
      <c r="F303" s="8"/>
    </row>
    <row r="304" ht="13.5" customHeight="1">
      <c r="A304" s="8" t="s">
        <v>23</v>
      </c>
      <c r="B304" s="8">
        <v>52929.0</v>
      </c>
      <c r="C304" s="8"/>
      <c r="D304" s="8"/>
      <c r="E304" s="8"/>
      <c r="F304" s="8"/>
    </row>
    <row r="305" ht="13.5" customHeight="1">
      <c r="A305" s="8" t="s">
        <v>85</v>
      </c>
      <c r="B305" s="8">
        <v>52964.0</v>
      </c>
      <c r="C305" s="8"/>
      <c r="D305" s="8"/>
      <c r="E305" s="8"/>
      <c r="F305" s="8"/>
    </row>
    <row r="306" ht="13.5" customHeight="1">
      <c r="A306" s="8" t="s">
        <v>179</v>
      </c>
      <c r="B306" s="8">
        <v>53156.0</v>
      </c>
      <c r="C306" s="8"/>
      <c r="D306" s="8"/>
      <c r="E306" s="8"/>
      <c r="F306" s="8"/>
    </row>
    <row r="307" ht="13.5" customHeight="1">
      <c r="A307" s="8" t="s">
        <v>196</v>
      </c>
      <c r="B307" s="8">
        <v>53511.0</v>
      </c>
      <c r="C307" s="8"/>
      <c r="D307" s="8"/>
      <c r="E307" s="8"/>
      <c r="F307" s="8"/>
    </row>
    <row r="308" ht="13.5" customHeight="1">
      <c r="A308" s="8" t="s">
        <v>190</v>
      </c>
      <c r="B308" s="8">
        <v>53797.0</v>
      </c>
      <c r="C308" s="8"/>
      <c r="D308" s="8"/>
      <c r="E308" s="8"/>
      <c r="F308" s="8"/>
    </row>
    <row r="309" ht="13.5" customHeight="1">
      <c r="A309" s="8" t="s">
        <v>69</v>
      </c>
      <c r="B309" s="8">
        <v>53990.0</v>
      </c>
      <c r="C309" s="8"/>
      <c r="D309" s="8"/>
      <c r="E309" s="8"/>
      <c r="F309" s="8"/>
    </row>
    <row r="310" ht="13.5" customHeight="1">
      <c r="A310" s="8" t="s">
        <v>94</v>
      </c>
      <c r="B310" s="8">
        <v>54083.0</v>
      </c>
      <c r="C310" s="8"/>
      <c r="D310" s="8"/>
      <c r="E310" s="8"/>
      <c r="F310" s="8"/>
    </row>
    <row r="311" ht="13.5" customHeight="1">
      <c r="A311" s="8" t="s">
        <v>133</v>
      </c>
      <c r="B311" s="8">
        <v>54274.0</v>
      </c>
      <c r="C311" s="8"/>
      <c r="D311" s="8"/>
      <c r="E311" s="8"/>
      <c r="F311" s="8"/>
    </row>
    <row r="312" ht="13.5" customHeight="1">
      <c r="A312" s="8" t="s">
        <v>281</v>
      </c>
      <c r="B312" s="8">
        <v>54276.0</v>
      </c>
      <c r="C312" s="8"/>
      <c r="D312" s="8"/>
      <c r="E312" s="8"/>
      <c r="F312" s="8"/>
    </row>
    <row r="313" ht="13.5" customHeight="1">
      <c r="A313" s="8" t="s">
        <v>497</v>
      </c>
      <c r="B313" s="8">
        <v>54528.0</v>
      </c>
      <c r="C313" s="8"/>
      <c r="D313" s="8"/>
      <c r="E313" s="8"/>
      <c r="F313" s="8"/>
    </row>
    <row r="314" ht="13.5" customHeight="1">
      <c r="A314" s="8" t="s">
        <v>122</v>
      </c>
      <c r="B314" s="8">
        <v>54567.0</v>
      </c>
      <c r="C314" s="8"/>
      <c r="D314" s="8"/>
      <c r="E314" s="8"/>
      <c r="F314" s="8"/>
    </row>
    <row r="315" ht="13.5" customHeight="1">
      <c r="A315" s="8" t="s">
        <v>291</v>
      </c>
      <c r="B315" s="8">
        <v>54628.0</v>
      </c>
      <c r="C315" s="8"/>
      <c r="D315" s="8"/>
      <c r="E315" s="8"/>
      <c r="F315" s="8"/>
    </row>
    <row r="316" ht="13.5" customHeight="1">
      <c r="A316" s="8" t="s">
        <v>283</v>
      </c>
      <c r="B316" s="8">
        <v>55298.0</v>
      </c>
      <c r="C316" s="8"/>
      <c r="D316" s="8"/>
      <c r="E316" s="8"/>
      <c r="F316" s="8"/>
    </row>
    <row r="317" ht="13.5" customHeight="1">
      <c r="A317" s="8" t="s">
        <v>497</v>
      </c>
      <c r="B317" s="8">
        <v>55363.0</v>
      </c>
      <c r="C317" s="8"/>
      <c r="D317" s="8"/>
      <c r="E317" s="8"/>
      <c r="F317" s="8"/>
    </row>
    <row r="318" ht="13.5" customHeight="1">
      <c r="A318" s="8" t="s">
        <v>190</v>
      </c>
      <c r="B318" s="8">
        <v>55366.0</v>
      </c>
      <c r="C318" s="8"/>
      <c r="D318" s="8"/>
      <c r="E318" s="8"/>
      <c r="F318" s="8"/>
    </row>
    <row r="319" ht="13.5" customHeight="1">
      <c r="A319" s="8" t="s">
        <v>114</v>
      </c>
      <c r="B319" s="8">
        <v>55715.0</v>
      </c>
      <c r="C319" s="8"/>
      <c r="D319" s="8"/>
      <c r="E319" s="8"/>
      <c r="F319" s="8"/>
    </row>
    <row r="320" ht="13.5" customHeight="1">
      <c r="A320" s="8" t="s">
        <v>120</v>
      </c>
      <c r="B320" s="8">
        <v>55875.0</v>
      </c>
      <c r="C320" s="8"/>
      <c r="D320" s="8"/>
      <c r="E320" s="8"/>
      <c r="F320" s="8"/>
    </row>
    <row r="321" ht="13.5" customHeight="1">
      <c r="A321" s="8" t="s">
        <v>124</v>
      </c>
      <c r="B321" s="8">
        <v>56453.0</v>
      </c>
      <c r="C321" s="8"/>
      <c r="D321" s="8"/>
      <c r="E321" s="8"/>
      <c r="F321" s="8"/>
    </row>
    <row r="322" ht="13.5" customHeight="1">
      <c r="A322" s="8" t="s">
        <v>160</v>
      </c>
      <c r="B322" s="8">
        <v>57127.0</v>
      </c>
      <c r="C322" s="8"/>
      <c r="D322" s="8"/>
      <c r="E322" s="8"/>
      <c r="F322" s="8"/>
    </row>
    <row r="323" ht="13.5" customHeight="1">
      <c r="A323" s="8" t="s">
        <v>79</v>
      </c>
      <c r="B323" s="8">
        <v>57344.0</v>
      </c>
      <c r="C323" s="8"/>
      <c r="D323" s="8"/>
      <c r="E323" s="8"/>
      <c r="F323" s="8"/>
    </row>
    <row r="324" ht="13.5" customHeight="1">
      <c r="A324" s="8" t="s">
        <v>64</v>
      </c>
      <c r="B324" s="8">
        <v>57509.0</v>
      </c>
      <c r="C324" s="8"/>
      <c r="D324" s="8"/>
      <c r="E324" s="8"/>
      <c r="F324" s="8"/>
    </row>
    <row r="325" ht="13.5" customHeight="1">
      <c r="A325" s="8" t="s">
        <v>102</v>
      </c>
      <c r="B325" s="8">
        <v>57600.0</v>
      </c>
      <c r="C325" s="8"/>
      <c r="D325" s="8"/>
      <c r="E325" s="8"/>
      <c r="F325" s="8"/>
    </row>
    <row r="326" ht="13.5" customHeight="1">
      <c r="A326" s="8" t="s">
        <v>111</v>
      </c>
      <c r="B326" s="8">
        <v>58055.0</v>
      </c>
      <c r="C326" s="8"/>
      <c r="D326" s="8"/>
      <c r="E326" s="8"/>
      <c r="F326" s="8"/>
    </row>
    <row r="327" ht="13.5" customHeight="1">
      <c r="A327" s="8" t="s">
        <v>23</v>
      </c>
      <c r="B327" s="8">
        <v>58144.0</v>
      </c>
      <c r="C327" s="8"/>
      <c r="D327" s="8"/>
      <c r="E327" s="8"/>
      <c r="F327" s="8"/>
    </row>
    <row r="328" ht="13.5" customHeight="1">
      <c r="A328" s="8" t="s">
        <v>381</v>
      </c>
      <c r="B328" s="8">
        <v>58150.0</v>
      </c>
      <c r="C328" s="8"/>
      <c r="D328" s="8"/>
      <c r="E328" s="8"/>
      <c r="F328" s="8"/>
    </row>
    <row r="329" ht="13.5" customHeight="1">
      <c r="A329" s="8" t="s">
        <v>79</v>
      </c>
      <c r="B329" s="8">
        <v>58340.0</v>
      </c>
      <c r="C329" s="8"/>
      <c r="D329" s="8"/>
      <c r="E329" s="8"/>
      <c r="F329" s="8"/>
    </row>
    <row r="330" ht="13.5" customHeight="1">
      <c r="A330" s="8" t="s">
        <v>190</v>
      </c>
      <c r="B330" s="8">
        <v>58368.0</v>
      </c>
      <c r="C330" s="8"/>
      <c r="D330" s="8"/>
      <c r="E330" s="8"/>
      <c r="F330" s="8"/>
    </row>
    <row r="331" ht="13.5" customHeight="1">
      <c r="A331" s="8" t="s">
        <v>59</v>
      </c>
      <c r="B331" s="8">
        <v>58434.0</v>
      </c>
      <c r="C331" s="8"/>
      <c r="D331" s="8"/>
      <c r="E331" s="8"/>
      <c r="F331" s="8"/>
    </row>
    <row r="332" ht="13.5" customHeight="1">
      <c r="A332" s="8" t="s">
        <v>339</v>
      </c>
      <c r="B332" s="8">
        <v>58626.0</v>
      </c>
      <c r="C332" s="8"/>
      <c r="D332" s="8"/>
      <c r="E332" s="8"/>
      <c r="F332" s="8"/>
    </row>
    <row r="333" ht="13.5" customHeight="1">
      <c r="A333" s="8" t="s">
        <v>102</v>
      </c>
      <c r="B333" s="8">
        <v>58688.0</v>
      </c>
      <c r="C333" s="8"/>
      <c r="D333" s="8"/>
      <c r="E333" s="8"/>
      <c r="F333" s="8"/>
    </row>
    <row r="334" ht="13.5" customHeight="1">
      <c r="A334" s="8" t="s">
        <v>281</v>
      </c>
      <c r="B334" s="8">
        <v>59045.0</v>
      </c>
      <c r="C334" s="8"/>
      <c r="D334" s="8"/>
      <c r="E334" s="8"/>
      <c r="F334" s="8"/>
    </row>
    <row r="335" ht="13.5" customHeight="1">
      <c r="A335" s="8" t="s">
        <v>135</v>
      </c>
      <c r="B335" s="8">
        <v>59047.0</v>
      </c>
      <c r="C335" s="8"/>
      <c r="D335" s="8"/>
      <c r="E335" s="8"/>
      <c r="F335" s="8"/>
    </row>
    <row r="336" ht="13.5" customHeight="1">
      <c r="A336" s="8" t="s">
        <v>158</v>
      </c>
      <c r="B336" s="8">
        <v>59202.0</v>
      </c>
      <c r="C336" s="8"/>
      <c r="D336" s="8"/>
      <c r="E336" s="8"/>
      <c r="F336" s="8"/>
    </row>
    <row r="337" ht="13.5" customHeight="1">
      <c r="A337" s="8" t="s">
        <v>79</v>
      </c>
      <c r="B337" s="8">
        <v>59207.0</v>
      </c>
      <c r="C337" s="8"/>
      <c r="D337" s="8"/>
      <c r="E337" s="8"/>
      <c r="F337" s="8"/>
    </row>
    <row r="338" ht="13.5" customHeight="1">
      <c r="A338" s="8" t="s">
        <v>139</v>
      </c>
      <c r="B338" s="8">
        <v>59234.0</v>
      </c>
      <c r="C338" s="8"/>
      <c r="D338" s="8"/>
      <c r="E338" s="8"/>
      <c r="F338" s="8"/>
    </row>
    <row r="339" ht="13.5" customHeight="1">
      <c r="A339" s="8" t="s">
        <v>279</v>
      </c>
      <c r="B339" s="8">
        <v>59395.0</v>
      </c>
      <c r="C339" s="8"/>
      <c r="D339" s="8"/>
      <c r="E339" s="8"/>
      <c r="F339" s="8"/>
    </row>
    <row r="340" ht="13.5" customHeight="1">
      <c r="A340" s="8" t="s">
        <v>339</v>
      </c>
      <c r="B340" s="8">
        <v>59558.0</v>
      </c>
      <c r="C340" s="8"/>
      <c r="D340" s="8"/>
      <c r="E340" s="8"/>
      <c r="F340" s="8"/>
    </row>
    <row r="341" ht="13.5" customHeight="1">
      <c r="A341" s="8" t="s">
        <v>118</v>
      </c>
      <c r="B341" s="8">
        <v>59585.0</v>
      </c>
      <c r="C341" s="8"/>
      <c r="D341" s="8"/>
      <c r="E341" s="8"/>
      <c r="F341" s="8"/>
    </row>
    <row r="342" ht="13.5" customHeight="1">
      <c r="A342" s="8" t="s">
        <v>203</v>
      </c>
      <c r="B342" s="8">
        <v>59651.0</v>
      </c>
      <c r="C342" s="8"/>
      <c r="D342" s="8"/>
      <c r="E342" s="8"/>
      <c r="F342" s="8"/>
    </row>
    <row r="343" ht="13.5" customHeight="1">
      <c r="A343" s="8" t="s">
        <v>531</v>
      </c>
      <c r="B343" s="8">
        <v>645.0</v>
      </c>
      <c r="C343" s="8"/>
      <c r="D343" s="8"/>
      <c r="E343" s="8"/>
      <c r="F343" s="8"/>
    </row>
    <row r="344" ht="13.5" customHeight="1">
      <c r="A344" s="8" t="s">
        <v>532</v>
      </c>
      <c r="B344" s="8">
        <v>769.0</v>
      </c>
      <c r="C344" s="8"/>
      <c r="D344" s="8"/>
      <c r="E344" s="8"/>
      <c r="F344" s="8"/>
    </row>
    <row r="345" ht="13.5" customHeight="1">
      <c r="A345" s="8" t="s">
        <v>533</v>
      </c>
      <c r="B345" s="8">
        <v>773.0</v>
      </c>
      <c r="C345" s="8"/>
      <c r="D345" s="8"/>
      <c r="E345" s="8"/>
      <c r="F345" s="8"/>
    </row>
    <row r="346" ht="13.5" customHeight="1">
      <c r="A346" s="8" t="s">
        <v>535</v>
      </c>
      <c r="B346" s="8">
        <v>1187.0</v>
      </c>
      <c r="C346" s="8"/>
      <c r="D346" s="8"/>
      <c r="E346" s="8"/>
      <c r="F346" s="8"/>
    </row>
    <row r="347" ht="13.5" customHeight="1">
      <c r="A347" s="8" t="s">
        <v>537</v>
      </c>
      <c r="B347" s="8">
        <v>2339.0</v>
      </c>
      <c r="C347" s="8"/>
      <c r="D347" s="8"/>
      <c r="E347" s="8"/>
      <c r="F347" s="8"/>
    </row>
    <row r="348" ht="13.5" customHeight="1">
      <c r="A348" s="8" t="s">
        <v>539</v>
      </c>
      <c r="B348" s="8">
        <v>3521.0</v>
      </c>
      <c r="C348" s="8"/>
      <c r="D348" s="8"/>
      <c r="E348" s="8"/>
      <c r="F348" s="8"/>
    </row>
    <row r="349" ht="13.5" customHeight="1">
      <c r="A349" s="8" t="s">
        <v>296</v>
      </c>
      <c r="B349" s="8">
        <v>4007.0</v>
      </c>
      <c r="C349" s="8"/>
      <c r="D349" s="8"/>
      <c r="E349" s="8"/>
      <c r="F349" s="8"/>
    </row>
    <row r="350" ht="13.5" customHeight="1">
      <c r="A350" s="8" t="s">
        <v>542</v>
      </c>
      <c r="B350" s="8">
        <v>4416.0</v>
      </c>
      <c r="C350" s="8"/>
      <c r="D350" s="8"/>
      <c r="E350" s="8"/>
      <c r="F350" s="8"/>
    </row>
    <row r="351" ht="13.5" customHeight="1">
      <c r="A351" s="8" t="s">
        <v>542</v>
      </c>
      <c r="B351" s="8">
        <v>4454.0</v>
      </c>
      <c r="C351" s="8"/>
      <c r="D351" s="8"/>
      <c r="E351" s="8"/>
      <c r="F351" s="8"/>
    </row>
    <row r="352" ht="13.5" customHeight="1">
      <c r="A352" s="8" t="s">
        <v>533</v>
      </c>
      <c r="B352" s="8">
        <v>5153.0</v>
      </c>
      <c r="C352" s="8"/>
      <c r="D352" s="8"/>
      <c r="E352" s="8"/>
      <c r="F352" s="8"/>
    </row>
    <row r="353" ht="13.5" customHeight="1">
      <c r="A353" s="8" t="s">
        <v>535</v>
      </c>
      <c r="B353" s="8">
        <v>5446.0</v>
      </c>
      <c r="C353" s="8"/>
      <c r="D353" s="8"/>
      <c r="E353" s="8"/>
      <c r="F353" s="8"/>
    </row>
    <row r="354" ht="13.5" customHeight="1">
      <c r="A354" s="8" t="s">
        <v>533</v>
      </c>
      <c r="B354" s="8">
        <v>8131.0</v>
      </c>
      <c r="C354" s="8"/>
      <c r="D354" s="8"/>
      <c r="E354" s="8"/>
      <c r="F354" s="8"/>
    </row>
    <row r="355" ht="13.5" customHeight="1">
      <c r="A355" s="8" t="s">
        <v>548</v>
      </c>
      <c r="B355" s="8">
        <v>8994.0</v>
      </c>
      <c r="C355" s="8"/>
      <c r="D355" s="8"/>
      <c r="E355" s="8"/>
      <c r="F355" s="8"/>
    </row>
    <row r="356" ht="13.5" customHeight="1">
      <c r="A356" s="8" t="s">
        <v>532</v>
      </c>
      <c r="B356" s="8">
        <v>9027.0</v>
      </c>
      <c r="C356" s="8"/>
      <c r="D356" s="8"/>
      <c r="E356" s="8"/>
      <c r="F356" s="8"/>
    </row>
    <row r="357" ht="13.5" customHeight="1">
      <c r="A357" s="8" t="s">
        <v>532</v>
      </c>
      <c r="B357" s="8">
        <v>9216.0</v>
      </c>
      <c r="C357" s="8"/>
      <c r="D357" s="8"/>
      <c r="E357" s="8"/>
      <c r="F357" s="8"/>
    </row>
    <row r="358" ht="13.5" customHeight="1">
      <c r="A358" s="8" t="s">
        <v>537</v>
      </c>
      <c r="B358" s="8">
        <v>9537.0</v>
      </c>
      <c r="C358" s="8"/>
      <c r="D358" s="8"/>
      <c r="E358" s="8"/>
      <c r="F358" s="8"/>
    </row>
    <row r="359" ht="13.5" customHeight="1">
      <c r="A359" s="8" t="s">
        <v>552</v>
      </c>
      <c r="B359" s="8">
        <v>9574.0</v>
      </c>
      <c r="C359" s="8"/>
      <c r="D359" s="8"/>
      <c r="E359" s="8"/>
      <c r="F359" s="8"/>
    </row>
    <row r="360" ht="13.5" customHeight="1">
      <c r="A360" s="8" t="s">
        <v>553</v>
      </c>
      <c r="B360" s="8">
        <v>10435.0</v>
      </c>
      <c r="C360" s="8"/>
      <c r="D360" s="8"/>
      <c r="E360" s="8"/>
      <c r="F360" s="8"/>
    </row>
    <row r="361" ht="13.5" customHeight="1">
      <c r="A361" s="8" t="s">
        <v>556</v>
      </c>
      <c r="B361" s="8">
        <v>10851.0</v>
      </c>
      <c r="C361" s="8"/>
      <c r="D361" s="8"/>
      <c r="E361" s="8"/>
      <c r="F361" s="8"/>
    </row>
    <row r="362" ht="13.5" customHeight="1">
      <c r="A362" s="8" t="s">
        <v>531</v>
      </c>
      <c r="B362" s="8">
        <v>10852.0</v>
      </c>
      <c r="C362" s="8"/>
      <c r="D362" s="8"/>
      <c r="E362" s="8"/>
      <c r="F362" s="8"/>
    </row>
    <row r="363" ht="13.5" customHeight="1">
      <c r="A363" s="8" t="s">
        <v>531</v>
      </c>
      <c r="B363" s="8">
        <v>11269.0</v>
      </c>
      <c r="C363" s="8"/>
      <c r="D363" s="8"/>
      <c r="E363" s="8"/>
      <c r="F363" s="8"/>
    </row>
    <row r="364" ht="13.5" customHeight="1">
      <c r="A364" s="8" t="s">
        <v>562</v>
      </c>
      <c r="B364" s="8">
        <v>11362.0</v>
      </c>
      <c r="C364" s="8"/>
      <c r="D364" s="8"/>
      <c r="E364" s="8"/>
      <c r="F364" s="8"/>
    </row>
    <row r="365" ht="13.5" customHeight="1">
      <c r="A365" s="8" t="s">
        <v>548</v>
      </c>
      <c r="B365" s="8">
        <v>11968.0</v>
      </c>
      <c r="C365" s="8"/>
      <c r="D365" s="8"/>
      <c r="E365" s="8"/>
      <c r="F365" s="8"/>
    </row>
    <row r="366" ht="13.5" customHeight="1">
      <c r="A366" s="8" t="s">
        <v>531</v>
      </c>
      <c r="B366" s="8">
        <v>12293.0</v>
      </c>
      <c r="C366" s="8"/>
      <c r="D366" s="8"/>
      <c r="E366" s="8"/>
      <c r="F366" s="8"/>
    </row>
    <row r="367" ht="13.5" customHeight="1">
      <c r="A367" s="8" t="s">
        <v>568</v>
      </c>
      <c r="B367" s="8">
        <v>12773.0</v>
      </c>
      <c r="C367" s="8"/>
      <c r="D367" s="8"/>
      <c r="E367" s="8"/>
      <c r="F367" s="8"/>
    </row>
    <row r="368" ht="13.5" customHeight="1">
      <c r="A368" s="8" t="s">
        <v>535</v>
      </c>
      <c r="B368" s="8">
        <v>12934.0</v>
      </c>
      <c r="C368" s="8"/>
      <c r="D368" s="8"/>
      <c r="E368" s="8"/>
      <c r="F368" s="8"/>
    </row>
    <row r="369" ht="13.5" customHeight="1">
      <c r="A369" s="8" t="s">
        <v>552</v>
      </c>
      <c r="B369" s="8">
        <v>13120.0</v>
      </c>
      <c r="C369" s="8"/>
      <c r="D369" s="8"/>
      <c r="E369" s="8"/>
      <c r="F369" s="8"/>
    </row>
    <row r="370" ht="13.5" customHeight="1">
      <c r="A370" s="8" t="s">
        <v>542</v>
      </c>
      <c r="B370" s="8">
        <v>13604.0</v>
      </c>
      <c r="C370" s="8"/>
      <c r="D370" s="8"/>
      <c r="E370" s="8"/>
      <c r="F370" s="8"/>
    </row>
    <row r="371" ht="13.5" customHeight="1">
      <c r="A371" s="8" t="s">
        <v>575</v>
      </c>
      <c r="B371" s="8">
        <v>13927.0</v>
      </c>
      <c r="C371" s="8"/>
      <c r="D371" s="8"/>
      <c r="E371" s="8"/>
      <c r="F371" s="8"/>
    </row>
    <row r="372" ht="13.5" customHeight="1">
      <c r="A372" s="8" t="s">
        <v>542</v>
      </c>
      <c r="B372" s="8">
        <v>15044.0</v>
      </c>
      <c r="C372" s="8"/>
      <c r="D372" s="8"/>
      <c r="E372" s="8"/>
      <c r="F372" s="8"/>
    </row>
    <row r="373" ht="13.5" customHeight="1">
      <c r="A373" s="8" t="s">
        <v>535</v>
      </c>
      <c r="B373" s="8">
        <v>15139.0</v>
      </c>
      <c r="C373" s="8"/>
      <c r="D373" s="8"/>
      <c r="E373" s="8"/>
      <c r="F373" s="8"/>
    </row>
    <row r="374" ht="13.5" customHeight="1">
      <c r="A374" s="8" t="s">
        <v>553</v>
      </c>
      <c r="B374" s="8">
        <v>15463.0</v>
      </c>
      <c r="C374" s="8"/>
      <c r="D374" s="8"/>
      <c r="E374" s="8"/>
      <c r="F374" s="8"/>
    </row>
    <row r="375" ht="13.5" customHeight="1">
      <c r="A375" s="8" t="s">
        <v>552</v>
      </c>
      <c r="B375" s="8">
        <v>15618.0</v>
      </c>
      <c r="C375" s="8"/>
      <c r="D375" s="8"/>
      <c r="E375" s="8"/>
      <c r="F375" s="8"/>
    </row>
    <row r="376" ht="13.5" customHeight="1">
      <c r="A376" s="8" t="s">
        <v>583</v>
      </c>
      <c r="B376" s="8">
        <v>16100.0</v>
      </c>
      <c r="C376" s="8"/>
      <c r="D376" s="8"/>
      <c r="E376" s="8"/>
      <c r="F376" s="8"/>
    </row>
    <row r="377" ht="13.5" customHeight="1">
      <c r="A377" s="8" t="s">
        <v>585</v>
      </c>
      <c r="B377" s="8">
        <v>16320.0</v>
      </c>
      <c r="C377" s="8"/>
      <c r="D377" s="8"/>
      <c r="E377" s="8"/>
      <c r="F377" s="8"/>
    </row>
    <row r="378" ht="13.5" customHeight="1">
      <c r="A378" s="8" t="s">
        <v>552</v>
      </c>
      <c r="B378" s="8">
        <v>16419.0</v>
      </c>
      <c r="C378" s="8"/>
      <c r="D378" s="8"/>
      <c r="E378" s="8"/>
      <c r="F378" s="8"/>
    </row>
    <row r="379" ht="13.5" customHeight="1">
      <c r="A379" s="8" t="s">
        <v>568</v>
      </c>
      <c r="B379" s="8">
        <v>17090.0</v>
      </c>
      <c r="C379" s="8"/>
      <c r="D379" s="8"/>
      <c r="E379" s="8"/>
      <c r="F379" s="8"/>
    </row>
    <row r="380" ht="13.5" customHeight="1">
      <c r="A380" s="8" t="s">
        <v>552</v>
      </c>
      <c r="B380" s="8">
        <v>17315.0</v>
      </c>
      <c r="C380" s="8"/>
      <c r="D380" s="8"/>
      <c r="E380" s="8"/>
      <c r="F380" s="8"/>
    </row>
    <row r="381" ht="13.5" customHeight="1">
      <c r="A381" s="8" t="s">
        <v>552</v>
      </c>
      <c r="B381" s="8">
        <v>17376.0</v>
      </c>
      <c r="C381" s="8"/>
      <c r="D381" s="8"/>
      <c r="E381" s="8"/>
      <c r="F381" s="8"/>
    </row>
    <row r="382" ht="13.5" customHeight="1">
      <c r="A382" s="8" t="s">
        <v>568</v>
      </c>
      <c r="B382" s="8">
        <v>18210.0</v>
      </c>
      <c r="C382" s="8"/>
      <c r="D382" s="8"/>
      <c r="E382" s="8"/>
      <c r="F382" s="8"/>
    </row>
    <row r="383" ht="13.5" customHeight="1">
      <c r="A383" s="8" t="s">
        <v>296</v>
      </c>
      <c r="B383" s="8">
        <v>18273.0</v>
      </c>
      <c r="C383" s="8"/>
      <c r="D383" s="8"/>
      <c r="E383" s="8"/>
      <c r="F383" s="8"/>
    </row>
    <row r="384" ht="13.5" customHeight="1">
      <c r="A384" s="8" t="s">
        <v>552</v>
      </c>
      <c r="B384" s="8">
        <v>18788.0</v>
      </c>
      <c r="C384" s="8"/>
      <c r="D384" s="8"/>
      <c r="E384" s="8"/>
      <c r="F384" s="8"/>
    </row>
    <row r="385" ht="13.5" customHeight="1">
      <c r="A385" s="8" t="s">
        <v>553</v>
      </c>
      <c r="B385" s="8">
        <v>19042.0</v>
      </c>
      <c r="C385" s="8"/>
      <c r="D385" s="8"/>
      <c r="E385" s="8"/>
      <c r="F385" s="8"/>
    </row>
    <row r="386" ht="13.5" customHeight="1">
      <c r="A386" s="8" t="s">
        <v>592</v>
      </c>
      <c r="B386" s="8">
        <v>19073.0</v>
      </c>
      <c r="C386" s="8"/>
      <c r="D386" s="8"/>
      <c r="E386" s="8"/>
      <c r="F386" s="8"/>
    </row>
    <row r="387" ht="13.5" customHeight="1">
      <c r="A387" s="8" t="s">
        <v>585</v>
      </c>
      <c r="B387" s="8">
        <v>19365.0</v>
      </c>
      <c r="C387" s="8"/>
      <c r="D387" s="8"/>
      <c r="E387" s="8"/>
      <c r="F387" s="8"/>
    </row>
    <row r="388" ht="13.5" customHeight="1">
      <c r="A388" s="8" t="s">
        <v>296</v>
      </c>
      <c r="B388" s="8">
        <v>19617.0</v>
      </c>
      <c r="C388" s="8"/>
      <c r="D388" s="8"/>
      <c r="E388" s="8"/>
      <c r="F388" s="8"/>
    </row>
    <row r="389" ht="13.5" customHeight="1">
      <c r="A389" s="8" t="s">
        <v>296</v>
      </c>
      <c r="B389" s="8">
        <v>20033.0</v>
      </c>
      <c r="C389" s="8"/>
      <c r="D389" s="8"/>
      <c r="E389" s="8"/>
      <c r="F389" s="8"/>
    </row>
    <row r="390" ht="13.5" customHeight="1">
      <c r="A390" s="8" t="s">
        <v>531</v>
      </c>
      <c r="B390" s="8">
        <v>21223.0</v>
      </c>
      <c r="C390" s="8"/>
      <c r="D390" s="8"/>
      <c r="E390" s="8"/>
      <c r="F390" s="8"/>
    </row>
    <row r="391" ht="13.5" customHeight="1">
      <c r="A391" s="8" t="s">
        <v>296</v>
      </c>
      <c r="B391" s="8">
        <v>21378.0</v>
      </c>
      <c r="C391" s="8"/>
      <c r="D391" s="8"/>
      <c r="E391" s="8"/>
      <c r="F391" s="8"/>
    </row>
    <row r="392" ht="13.5" customHeight="1">
      <c r="A392" s="8" t="s">
        <v>598</v>
      </c>
      <c r="B392" s="8">
        <v>21542.0</v>
      </c>
      <c r="C392" s="8"/>
      <c r="D392" s="8"/>
      <c r="E392" s="8"/>
      <c r="F392" s="8"/>
    </row>
    <row r="393" ht="13.5" customHeight="1">
      <c r="A393" s="8" t="s">
        <v>553</v>
      </c>
      <c r="B393" s="8">
        <v>22656.0</v>
      </c>
      <c r="C393" s="8"/>
      <c r="D393" s="8"/>
      <c r="E393" s="8"/>
      <c r="F393" s="8"/>
    </row>
    <row r="394" ht="13.5" customHeight="1">
      <c r="A394" s="8" t="s">
        <v>552</v>
      </c>
      <c r="B394" s="8">
        <v>22695.0</v>
      </c>
      <c r="C394" s="8"/>
      <c r="D394" s="8"/>
      <c r="E394" s="8"/>
      <c r="F394" s="8"/>
    </row>
    <row r="395" ht="13.5" customHeight="1">
      <c r="A395" s="8" t="s">
        <v>575</v>
      </c>
      <c r="B395" s="8">
        <v>23076.0</v>
      </c>
      <c r="C395" s="8"/>
      <c r="D395" s="8"/>
      <c r="E395" s="8"/>
      <c r="F395" s="8"/>
    </row>
    <row r="396" ht="13.5" customHeight="1">
      <c r="A396" s="8" t="s">
        <v>598</v>
      </c>
      <c r="B396" s="8">
        <v>24067.0</v>
      </c>
      <c r="C396" s="8"/>
      <c r="D396" s="8"/>
      <c r="E396" s="8"/>
      <c r="F396" s="8"/>
    </row>
    <row r="397" ht="13.5" customHeight="1">
      <c r="A397" s="8" t="s">
        <v>542</v>
      </c>
      <c r="B397" s="8">
        <v>24388.0</v>
      </c>
      <c r="C397" s="8"/>
      <c r="D397" s="8"/>
      <c r="E397" s="8"/>
      <c r="F397" s="8"/>
    </row>
    <row r="398" ht="13.5" customHeight="1">
      <c r="A398" s="8" t="s">
        <v>296</v>
      </c>
      <c r="B398" s="8">
        <v>24451.0</v>
      </c>
      <c r="C398" s="8"/>
      <c r="D398" s="8"/>
      <c r="E398" s="8"/>
      <c r="F398" s="8"/>
    </row>
    <row r="399" ht="13.5" customHeight="1">
      <c r="A399" s="8" t="s">
        <v>585</v>
      </c>
      <c r="B399" s="8">
        <v>24806.0</v>
      </c>
      <c r="C399" s="8"/>
      <c r="D399" s="8"/>
      <c r="E399" s="8"/>
      <c r="F399" s="8"/>
    </row>
    <row r="400" ht="13.5" customHeight="1">
      <c r="A400" s="8" t="s">
        <v>296</v>
      </c>
      <c r="B400" s="8">
        <v>24965.0</v>
      </c>
      <c r="C400" s="8"/>
      <c r="D400" s="8"/>
      <c r="E400" s="8"/>
      <c r="F400" s="8"/>
    </row>
    <row r="401" ht="13.5" customHeight="1">
      <c r="A401" s="8" t="s">
        <v>539</v>
      </c>
      <c r="B401" s="8">
        <v>25154.0</v>
      </c>
      <c r="C401" s="8"/>
      <c r="D401" s="8"/>
      <c r="E401" s="8"/>
      <c r="F401" s="8"/>
    </row>
    <row r="402" ht="13.5" customHeight="1">
      <c r="A402" s="8" t="s">
        <v>552</v>
      </c>
      <c r="B402" s="8">
        <v>25315.0</v>
      </c>
      <c r="C402" s="8"/>
      <c r="D402" s="8"/>
      <c r="E402" s="8"/>
      <c r="F402" s="8"/>
    </row>
    <row r="403" ht="13.5" customHeight="1">
      <c r="A403" s="8" t="s">
        <v>568</v>
      </c>
      <c r="B403" s="8">
        <v>25376.0</v>
      </c>
      <c r="C403" s="8"/>
      <c r="D403" s="8"/>
      <c r="E403" s="8"/>
      <c r="F403" s="8"/>
    </row>
    <row r="404" ht="13.5" customHeight="1">
      <c r="A404" s="8" t="s">
        <v>46</v>
      </c>
      <c r="B404" s="8">
        <v>26240.0</v>
      </c>
      <c r="C404" s="8"/>
      <c r="D404" s="8"/>
      <c r="E404" s="8"/>
      <c r="F404" s="8"/>
    </row>
    <row r="405" ht="13.5" customHeight="1">
      <c r="A405" s="8" t="s">
        <v>531</v>
      </c>
      <c r="B405" s="8">
        <v>26791.0</v>
      </c>
      <c r="C405" s="8"/>
      <c r="D405" s="8"/>
      <c r="E405" s="8"/>
      <c r="F405" s="8"/>
    </row>
    <row r="406" ht="13.5" customHeight="1">
      <c r="A406" s="8" t="s">
        <v>542</v>
      </c>
      <c r="B406" s="8">
        <v>28836.0</v>
      </c>
      <c r="C406" s="8"/>
      <c r="D406" s="8"/>
      <c r="E406" s="8"/>
      <c r="F406" s="8"/>
    </row>
    <row r="407" ht="13.5" customHeight="1">
      <c r="A407" s="8" t="s">
        <v>562</v>
      </c>
      <c r="B407" s="8">
        <v>28995.0</v>
      </c>
      <c r="C407" s="8"/>
      <c r="D407" s="8"/>
      <c r="E407" s="8"/>
      <c r="F407" s="8"/>
    </row>
    <row r="408" ht="13.5" customHeight="1">
      <c r="A408" s="8" t="s">
        <v>296</v>
      </c>
      <c r="B408" s="8">
        <v>29121.0</v>
      </c>
      <c r="C408" s="8"/>
      <c r="D408" s="8"/>
      <c r="E408" s="8"/>
      <c r="F408" s="8"/>
    </row>
    <row r="409" ht="13.5" customHeight="1">
      <c r="A409" s="8" t="s">
        <v>585</v>
      </c>
      <c r="B409" s="8">
        <v>29319.0</v>
      </c>
      <c r="C409" s="8"/>
      <c r="D409" s="8"/>
      <c r="E409" s="8"/>
      <c r="F409" s="8"/>
    </row>
    <row r="410" ht="13.5" customHeight="1">
      <c r="A410" s="8" t="s">
        <v>568</v>
      </c>
      <c r="B410" s="8">
        <v>29382.0</v>
      </c>
      <c r="C410" s="8"/>
      <c r="D410" s="8"/>
      <c r="E410" s="8"/>
      <c r="F410" s="8"/>
    </row>
    <row r="411" ht="13.5" customHeight="1">
      <c r="A411" s="8" t="s">
        <v>531</v>
      </c>
      <c r="B411" s="8">
        <v>29445.0</v>
      </c>
      <c r="C411" s="8"/>
      <c r="D411" s="8"/>
      <c r="E411" s="8"/>
      <c r="F411" s="8"/>
    </row>
    <row r="412" ht="13.5" customHeight="1">
      <c r="A412" s="8" t="s">
        <v>622</v>
      </c>
      <c r="B412" s="8">
        <v>29762.0</v>
      </c>
      <c r="C412" s="8"/>
      <c r="D412" s="8"/>
      <c r="E412" s="8"/>
      <c r="F412" s="8"/>
    </row>
    <row r="413" ht="13.5" customHeight="1">
      <c r="A413" s="8" t="s">
        <v>533</v>
      </c>
      <c r="B413" s="8">
        <v>30048.0</v>
      </c>
      <c r="C413" s="8"/>
      <c r="D413" s="8"/>
      <c r="E413" s="8"/>
      <c r="F413" s="8"/>
    </row>
    <row r="414" ht="13.5" customHeight="1">
      <c r="A414" s="8" t="s">
        <v>562</v>
      </c>
      <c r="B414" s="8">
        <v>30243.0</v>
      </c>
      <c r="C414" s="8"/>
      <c r="D414" s="8"/>
      <c r="E414" s="8"/>
      <c r="F414" s="8"/>
    </row>
    <row r="415" ht="13.5" customHeight="1">
      <c r="A415" s="8" t="s">
        <v>548</v>
      </c>
      <c r="B415" s="8">
        <v>30372.0</v>
      </c>
      <c r="C415" s="8"/>
      <c r="D415" s="8"/>
      <c r="E415" s="8"/>
      <c r="F415" s="8"/>
    </row>
    <row r="416" ht="13.5" customHeight="1">
      <c r="A416" s="8" t="s">
        <v>46</v>
      </c>
      <c r="B416" s="8">
        <v>30499.0</v>
      </c>
      <c r="C416" s="8"/>
      <c r="D416" s="8"/>
      <c r="E416" s="8"/>
      <c r="F416" s="8"/>
    </row>
    <row r="417" ht="13.5" customHeight="1">
      <c r="A417" s="8" t="s">
        <v>542</v>
      </c>
      <c r="B417" s="8">
        <v>32199.0</v>
      </c>
      <c r="C417" s="8"/>
      <c r="D417" s="8"/>
      <c r="E417" s="8"/>
      <c r="F417" s="8"/>
    </row>
    <row r="418" ht="13.5" customHeight="1">
      <c r="A418" s="8" t="s">
        <v>542</v>
      </c>
      <c r="B418" s="8">
        <v>32327.0</v>
      </c>
      <c r="C418" s="8"/>
      <c r="D418" s="8"/>
      <c r="E418" s="8"/>
      <c r="F418" s="8"/>
    </row>
    <row r="419" ht="13.5" customHeight="1">
      <c r="A419" s="8" t="s">
        <v>552</v>
      </c>
      <c r="B419" s="8">
        <v>32676.0</v>
      </c>
      <c r="C419" s="8"/>
      <c r="D419" s="8"/>
      <c r="E419" s="8"/>
      <c r="F419" s="8"/>
    </row>
    <row r="420" ht="13.5" customHeight="1">
      <c r="A420" s="8" t="s">
        <v>552</v>
      </c>
      <c r="B420" s="8">
        <v>32835.0</v>
      </c>
      <c r="C420" s="8"/>
      <c r="D420" s="8"/>
      <c r="E420" s="8"/>
      <c r="F420" s="8"/>
    </row>
    <row r="421" ht="13.5" customHeight="1">
      <c r="A421" s="8" t="s">
        <v>548</v>
      </c>
      <c r="B421" s="8">
        <v>32869.0</v>
      </c>
      <c r="C421" s="8"/>
      <c r="D421" s="8"/>
      <c r="E421" s="8"/>
      <c r="F421" s="8"/>
    </row>
    <row r="422" ht="13.5" customHeight="1">
      <c r="A422" s="8" t="s">
        <v>553</v>
      </c>
      <c r="B422" s="8">
        <v>33763.0</v>
      </c>
      <c r="C422" s="8"/>
      <c r="D422" s="8"/>
      <c r="E422" s="8"/>
      <c r="F422" s="8"/>
    </row>
    <row r="423" ht="13.5" customHeight="1">
      <c r="A423" s="8" t="s">
        <v>548</v>
      </c>
      <c r="B423" s="8">
        <v>34048.0</v>
      </c>
      <c r="C423" s="8"/>
      <c r="D423" s="8"/>
      <c r="E423" s="8"/>
      <c r="F423" s="8"/>
    </row>
    <row r="424" ht="13.5" customHeight="1">
      <c r="A424" s="8" t="s">
        <v>568</v>
      </c>
      <c r="B424" s="8">
        <v>34275.0</v>
      </c>
      <c r="C424" s="8"/>
      <c r="D424" s="8"/>
      <c r="E424" s="8"/>
      <c r="F424" s="8"/>
    </row>
    <row r="425" ht="13.5" customHeight="1">
      <c r="A425" s="8" t="s">
        <v>531</v>
      </c>
      <c r="B425" s="8">
        <v>34438.0</v>
      </c>
      <c r="C425" s="8"/>
      <c r="D425" s="8"/>
      <c r="E425" s="8"/>
      <c r="F425" s="8"/>
    </row>
    <row r="426" ht="13.5" customHeight="1">
      <c r="A426" s="8" t="s">
        <v>622</v>
      </c>
      <c r="B426" s="8">
        <v>34880.0</v>
      </c>
      <c r="C426" s="8"/>
      <c r="D426" s="8"/>
      <c r="E426" s="8"/>
      <c r="F426" s="8"/>
    </row>
    <row r="427" ht="13.5" customHeight="1">
      <c r="A427" s="8" t="s">
        <v>46</v>
      </c>
      <c r="B427" s="8">
        <v>34978.0</v>
      </c>
      <c r="C427" s="8"/>
      <c r="D427" s="8"/>
      <c r="E427" s="8"/>
      <c r="F427" s="8"/>
    </row>
    <row r="428" ht="13.5" customHeight="1">
      <c r="A428" s="8" t="s">
        <v>537</v>
      </c>
      <c r="B428" s="8">
        <v>35141.0</v>
      </c>
      <c r="C428" s="8"/>
      <c r="D428" s="8"/>
      <c r="E428" s="8"/>
      <c r="F428" s="8"/>
    </row>
    <row r="429" ht="13.5" customHeight="1">
      <c r="A429" s="8" t="s">
        <v>575</v>
      </c>
      <c r="B429" s="8">
        <v>35300.0</v>
      </c>
      <c r="C429" s="8"/>
      <c r="D429" s="8"/>
      <c r="E429" s="8"/>
      <c r="F429" s="8"/>
    </row>
    <row r="430" ht="13.5" customHeight="1">
      <c r="A430" s="8" t="s">
        <v>46</v>
      </c>
      <c r="B430" s="8">
        <v>35558.0</v>
      </c>
      <c r="C430" s="8"/>
      <c r="D430" s="8"/>
      <c r="E430" s="8"/>
      <c r="F430" s="8"/>
    </row>
    <row r="431" ht="13.5" customHeight="1">
      <c r="A431" s="8" t="s">
        <v>46</v>
      </c>
      <c r="B431" s="8">
        <v>36293.0</v>
      </c>
      <c r="C431" s="8"/>
      <c r="D431" s="8"/>
      <c r="E431" s="8"/>
      <c r="F431" s="8"/>
    </row>
    <row r="432" ht="13.5" customHeight="1">
      <c r="A432" s="8" t="s">
        <v>539</v>
      </c>
      <c r="B432" s="8">
        <v>36516.0</v>
      </c>
      <c r="C432" s="8"/>
      <c r="D432" s="8"/>
      <c r="E432" s="8"/>
      <c r="F432" s="8"/>
    </row>
    <row r="433" ht="13.5" customHeight="1">
      <c r="A433" s="8" t="s">
        <v>296</v>
      </c>
      <c r="B433" s="8">
        <v>36677.0</v>
      </c>
      <c r="C433" s="8"/>
      <c r="D433" s="8"/>
      <c r="E433" s="8"/>
      <c r="F433" s="8"/>
    </row>
    <row r="434" ht="13.5" customHeight="1">
      <c r="A434" s="8" t="s">
        <v>535</v>
      </c>
      <c r="B434" s="8">
        <v>37185.0</v>
      </c>
      <c r="C434" s="8"/>
      <c r="D434" s="8"/>
      <c r="E434" s="8"/>
      <c r="F434" s="8"/>
    </row>
    <row r="435" ht="13.5" customHeight="1">
      <c r="A435" s="8" t="s">
        <v>562</v>
      </c>
      <c r="B435" s="8">
        <v>37888.0</v>
      </c>
      <c r="C435" s="8"/>
      <c r="D435" s="8"/>
      <c r="E435" s="8"/>
      <c r="F435" s="8"/>
    </row>
    <row r="436" ht="13.5" customHeight="1">
      <c r="A436" s="8" t="s">
        <v>296</v>
      </c>
      <c r="B436" s="8">
        <v>38310.0</v>
      </c>
      <c r="C436" s="8"/>
      <c r="D436" s="8"/>
      <c r="E436" s="8"/>
      <c r="F436" s="8"/>
    </row>
    <row r="437" ht="13.5" customHeight="1">
      <c r="A437" s="8" t="s">
        <v>542</v>
      </c>
      <c r="B437" s="8">
        <v>40327.0</v>
      </c>
      <c r="C437" s="8"/>
      <c r="D437" s="8"/>
      <c r="E437" s="8"/>
      <c r="F437" s="8"/>
    </row>
    <row r="438" ht="13.5" customHeight="1">
      <c r="A438" s="8" t="s">
        <v>531</v>
      </c>
      <c r="B438" s="8">
        <v>40480.0</v>
      </c>
      <c r="C438" s="8"/>
      <c r="D438" s="8"/>
      <c r="E438" s="8"/>
      <c r="F438" s="8"/>
    </row>
    <row r="439" ht="13.5" customHeight="1">
      <c r="A439" s="8" t="s">
        <v>650</v>
      </c>
      <c r="B439" s="8">
        <v>40800.0</v>
      </c>
      <c r="C439" s="8"/>
      <c r="D439" s="8"/>
      <c r="E439" s="8"/>
      <c r="F439" s="8"/>
    </row>
    <row r="440" ht="13.5" customHeight="1">
      <c r="A440" s="8" t="s">
        <v>537</v>
      </c>
      <c r="B440" s="8">
        <v>40835.0</v>
      </c>
      <c r="C440" s="8"/>
      <c r="D440" s="8"/>
      <c r="E440" s="8"/>
      <c r="F440" s="8"/>
    </row>
    <row r="441" ht="13.5" customHeight="1">
      <c r="A441" s="8" t="s">
        <v>552</v>
      </c>
      <c r="B441" s="8">
        <v>40871.0</v>
      </c>
      <c r="C441" s="8"/>
      <c r="D441" s="8"/>
      <c r="E441" s="8"/>
      <c r="F441" s="8"/>
    </row>
    <row r="442" ht="13.5" customHeight="1">
      <c r="A442" s="8" t="s">
        <v>531</v>
      </c>
      <c r="B442" s="8">
        <v>41570.0</v>
      </c>
      <c r="C442" s="8"/>
      <c r="D442" s="8"/>
      <c r="E442" s="8"/>
      <c r="F442" s="8"/>
    </row>
    <row r="443" ht="13.5" customHeight="1">
      <c r="A443" s="8" t="s">
        <v>622</v>
      </c>
      <c r="B443" s="8">
        <v>41991.0</v>
      </c>
      <c r="C443" s="8"/>
      <c r="D443" s="8"/>
      <c r="E443" s="8"/>
      <c r="F443" s="8"/>
    </row>
    <row r="444" ht="13.5" customHeight="1">
      <c r="A444" s="8" t="s">
        <v>539</v>
      </c>
      <c r="B444" s="8">
        <v>42400.0</v>
      </c>
      <c r="C444" s="8"/>
      <c r="D444" s="8"/>
      <c r="E444" s="8"/>
      <c r="F444" s="8"/>
    </row>
    <row r="445" ht="13.5" customHeight="1">
      <c r="A445" s="8" t="s">
        <v>583</v>
      </c>
      <c r="B445" s="8">
        <v>42754.0</v>
      </c>
      <c r="C445" s="8"/>
      <c r="D445" s="8"/>
      <c r="E445" s="8"/>
      <c r="F445" s="8"/>
    </row>
    <row r="446" ht="13.5" customHeight="1">
      <c r="A446" s="8" t="s">
        <v>657</v>
      </c>
      <c r="B446" s="8">
        <v>42918.0</v>
      </c>
      <c r="C446" s="8"/>
      <c r="D446" s="8"/>
      <c r="E446" s="8"/>
      <c r="F446" s="8"/>
    </row>
    <row r="447" ht="13.5" customHeight="1">
      <c r="A447" s="8" t="s">
        <v>585</v>
      </c>
      <c r="B447" s="8">
        <v>42944.0</v>
      </c>
      <c r="C447" s="8"/>
      <c r="D447" s="8"/>
      <c r="E447" s="8"/>
      <c r="F447" s="8"/>
    </row>
    <row r="448" ht="13.5" customHeight="1">
      <c r="A448" s="8" t="s">
        <v>46</v>
      </c>
      <c r="B448" s="8">
        <v>44037.0</v>
      </c>
      <c r="C448" s="8"/>
      <c r="D448" s="8"/>
      <c r="E448" s="8"/>
      <c r="F448" s="8"/>
    </row>
    <row r="449" ht="13.5" customHeight="1">
      <c r="A449" s="8" t="s">
        <v>542</v>
      </c>
      <c r="B449" s="8">
        <v>44387.0</v>
      </c>
      <c r="C449" s="8"/>
      <c r="D449" s="8"/>
      <c r="E449" s="8"/>
      <c r="F449" s="8"/>
    </row>
    <row r="450" ht="13.5" customHeight="1">
      <c r="A450" s="8" t="s">
        <v>568</v>
      </c>
      <c r="B450" s="8">
        <v>44576.0</v>
      </c>
      <c r="C450" s="8"/>
      <c r="D450" s="8"/>
      <c r="E450" s="8"/>
      <c r="F450" s="8"/>
    </row>
    <row r="451" ht="13.5" customHeight="1">
      <c r="A451" s="8" t="s">
        <v>575</v>
      </c>
      <c r="B451" s="8">
        <v>45601.0</v>
      </c>
      <c r="C451" s="8"/>
      <c r="D451" s="8"/>
      <c r="E451" s="8"/>
      <c r="F451" s="8"/>
    </row>
    <row r="452" ht="13.5" customHeight="1">
      <c r="A452" s="8" t="s">
        <v>650</v>
      </c>
      <c r="B452" s="8">
        <v>45606.0</v>
      </c>
      <c r="C452" s="8"/>
      <c r="D452" s="8"/>
      <c r="E452" s="8"/>
      <c r="F452" s="8"/>
    </row>
    <row r="453" ht="13.5" customHeight="1">
      <c r="A453" s="8" t="s">
        <v>46</v>
      </c>
      <c r="B453" s="8">
        <v>46119.0</v>
      </c>
      <c r="C453" s="8"/>
      <c r="D453" s="8"/>
      <c r="E453" s="8"/>
      <c r="F453" s="8"/>
    </row>
    <row r="454" ht="13.5" customHeight="1">
      <c r="A454" s="8" t="s">
        <v>592</v>
      </c>
      <c r="B454" s="8">
        <v>46756.0</v>
      </c>
      <c r="C454" s="8"/>
      <c r="D454" s="8"/>
      <c r="E454" s="8"/>
      <c r="F454" s="8"/>
    </row>
    <row r="455" ht="13.5" customHeight="1">
      <c r="A455" s="8" t="s">
        <v>622</v>
      </c>
      <c r="B455" s="8">
        <v>47714.0</v>
      </c>
      <c r="C455" s="8"/>
      <c r="D455" s="8"/>
      <c r="E455" s="8"/>
      <c r="F455" s="8"/>
    </row>
    <row r="456" ht="13.5" customHeight="1">
      <c r="A456" s="8" t="s">
        <v>562</v>
      </c>
      <c r="B456" s="8">
        <v>47846.0</v>
      </c>
      <c r="C456" s="8"/>
      <c r="D456" s="8"/>
      <c r="E456" s="8"/>
      <c r="F456" s="8"/>
    </row>
    <row r="457" ht="13.5" customHeight="1">
      <c r="A457" s="8" t="s">
        <v>568</v>
      </c>
      <c r="B457" s="8">
        <v>47876.0</v>
      </c>
      <c r="C457" s="8"/>
      <c r="D457" s="8"/>
      <c r="E457" s="8"/>
      <c r="F457" s="8"/>
    </row>
    <row r="458" ht="13.5" customHeight="1">
      <c r="A458" s="8" t="s">
        <v>537</v>
      </c>
      <c r="B458" s="8">
        <v>48067.0</v>
      </c>
      <c r="C458" s="8"/>
      <c r="D458" s="8"/>
      <c r="E458" s="8"/>
      <c r="F458" s="8"/>
    </row>
    <row r="459" ht="13.5" customHeight="1">
      <c r="A459" s="8" t="s">
        <v>542</v>
      </c>
      <c r="B459" s="8">
        <v>48199.0</v>
      </c>
      <c r="C459" s="8"/>
      <c r="D459" s="8"/>
      <c r="E459" s="8"/>
      <c r="F459" s="8"/>
    </row>
    <row r="460" ht="13.5" customHeight="1">
      <c r="A460" s="8" t="s">
        <v>650</v>
      </c>
      <c r="B460" s="8">
        <v>49029.0</v>
      </c>
      <c r="C460" s="8"/>
      <c r="D460" s="8"/>
      <c r="E460" s="8"/>
      <c r="F460" s="8"/>
    </row>
    <row r="461" ht="13.5" customHeight="1">
      <c r="A461" s="8" t="s">
        <v>671</v>
      </c>
      <c r="B461" s="8">
        <v>49216.0</v>
      </c>
      <c r="C461" s="8"/>
      <c r="D461" s="8"/>
      <c r="E461" s="8"/>
      <c r="F461" s="8"/>
    </row>
    <row r="462" ht="13.5" customHeight="1">
      <c r="A462" s="8" t="s">
        <v>553</v>
      </c>
      <c r="B462" s="8">
        <v>49990.0</v>
      </c>
      <c r="C462" s="8"/>
      <c r="D462" s="8"/>
      <c r="E462" s="8"/>
      <c r="F462" s="8"/>
    </row>
    <row r="463" ht="13.5" customHeight="1">
      <c r="A463" s="8" t="s">
        <v>535</v>
      </c>
      <c r="B463" s="8">
        <v>50081.0</v>
      </c>
      <c r="C463" s="8"/>
      <c r="D463" s="8"/>
      <c r="E463" s="8"/>
      <c r="F463" s="8"/>
    </row>
    <row r="464" ht="13.5" customHeight="1">
      <c r="A464" s="8" t="s">
        <v>535</v>
      </c>
      <c r="B464" s="8">
        <v>50404.0</v>
      </c>
      <c r="C464" s="8"/>
      <c r="D464" s="8"/>
      <c r="E464" s="8"/>
      <c r="F464" s="8"/>
    </row>
    <row r="465" ht="13.5" customHeight="1">
      <c r="A465" s="8" t="s">
        <v>592</v>
      </c>
      <c r="B465" s="8">
        <v>50784.0</v>
      </c>
      <c r="C465" s="8"/>
      <c r="D465" s="8"/>
      <c r="E465" s="8"/>
      <c r="F465" s="8"/>
    </row>
    <row r="466" ht="13.5" customHeight="1">
      <c r="A466" s="8" t="s">
        <v>568</v>
      </c>
      <c r="B466" s="8">
        <v>50850.0</v>
      </c>
      <c r="C466" s="8"/>
      <c r="D466" s="8"/>
      <c r="E466" s="8"/>
      <c r="F466" s="8"/>
    </row>
    <row r="467" ht="13.5" customHeight="1">
      <c r="A467" s="8" t="s">
        <v>46</v>
      </c>
      <c r="B467" s="8">
        <v>51075.0</v>
      </c>
      <c r="C467" s="8"/>
      <c r="D467" s="8"/>
      <c r="E467" s="8"/>
      <c r="F467" s="8"/>
    </row>
    <row r="468" ht="13.5" customHeight="1">
      <c r="A468" s="8" t="s">
        <v>568</v>
      </c>
      <c r="B468" s="8">
        <v>51461.0</v>
      </c>
      <c r="C468" s="8"/>
      <c r="D468" s="8"/>
      <c r="E468" s="8"/>
      <c r="F468" s="8"/>
    </row>
    <row r="469" ht="13.5" customHeight="1">
      <c r="A469" s="8" t="s">
        <v>568</v>
      </c>
      <c r="B469" s="8">
        <v>51558.0</v>
      </c>
      <c r="C469" s="8"/>
      <c r="D469" s="8"/>
      <c r="E469" s="8"/>
      <c r="F469" s="8"/>
    </row>
    <row r="470" ht="13.5" customHeight="1">
      <c r="A470" s="8" t="s">
        <v>46</v>
      </c>
      <c r="B470" s="8">
        <v>52130.0</v>
      </c>
      <c r="C470" s="8"/>
      <c r="D470" s="8"/>
      <c r="E470" s="8"/>
      <c r="F470" s="8"/>
    </row>
    <row r="471" ht="13.5" customHeight="1">
      <c r="A471" s="8" t="s">
        <v>568</v>
      </c>
      <c r="B471" s="8">
        <v>52482.0</v>
      </c>
      <c r="C471" s="8"/>
      <c r="D471" s="8"/>
      <c r="E471" s="8"/>
      <c r="F471" s="8"/>
    </row>
    <row r="472" ht="13.5" customHeight="1">
      <c r="A472" s="8" t="s">
        <v>548</v>
      </c>
      <c r="B472" s="8">
        <v>53410.0</v>
      </c>
      <c r="C472" s="8"/>
      <c r="D472" s="8"/>
      <c r="E472" s="8"/>
      <c r="F472" s="8"/>
    </row>
    <row r="473" ht="13.5" customHeight="1">
      <c r="A473" s="8" t="s">
        <v>552</v>
      </c>
      <c r="B473" s="8">
        <v>53477.0</v>
      </c>
      <c r="C473" s="8"/>
      <c r="D473" s="8"/>
      <c r="E473" s="8"/>
      <c r="F473" s="8"/>
    </row>
    <row r="474" ht="13.5" customHeight="1">
      <c r="A474" s="8" t="s">
        <v>552</v>
      </c>
      <c r="B474" s="8">
        <v>53508.0</v>
      </c>
      <c r="C474" s="8"/>
      <c r="D474" s="8"/>
      <c r="E474" s="8"/>
      <c r="F474" s="8"/>
    </row>
    <row r="475" ht="13.5" customHeight="1">
      <c r="A475" s="8" t="s">
        <v>535</v>
      </c>
      <c r="B475" s="8">
        <v>53703.0</v>
      </c>
      <c r="C475" s="8"/>
      <c r="D475" s="8"/>
      <c r="E475" s="8"/>
      <c r="F475" s="8"/>
    </row>
    <row r="476" ht="13.5" customHeight="1">
      <c r="A476" s="8" t="s">
        <v>689</v>
      </c>
      <c r="B476" s="8">
        <v>54115.0</v>
      </c>
      <c r="C476" s="8"/>
      <c r="D476" s="8"/>
      <c r="E476" s="8"/>
      <c r="F476" s="8"/>
    </row>
    <row r="477" ht="13.5" customHeight="1">
      <c r="A477" s="8" t="s">
        <v>657</v>
      </c>
      <c r="B477" s="8">
        <v>54437.0</v>
      </c>
      <c r="C477" s="8"/>
      <c r="D477" s="8"/>
      <c r="E477" s="8"/>
      <c r="F477" s="8"/>
    </row>
    <row r="478" ht="13.5" customHeight="1">
      <c r="A478" s="8" t="s">
        <v>535</v>
      </c>
      <c r="B478" s="8">
        <v>54501.0</v>
      </c>
      <c r="C478" s="8"/>
      <c r="D478" s="8"/>
      <c r="E478" s="8"/>
      <c r="F478" s="8"/>
    </row>
    <row r="479" ht="13.5" customHeight="1">
      <c r="A479" s="8" t="s">
        <v>548</v>
      </c>
      <c r="B479" s="8">
        <v>54753.0</v>
      </c>
      <c r="C479" s="8"/>
      <c r="D479" s="8"/>
      <c r="E479" s="8"/>
      <c r="F479" s="8"/>
    </row>
    <row r="480" ht="13.5" customHeight="1">
      <c r="A480" s="8" t="s">
        <v>650</v>
      </c>
      <c r="B480" s="8">
        <v>55138.0</v>
      </c>
      <c r="C480" s="8"/>
      <c r="D480" s="8"/>
      <c r="E480" s="8"/>
      <c r="F480" s="8"/>
    </row>
    <row r="481" ht="13.5" customHeight="1">
      <c r="A481" s="8" t="s">
        <v>46</v>
      </c>
      <c r="B481" s="8">
        <v>55271.0</v>
      </c>
      <c r="C481" s="8"/>
      <c r="D481" s="8"/>
      <c r="E481" s="8"/>
      <c r="F481" s="8"/>
    </row>
    <row r="482" ht="13.5" customHeight="1">
      <c r="A482" s="8" t="s">
        <v>537</v>
      </c>
      <c r="B482" s="8">
        <v>55331.0</v>
      </c>
      <c r="C482" s="8"/>
      <c r="D482" s="8"/>
      <c r="E482" s="8"/>
      <c r="F482" s="8"/>
    </row>
    <row r="483" ht="13.5" customHeight="1">
      <c r="A483" s="8" t="s">
        <v>689</v>
      </c>
      <c r="B483" s="8">
        <v>55618.0</v>
      </c>
      <c r="C483" s="8"/>
      <c r="D483" s="8"/>
      <c r="E483" s="8"/>
      <c r="F483" s="8"/>
    </row>
    <row r="484" ht="13.5" customHeight="1">
      <c r="A484" s="8" t="s">
        <v>531</v>
      </c>
      <c r="B484" s="8">
        <v>56645.0</v>
      </c>
      <c r="C484" s="8"/>
      <c r="D484" s="8"/>
      <c r="E484" s="8"/>
      <c r="F484" s="8"/>
    </row>
    <row r="485" ht="13.5" customHeight="1">
      <c r="A485" s="8" t="s">
        <v>46</v>
      </c>
      <c r="B485" s="8">
        <v>56803.0</v>
      </c>
      <c r="C485" s="8"/>
      <c r="D485" s="8"/>
      <c r="E485" s="8"/>
      <c r="F485" s="8"/>
    </row>
    <row r="486" ht="13.5" customHeight="1">
      <c r="A486" s="8" t="s">
        <v>562</v>
      </c>
      <c r="B486" s="8">
        <v>57159.0</v>
      </c>
      <c r="C486" s="8"/>
      <c r="D486" s="8"/>
      <c r="E486" s="8"/>
      <c r="F486" s="8"/>
    </row>
    <row r="487" ht="13.5" customHeight="1">
      <c r="A487" s="8" t="s">
        <v>657</v>
      </c>
      <c r="B487" s="8">
        <v>57507.0</v>
      </c>
      <c r="C487" s="8"/>
      <c r="D487" s="8"/>
      <c r="E487" s="8"/>
      <c r="F487" s="8"/>
    </row>
    <row r="488" ht="13.5" customHeight="1">
      <c r="A488" s="8" t="s">
        <v>535</v>
      </c>
      <c r="B488" s="8">
        <v>57922.0</v>
      </c>
      <c r="C488" s="8"/>
      <c r="D488" s="8"/>
      <c r="E488" s="8"/>
      <c r="F488" s="8"/>
    </row>
    <row r="489" ht="13.5" customHeight="1">
      <c r="A489" s="8" t="s">
        <v>542</v>
      </c>
      <c r="B489" s="8">
        <v>58117.0</v>
      </c>
      <c r="C489" s="8"/>
      <c r="D489" s="8"/>
      <c r="E489" s="8"/>
      <c r="F489" s="8"/>
    </row>
    <row r="490" ht="13.5" customHeight="1">
      <c r="A490" s="8" t="s">
        <v>657</v>
      </c>
      <c r="B490" s="8">
        <v>58278.0</v>
      </c>
      <c r="C490" s="8"/>
      <c r="D490" s="8"/>
      <c r="E490" s="8"/>
      <c r="F490" s="8"/>
    </row>
    <row r="491" ht="13.5" customHeight="1">
      <c r="A491" s="8" t="s">
        <v>531</v>
      </c>
      <c r="B491" s="8">
        <v>58502.0</v>
      </c>
      <c r="C491" s="8"/>
      <c r="D491" s="8"/>
      <c r="E491" s="8"/>
      <c r="F491" s="8"/>
    </row>
    <row r="492" ht="13.5" customHeight="1">
      <c r="A492" s="8" t="s">
        <v>548</v>
      </c>
      <c r="B492" s="8">
        <v>58788.0</v>
      </c>
      <c r="C492" s="8"/>
      <c r="D492" s="8"/>
      <c r="E492" s="8"/>
      <c r="F492" s="8"/>
    </row>
    <row r="493" ht="13.5" customHeight="1">
      <c r="A493" s="8" t="s">
        <v>533</v>
      </c>
      <c r="B493" s="8">
        <v>58947.0</v>
      </c>
      <c r="C493" s="8"/>
      <c r="D493" s="8"/>
      <c r="E493" s="8"/>
      <c r="F493" s="8"/>
    </row>
    <row r="494" ht="13.5" customHeight="1">
      <c r="A494" s="8" t="s">
        <v>296</v>
      </c>
      <c r="B494" s="8">
        <v>59074.0</v>
      </c>
      <c r="C494" s="8"/>
      <c r="D494" s="8"/>
      <c r="E494" s="8"/>
      <c r="F494" s="8"/>
    </row>
    <row r="495" ht="13.5" customHeight="1">
      <c r="A495" s="8" t="s">
        <v>296</v>
      </c>
      <c r="B495" s="8">
        <v>59233.0</v>
      </c>
      <c r="C495" s="8"/>
      <c r="D495" s="8"/>
      <c r="E495" s="8"/>
      <c r="F495" s="8"/>
    </row>
    <row r="496" ht="13.5" customHeight="1">
      <c r="A496" s="8" t="s">
        <v>539</v>
      </c>
      <c r="B496" s="8">
        <v>59425.0</v>
      </c>
      <c r="C496" s="8"/>
      <c r="D496" s="8"/>
      <c r="E496" s="8"/>
      <c r="F496" s="8"/>
    </row>
    <row r="497" ht="13.5" customHeight="1">
      <c r="A497" s="8" t="s">
        <v>650</v>
      </c>
      <c r="B497" s="8">
        <v>59750.0</v>
      </c>
      <c r="C497" s="8"/>
      <c r="D497" s="8"/>
      <c r="E497" s="8"/>
      <c r="F497" s="8"/>
    </row>
    <row r="498" ht="13.5" customHeight="1">
      <c r="A498" s="8" t="s">
        <v>708</v>
      </c>
      <c r="B498" s="8">
        <v>35.0</v>
      </c>
      <c r="C498" s="8"/>
      <c r="D498" s="8"/>
      <c r="E498" s="8"/>
      <c r="F498" s="8"/>
    </row>
    <row r="499" ht="13.5" customHeight="1">
      <c r="A499" s="8" t="s">
        <v>711</v>
      </c>
      <c r="B499" s="8">
        <v>294.0</v>
      </c>
      <c r="C499" s="8"/>
      <c r="D499" s="8"/>
      <c r="E499" s="8"/>
      <c r="F499" s="8"/>
    </row>
    <row r="500" ht="13.5" customHeight="1">
      <c r="A500" s="8" t="s">
        <v>712</v>
      </c>
      <c r="B500" s="8">
        <v>450.0</v>
      </c>
      <c r="C500" s="8"/>
      <c r="D500" s="8"/>
      <c r="E500" s="8"/>
      <c r="F500" s="8"/>
    </row>
    <row r="501" ht="13.5" customHeight="1">
      <c r="A501" s="8" t="s">
        <v>712</v>
      </c>
      <c r="B501" s="8">
        <v>1028.0</v>
      </c>
      <c r="C501" s="8"/>
      <c r="D501" s="8"/>
      <c r="E501" s="8"/>
      <c r="F501" s="8"/>
    </row>
    <row r="502" ht="13.5" customHeight="1">
      <c r="A502" s="8" t="s">
        <v>715</v>
      </c>
      <c r="B502" s="8">
        <v>1314.0</v>
      </c>
      <c r="C502" s="8"/>
      <c r="D502" s="8"/>
      <c r="E502" s="8"/>
      <c r="F502" s="8"/>
    </row>
    <row r="503" ht="13.5" customHeight="1">
      <c r="A503" s="8" t="s">
        <v>716</v>
      </c>
      <c r="B503" s="8">
        <v>2279.0</v>
      </c>
      <c r="C503" s="8"/>
      <c r="D503" s="8"/>
      <c r="E503" s="8"/>
      <c r="F503" s="8"/>
    </row>
    <row r="504" ht="13.5" customHeight="1">
      <c r="A504" s="8" t="s">
        <v>716</v>
      </c>
      <c r="B504" s="8">
        <v>2465.0</v>
      </c>
      <c r="C504" s="8"/>
      <c r="D504" s="8"/>
      <c r="E504" s="8"/>
      <c r="F504" s="8"/>
    </row>
    <row r="505" ht="13.5" customHeight="1">
      <c r="A505" s="8" t="s">
        <v>716</v>
      </c>
      <c r="B505" s="8">
        <v>2530.0</v>
      </c>
      <c r="C505" s="8"/>
      <c r="D505" s="8"/>
      <c r="E505" s="8"/>
      <c r="F505" s="8"/>
    </row>
    <row r="506" ht="13.5" customHeight="1">
      <c r="A506" s="8" t="s">
        <v>716</v>
      </c>
      <c r="B506" s="8">
        <v>2883.0</v>
      </c>
      <c r="C506" s="8"/>
      <c r="D506" s="8"/>
      <c r="E506" s="8"/>
      <c r="F506" s="8"/>
    </row>
    <row r="507" ht="13.5" customHeight="1">
      <c r="A507" s="8" t="s">
        <v>719</v>
      </c>
      <c r="B507" s="8">
        <v>3362.0</v>
      </c>
      <c r="C507" s="8"/>
      <c r="D507" s="8"/>
      <c r="E507" s="8"/>
      <c r="F507" s="8"/>
    </row>
    <row r="508" ht="13.5" customHeight="1">
      <c r="A508" s="8" t="s">
        <v>712</v>
      </c>
      <c r="B508" s="8">
        <v>5318.0</v>
      </c>
      <c r="C508" s="8"/>
      <c r="D508" s="8"/>
      <c r="E508" s="8"/>
      <c r="F508" s="8"/>
    </row>
    <row r="509" ht="13.5" customHeight="1">
      <c r="A509" s="8" t="s">
        <v>711</v>
      </c>
      <c r="B509" s="8">
        <v>5988.0</v>
      </c>
      <c r="C509" s="8"/>
      <c r="D509" s="8"/>
      <c r="E509" s="8"/>
      <c r="F509" s="8"/>
    </row>
    <row r="510" ht="13.5" customHeight="1">
      <c r="A510" s="8" t="s">
        <v>712</v>
      </c>
      <c r="B510" s="8">
        <v>6115.0</v>
      </c>
      <c r="C510" s="8"/>
      <c r="D510" s="8"/>
      <c r="E510" s="8"/>
      <c r="F510" s="8"/>
    </row>
    <row r="511" ht="13.5" customHeight="1">
      <c r="A511" s="8" t="s">
        <v>715</v>
      </c>
      <c r="B511" s="8">
        <v>6337.0</v>
      </c>
      <c r="C511" s="8"/>
      <c r="D511" s="8"/>
      <c r="E511" s="8"/>
      <c r="F511" s="8"/>
    </row>
    <row r="512" ht="13.5" customHeight="1">
      <c r="A512" s="8" t="s">
        <v>716</v>
      </c>
      <c r="B512" s="8">
        <v>6434.0</v>
      </c>
      <c r="C512" s="8"/>
      <c r="D512" s="8"/>
      <c r="E512" s="8"/>
      <c r="F512" s="8"/>
    </row>
    <row r="513" ht="13.5" customHeight="1">
      <c r="A513" s="8" t="s">
        <v>727</v>
      </c>
      <c r="B513" s="8">
        <v>7136.0</v>
      </c>
      <c r="C513" s="8"/>
      <c r="D513" s="8"/>
      <c r="E513" s="8"/>
      <c r="F513" s="8"/>
    </row>
    <row r="514" ht="13.5" customHeight="1">
      <c r="A514" s="8" t="s">
        <v>728</v>
      </c>
      <c r="B514" s="8">
        <v>7489.0</v>
      </c>
      <c r="C514" s="8"/>
      <c r="D514" s="8"/>
      <c r="E514" s="8"/>
      <c r="F514" s="8"/>
    </row>
    <row r="515" ht="13.5" customHeight="1">
      <c r="A515" s="8" t="s">
        <v>730</v>
      </c>
      <c r="B515" s="8">
        <v>7968.0</v>
      </c>
      <c r="C515" s="8"/>
      <c r="D515" s="8"/>
      <c r="E515" s="8"/>
      <c r="F515" s="8"/>
    </row>
    <row r="516" ht="13.5" customHeight="1">
      <c r="A516" s="8" t="s">
        <v>719</v>
      </c>
      <c r="B516" s="8">
        <v>8227.0</v>
      </c>
      <c r="C516" s="8"/>
      <c r="D516" s="8"/>
      <c r="E516" s="8"/>
      <c r="F516" s="8"/>
    </row>
    <row r="517" ht="13.5" customHeight="1">
      <c r="A517" s="8" t="s">
        <v>712</v>
      </c>
      <c r="B517" s="8">
        <v>9123.0</v>
      </c>
      <c r="C517" s="8"/>
      <c r="D517" s="8"/>
      <c r="E517" s="8"/>
      <c r="F517" s="8"/>
    </row>
    <row r="518" ht="13.5" customHeight="1">
      <c r="A518" s="8" t="s">
        <v>734</v>
      </c>
      <c r="B518" s="8">
        <v>9792.0</v>
      </c>
      <c r="C518" s="8"/>
      <c r="D518" s="8"/>
      <c r="E518" s="8"/>
      <c r="F518" s="8"/>
    </row>
    <row r="519" ht="13.5" customHeight="1">
      <c r="A519" s="8" t="s">
        <v>728</v>
      </c>
      <c r="B519" s="8">
        <v>9860.0</v>
      </c>
      <c r="C519" s="8"/>
      <c r="D519" s="8"/>
      <c r="E519" s="8"/>
      <c r="F519" s="8"/>
    </row>
    <row r="520" ht="13.5" customHeight="1">
      <c r="A520" s="8" t="s">
        <v>719</v>
      </c>
      <c r="B520" s="8">
        <v>10310.0</v>
      </c>
      <c r="C520" s="8"/>
      <c r="D520" s="8"/>
      <c r="E520" s="8"/>
      <c r="F520" s="8"/>
    </row>
    <row r="521" ht="13.5" customHeight="1">
      <c r="A521" s="8" t="s">
        <v>728</v>
      </c>
      <c r="B521" s="8">
        <v>10369.0</v>
      </c>
      <c r="C521" s="8"/>
      <c r="D521" s="8"/>
      <c r="E521" s="8"/>
      <c r="F521" s="8"/>
    </row>
    <row r="522" ht="13.5" customHeight="1">
      <c r="A522" s="8" t="s">
        <v>716</v>
      </c>
      <c r="B522" s="8">
        <v>10692.0</v>
      </c>
      <c r="C522" s="8"/>
      <c r="D522" s="8"/>
      <c r="E522" s="8"/>
      <c r="F522" s="8"/>
    </row>
    <row r="523" ht="13.5" customHeight="1">
      <c r="A523" s="8" t="s">
        <v>715</v>
      </c>
      <c r="B523" s="8">
        <v>11553.0</v>
      </c>
      <c r="C523" s="8"/>
      <c r="D523" s="8"/>
      <c r="E523" s="8"/>
      <c r="F523" s="8"/>
    </row>
    <row r="524" ht="13.5" customHeight="1">
      <c r="A524" s="8" t="s">
        <v>719</v>
      </c>
      <c r="B524" s="8">
        <v>11776.0</v>
      </c>
      <c r="C524" s="8"/>
      <c r="D524" s="8"/>
      <c r="E524" s="8"/>
      <c r="F524" s="8"/>
    </row>
    <row r="525" ht="13.5" customHeight="1">
      <c r="A525" s="8" t="s">
        <v>742</v>
      </c>
      <c r="B525" s="8">
        <v>11782.0</v>
      </c>
      <c r="C525" s="8"/>
      <c r="D525" s="8"/>
      <c r="E525" s="8"/>
      <c r="F525" s="8"/>
    </row>
    <row r="526" ht="13.5" customHeight="1">
      <c r="A526" s="8" t="s">
        <v>715</v>
      </c>
      <c r="B526" s="8">
        <v>12199.0</v>
      </c>
      <c r="C526" s="8"/>
      <c r="D526" s="8"/>
      <c r="E526" s="8"/>
      <c r="F526" s="8"/>
    </row>
    <row r="527" ht="13.5" customHeight="1">
      <c r="A527" s="8" t="s">
        <v>730</v>
      </c>
      <c r="B527" s="8">
        <v>14275.0</v>
      </c>
      <c r="C527" s="8"/>
      <c r="D527" s="8"/>
      <c r="E527" s="8"/>
      <c r="F527" s="8"/>
    </row>
    <row r="528" ht="13.5" customHeight="1">
      <c r="A528" s="8" t="s">
        <v>730</v>
      </c>
      <c r="B528" s="8">
        <v>14535.0</v>
      </c>
      <c r="C528" s="8"/>
      <c r="D528" s="8"/>
      <c r="E528" s="8"/>
      <c r="F528" s="8"/>
    </row>
    <row r="529" ht="13.5" customHeight="1">
      <c r="A529" s="8" t="s">
        <v>716</v>
      </c>
      <c r="B529" s="8">
        <v>15329.0</v>
      </c>
      <c r="C529" s="8"/>
      <c r="D529" s="8"/>
      <c r="E529" s="8"/>
      <c r="F529" s="8"/>
    </row>
    <row r="530" ht="13.5" customHeight="1">
      <c r="A530" s="8" t="s">
        <v>730</v>
      </c>
      <c r="B530" s="8">
        <v>15621.0</v>
      </c>
      <c r="C530" s="8"/>
      <c r="D530" s="8"/>
      <c r="E530" s="8"/>
      <c r="F530" s="8"/>
    </row>
    <row r="531" ht="13.5" customHeight="1">
      <c r="A531" s="8" t="s">
        <v>747</v>
      </c>
      <c r="B531" s="8">
        <v>17826.0</v>
      </c>
      <c r="C531" s="8"/>
      <c r="D531" s="8"/>
      <c r="E531" s="8"/>
      <c r="F531" s="8"/>
    </row>
    <row r="532" ht="13.5" customHeight="1">
      <c r="A532" s="8" t="s">
        <v>734</v>
      </c>
      <c r="B532" s="8">
        <v>17926.0</v>
      </c>
      <c r="C532" s="8"/>
      <c r="D532" s="8"/>
      <c r="E532" s="8"/>
      <c r="F532" s="8"/>
    </row>
    <row r="533" ht="13.5" customHeight="1">
      <c r="A533" s="8" t="s">
        <v>716</v>
      </c>
      <c r="B533" s="8">
        <v>18247.0</v>
      </c>
      <c r="C533" s="8"/>
      <c r="D533" s="8"/>
      <c r="E533" s="8"/>
      <c r="F533" s="8"/>
    </row>
    <row r="534" ht="13.5" customHeight="1">
      <c r="A534" s="8" t="s">
        <v>715</v>
      </c>
      <c r="B534" s="8">
        <v>18471.0</v>
      </c>
      <c r="C534" s="8"/>
      <c r="D534" s="8"/>
      <c r="E534" s="8"/>
      <c r="F534" s="8"/>
    </row>
    <row r="535" ht="13.5" customHeight="1">
      <c r="A535" s="8" t="s">
        <v>727</v>
      </c>
      <c r="B535" s="8">
        <v>19813.0</v>
      </c>
      <c r="C535" s="8"/>
      <c r="D535" s="8"/>
      <c r="E535" s="8"/>
      <c r="F535" s="8"/>
    </row>
    <row r="536" ht="13.5" customHeight="1">
      <c r="A536" s="8" t="s">
        <v>753</v>
      </c>
      <c r="B536" s="8">
        <v>20322.0</v>
      </c>
      <c r="C536" s="8"/>
      <c r="D536" s="8"/>
      <c r="E536" s="8"/>
      <c r="F536" s="8"/>
    </row>
    <row r="537" ht="13.5" customHeight="1">
      <c r="A537" s="8" t="s">
        <v>730</v>
      </c>
      <c r="B537" s="8">
        <v>20422.0</v>
      </c>
      <c r="C537" s="8"/>
      <c r="D537" s="8"/>
      <c r="E537" s="8"/>
      <c r="F537" s="8"/>
    </row>
    <row r="538" ht="13.5" customHeight="1">
      <c r="A538" s="8" t="s">
        <v>755</v>
      </c>
      <c r="B538" s="8">
        <v>20448.0</v>
      </c>
      <c r="C538" s="8"/>
      <c r="D538" s="8"/>
      <c r="E538" s="8"/>
      <c r="F538" s="8"/>
    </row>
    <row r="539" ht="13.5" customHeight="1">
      <c r="A539" s="8" t="s">
        <v>715</v>
      </c>
      <c r="B539" s="8">
        <v>21892.0</v>
      </c>
      <c r="C539" s="8"/>
      <c r="D539" s="8"/>
      <c r="E539" s="8"/>
      <c r="F539" s="8"/>
    </row>
    <row r="540" ht="13.5" customHeight="1">
      <c r="A540" s="8" t="s">
        <v>716</v>
      </c>
      <c r="B540" s="8">
        <v>22980.0</v>
      </c>
      <c r="C540" s="8"/>
      <c r="D540" s="8"/>
      <c r="E540" s="8"/>
      <c r="F540" s="8"/>
    </row>
    <row r="541" ht="13.5" customHeight="1">
      <c r="A541" s="8" t="s">
        <v>708</v>
      </c>
      <c r="B541" s="8">
        <v>23907.0</v>
      </c>
      <c r="C541" s="8"/>
      <c r="D541" s="8"/>
      <c r="E541" s="8"/>
      <c r="F541" s="8"/>
    </row>
    <row r="542" ht="13.5" customHeight="1">
      <c r="A542" s="8" t="s">
        <v>711</v>
      </c>
      <c r="B542" s="8">
        <v>24064.0</v>
      </c>
      <c r="C542" s="8"/>
      <c r="D542" s="8"/>
      <c r="E542" s="8"/>
      <c r="F542" s="8"/>
    </row>
    <row r="543" ht="13.5" customHeight="1">
      <c r="A543" s="8" t="s">
        <v>715</v>
      </c>
      <c r="B543" s="8">
        <v>24132.0</v>
      </c>
      <c r="C543" s="8"/>
      <c r="D543" s="8"/>
      <c r="E543" s="8"/>
      <c r="F543" s="8"/>
    </row>
    <row r="544" ht="13.5" customHeight="1">
      <c r="A544" s="8" t="s">
        <v>755</v>
      </c>
      <c r="B544" s="8">
        <v>24576.0</v>
      </c>
      <c r="C544" s="8"/>
      <c r="D544" s="8"/>
      <c r="E544" s="8"/>
      <c r="F544" s="8"/>
    </row>
    <row r="545" ht="13.5" customHeight="1">
      <c r="A545" s="8" t="s">
        <v>719</v>
      </c>
      <c r="B545" s="8">
        <v>25248.0</v>
      </c>
      <c r="C545" s="8"/>
      <c r="D545" s="8"/>
      <c r="E545" s="8"/>
      <c r="F545" s="8"/>
    </row>
    <row r="546" ht="13.5" customHeight="1">
      <c r="A546" s="8" t="s">
        <v>727</v>
      </c>
      <c r="B546" s="8">
        <v>25475.0</v>
      </c>
      <c r="C546" s="8"/>
      <c r="D546" s="8"/>
      <c r="E546" s="8"/>
      <c r="F546" s="8"/>
    </row>
    <row r="547" ht="13.5" customHeight="1">
      <c r="A547" s="8" t="s">
        <v>753</v>
      </c>
      <c r="B547" s="8">
        <v>26978.0</v>
      </c>
      <c r="C547" s="8"/>
      <c r="D547" s="8"/>
      <c r="E547" s="8"/>
      <c r="F547" s="8"/>
    </row>
    <row r="548" ht="13.5" customHeight="1">
      <c r="A548" s="8" t="s">
        <v>711</v>
      </c>
      <c r="B548" s="8">
        <v>27105.0</v>
      </c>
      <c r="C548" s="8"/>
      <c r="D548" s="8"/>
      <c r="E548" s="8"/>
      <c r="F548" s="8"/>
    </row>
    <row r="549" ht="13.5" customHeight="1">
      <c r="A549" s="8" t="s">
        <v>708</v>
      </c>
      <c r="B549" s="8">
        <v>28068.0</v>
      </c>
      <c r="C549" s="8"/>
      <c r="D549" s="8"/>
      <c r="E549" s="8"/>
      <c r="F549" s="8"/>
    </row>
    <row r="550" ht="13.5" customHeight="1">
      <c r="A550" s="8" t="s">
        <v>711</v>
      </c>
      <c r="B550" s="8">
        <v>28802.0</v>
      </c>
      <c r="C550" s="8"/>
      <c r="D550" s="8"/>
      <c r="E550" s="8"/>
      <c r="F550" s="8"/>
    </row>
    <row r="551" ht="13.5" customHeight="1">
      <c r="A551" s="8" t="s">
        <v>196</v>
      </c>
      <c r="B551" s="8">
        <v>28839.0</v>
      </c>
      <c r="C551" s="8"/>
      <c r="D551" s="8"/>
      <c r="E551" s="8"/>
      <c r="F551" s="8"/>
    </row>
    <row r="552" ht="13.5" customHeight="1">
      <c r="A552" s="8" t="s">
        <v>196</v>
      </c>
      <c r="B552" s="8">
        <v>29252.0</v>
      </c>
      <c r="C552" s="8"/>
      <c r="D552" s="8"/>
      <c r="E552" s="8"/>
      <c r="F552" s="8"/>
    </row>
    <row r="553" ht="13.5" customHeight="1">
      <c r="A553" s="8" t="s">
        <v>728</v>
      </c>
      <c r="B553" s="8">
        <v>31941.0</v>
      </c>
      <c r="C553" s="8"/>
      <c r="D553" s="8"/>
      <c r="E553" s="8"/>
      <c r="F553" s="8"/>
    </row>
    <row r="554" ht="13.5" customHeight="1">
      <c r="A554" s="8" t="s">
        <v>742</v>
      </c>
      <c r="B554" s="8">
        <v>32418.0</v>
      </c>
      <c r="C554" s="8"/>
      <c r="D554" s="8"/>
      <c r="E554" s="8"/>
      <c r="F554" s="8"/>
    </row>
    <row r="555" ht="13.5" customHeight="1">
      <c r="A555" s="8" t="s">
        <v>711</v>
      </c>
      <c r="B555" s="8">
        <v>34241.0</v>
      </c>
      <c r="C555" s="8"/>
      <c r="D555" s="8"/>
      <c r="E555" s="8"/>
      <c r="F555" s="8"/>
    </row>
    <row r="556" ht="13.5" customHeight="1">
      <c r="A556" s="8" t="s">
        <v>734</v>
      </c>
      <c r="B556" s="8">
        <v>34816.0</v>
      </c>
      <c r="C556" s="8"/>
      <c r="D556" s="8"/>
      <c r="E556" s="8"/>
      <c r="F556" s="8"/>
    </row>
    <row r="557" ht="13.5" customHeight="1">
      <c r="A557" s="8" t="s">
        <v>755</v>
      </c>
      <c r="B557" s="8">
        <v>35011.0</v>
      </c>
      <c r="C557" s="8"/>
      <c r="D557" s="8"/>
      <c r="E557" s="8"/>
      <c r="F557" s="8"/>
    </row>
    <row r="558" ht="13.5" customHeight="1">
      <c r="A558" s="8" t="s">
        <v>196</v>
      </c>
      <c r="B558" s="8">
        <v>36068.0</v>
      </c>
      <c r="C558" s="8"/>
      <c r="D558" s="8"/>
      <c r="E558" s="8"/>
      <c r="F558" s="8"/>
    </row>
    <row r="559" ht="13.5" customHeight="1">
      <c r="A559" s="8" t="s">
        <v>747</v>
      </c>
      <c r="B559" s="8">
        <v>36930.0</v>
      </c>
      <c r="C559" s="8"/>
      <c r="D559" s="8"/>
      <c r="E559" s="8"/>
      <c r="F559" s="8"/>
    </row>
    <row r="560" ht="13.5" customHeight="1">
      <c r="A560" s="8" t="s">
        <v>755</v>
      </c>
      <c r="B560" s="8">
        <v>37315.0</v>
      </c>
      <c r="C560" s="8"/>
      <c r="D560" s="8"/>
      <c r="E560" s="8"/>
      <c r="F560" s="8"/>
    </row>
    <row r="561" ht="13.5" customHeight="1">
      <c r="A561" s="8" t="s">
        <v>755</v>
      </c>
      <c r="B561" s="8">
        <v>37925.0</v>
      </c>
      <c r="C561" s="8"/>
      <c r="D561" s="8"/>
      <c r="E561" s="8"/>
      <c r="F561" s="8"/>
    </row>
    <row r="562" ht="13.5" customHeight="1">
      <c r="A562" s="8" t="s">
        <v>716</v>
      </c>
      <c r="B562" s="8">
        <v>38021.0</v>
      </c>
      <c r="C562" s="8"/>
      <c r="D562" s="8"/>
      <c r="E562" s="8"/>
      <c r="F562" s="8"/>
    </row>
    <row r="563" ht="13.5" customHeight="1">
      <c r="A563" s="8" t="s">
        <v>708</v>
      </c>
      <c r="B563" s="8">
        <v>38336.0</v>
      </c>
      <c r="C563" s="8"/>
      <c r="D563" s="8"/>
      <c r="E563" s="8"/>
      <c r="F563" s="8"/>
    </row>
    <row r="564" ht="13.5" customHeight="1">
      <c r="A564" s="8" t="s">
        <v>715</v>
      </c>
      <c r="B564" s="8">
        <v>38565.0</v>
      </c>
      <c r="C564" s="8"/>
      <c r="D564" s="8"/>
      <c r="E564" s="8"/>
      <c r="F564" s="8"/>
    </row>
    <row r="565" ht="13.5" customHeight="1">
      <c r="A565" s="8" t="s">
        <v>734</v>
      </c>
      <c r="B565" s="8">
        <v>39783.0</v>
      </c>
      <c r="C565" s="8"/>
      <c r="D565" s="8"/>
      <c r="E565" s="8"/>
      <c r="F565" s="8"/>
    </row>
    <row r="566" ht="13.5" customHeight="1">
      <c r="A566" s="8" t="s">
        <v>747</v>
      </c>
      <c r="B566" s="8">
        <v>42500.0</v>
      </c>
      <c r="C566" s="8"/>
      <c r="D566" s="8"/>
      <c r="E566" s="8"/>
      <c r="F566" s="8"/>
    </row>
    <row r="567" ht="13.5" customHeight="1">
      <c r="A567" s="8" t="s">
        <v>708</v>
      </c>
      <c r="B567" s="8">
        <v>44162.0</v>
      </c>
      <c r="C567" s="8"/>
      <c r="D567" s="8"/>
      <c r="E567" s="8"/>
      <c r="F567" s="8"/>
    </row>
    <row r="568" ht="13.5" customHeight="1">
      <c r="A568" s="8" t="s">
        <v>734</v>
      </c>
      <c r="B568" s="8">
        <v>44256.0</v>
      </c>
      <c r="C568" s="8"/>
      <c r="D568" s="8"/>
      <c r="E568" s="8"/>
      <c r="F568" s="8"/>
    </row>
    <row r="569" ht="13.5" customHeight="1">
      <c r="A569" s="8" t="s">
        <v>734</v>
      </c>
      <c r="B569" s="8">
        <v>44320.0</v>
      </c>
      <c r="C569" s="8"/>
      <c r="D569" s="8"/>
      <c r="E569" s="8"/>
      <c r="F569" s="8"/>
    </row>
    <row r="570" ht="13.5" customHeight="1">
      <c r="A570" s="8" t="s">
        <v>728</v>
      </c>
      <c r="B570" s="8">
        <v>45377.0</v>
      </c>
      <c r="C570" s="8"/>
      <c r="D570" s="8"/>
      <c r="E570" s="8"/>
      <c r="F570" s="8"/>
    </row>
    <row r="571" ht="13.5" customHeight="1">
      <c r="A571" s="8" t="s">
        <v>716</v>
      </c>
      <c r="B571" s="8">
        <v>47367.0</v>
      </c>
      <c r="C571" s="8"/>
      <c r="D571" s="8"/>
      <c r="E571" s="8"/>
      <c r="F571" s="8"/>
    </row>
    <row r="572" ht="13.5" customHeight="1">
      <c r="A572" s="8" t="s">
        <v>734</v>
      </c>
      <c r="B572" s="8">
        <v>47750.0</v>
      </c>
      <c r="C572" s="8"/>
      <c r="D572" s="8"/>
      <c r="E572" s="8"/>
      <c r="F572" s="8"/>
    </row>
    <row r="573" ht="13.5" customHeight="1">
      <c r="A573" s="8" t="s">
        <v>742</v>
      </c>
      <c r="B573" s="8">
        <v>48388.0</v>
      </c>
      <c r="C573" s="8"/>
      <c r="D573" s="8"/>
      <c r="E573" s="8"/>
      <c r="F573" s="8"/>
    </row>
    <row r="574" ht="13.5" customHeight="1">
      <c r="A574" s="8" t="s">
        <v>780</v>
      </c>
      <c r="B574" s="8">
        <v>49059.0</v>
      </c>
      <c r="C574" s="8"/>
      <c r="D574" s="8"/>
      <c r="E574" s="8"/>
      <c r="F574" s="8"/>
    </row>
    <row r="575" ht="13.5" customHeight="1">
      <c r="A575" s="8" t="s">
        <v>755</v>
      </c>
      <c r="B575" s="8">
        <v>49510.0</v>
      </c>
      <c r="C575" s="8"/>
      <c r="D575" s="8"/>
      <c r="E575" s="8"/>
      <c r="F575" s="8"/>
    </row>
    <row r="576" ht="13.5" customHeight="1">
      <c r="A576" s="8" t="s">
        <v>734</v>
      </c>
      <c r="B576" s="8">
        <v>49634.0</v>
      </c>
      <c r="C576" s="8"/>
      <c r="D576" s="8"/>
      <c r="E576" s="8"/>
      <c r="F576" s="8"/>
    </row>
    <row r="577" ht="13.5" customHeight="1">
      <c r="A577" s="8" t="s">
        <v>747</v>
      </c>
      <c r="B577" s="8">
        <v>50210.0</v>
      </c>
      <c r="C577" s="8"/>
      <c r="D577" s="8"/>
      <c r="E577" s="8"/>
      <c r="F577" s="8"/>
    </row>
    <row r="578" ht="13.5" customHeight="1">
      <c r="A578" s="8" t="s">
        <v>711</v>
      </c>
      <c r="B578" s="8">
        <v>50503.0</v>
      </c>
      <c r="C578" s="8"/>
      <c r="D578" s="8"/>
      <c r="E578" s="8"/>
      <c r="F578" s="8"/>
    </row>
    <row r="579" ht="13.5" customHeight="1">
      <c r="A579" s="8" t="s">
        <v>196</v>
      </c>
      <c r="B579" s="8">
        <v>50816.0</v>
      </c>
      <c r="C579" s="8"/>
      <c r="D579" s="8"/>
      <c r="E579" s="8"/>
      <c r="F579" s="8"/>
    </row>
    <row r="580" ht="13.5" customHeight="1">
      <c r="A580" s="8" t="s">
        <v>755</v>
      </c>
      <c r="B580" s="8">
        <v>51073.0</v>
      </c>
      <c r="C580" s="8"/>
      <c r="D580" s="8"/>
      <c r="E580" s="8"/>
      <c r="F580" s="8"/>
    </row>
    <row r="581" ht="13.5" customHeight="1">
      <c r="A581" s="8" t="s">
        <v>716</v>
      </c>
      <c r="B581" s="8">
        <v>51584.0</v>
      </c>
      <c r="C581" s="8"/>
      <c r="D581" s="8"/>
      <c r="E581" s="8"/>
      <c r="F581" s="8"/>
    </row>
    <row r="582" ht="13.5" customHeight="1">
      <c r="A582" s="8" t="s">
        <v>57</v>
      </c>
      <c r="B582" s="8">
        <v>51879.0</v>
      </c>
      <c r="C582" s="8"/>
      <c r="D582" s="8"/>
      <c r="E582" s="8"/>
      <c r="F582" s="8"/>
    </row>
    <row r="583" ht="13.5" customHeight="1">
      <c r="A583" s="8" t="s">
        <v>728</v>
      </c>
      <c r="B583" s="8">
        <v>52288.0</v>
      </c>
      <c r="C583" s="8"/>
      <c r="D583" s="8"/>
      <c r="E583" s="8"/>
      <c r="F583" s="8"/>
    </row>
    <row r="584" ht="13.5" customHeight="1">
      <c r="A584" s="8" t="s">
        <v>747</v>
      </c>
      <c r="B584" s="8">
        <v>53190.0</v>
      </c>
      <c r="C584" s="8"/>
      <c r="D584" s="8"/>
      <c r="E584" s="8"/>
      <c r="F584" s="8"/>
    </row>
    <row r="585" ht="13.5" customHeight="1">
      <c r="A585" s="8" t="s">
        <v>711</v>
      </c>
      <c r="B585" s="8">
        <v>53536.0</v>
      </c>
      <c r="C585" s="8"/>
      <c r="D585" s="8"/>
      <c r="E585" s="8"/>
      <c r="F585" s="8"/>
    </row>
    <row r="586" ht="13.5" customHeight="1">
      <c r="A586" s="8" t="s">
        <v>742</v>
      </c>
      <c r="B586" s="8">
        <v>53572.0</v>
      </c>
      <c r="C586" s="8"/>
      <c r="D586" s="8"/>
      <c r="E586" s="8"/>
      <c r="F586" s="8"/>
    </row>
    <row r="587" ht="13.5" customHeight="1">
      <c r="A587" s="8" t="s">
        <v>552</v>
      </c>
      <c r="B587" s="8">
        <v>53825.0</v>
      </c>
      <c r="C587" s="8"/>
      <c r="D587" s="8"/>
      <c r="E587" s="8"/>
      <c r="F587" s="8"/>
    </row>
    <row r="588" ht="13.5" customHeight="1">
      <c r="A588" s="8" t="s">
        <v>780</v>
      </c>
      <c r="B588" s="8">
        <v>53863.0</v>
      </c>
      <c r="C588" s="8"/>
      <c r="D588" s="8"/>
      <c r="E588" s="8"/>
      <c r="F588" s="8"/>
    </row>
    <row r="589" ht="13.5" customHeight="1">
      <c r="A589" s="8" t="s">
        <v>57</v>
      </c>
      <c r="B589" s="8">
        <v>54119.0</v>
      </c>
      <c r="C589" s="8"/>
      <c r="D589" s="8"/>
      <c r="E589" s="8"/>
      <c r="F589" s="8"/>
    </row>
    <row r="590" ht="13.5" customHeight="1">
      <c r="A590" s="8" t="s">
        <v>747</v>
      </c>
      <c r="B590" s="8">
        <v>56224.0</v>
      </c>
      <c r="C590" s="8"/>
      <c r="D590" s="8"/>
      <c r="E590" s="8"/>
      <c r="F590" s="8"/>
    </row>
    <row r="591" ht="13.5" customHeight="1">
      <c r="A591" s="8" t="s">
        <v>747</v>
      </c>
      <c r="B591" s="8">
        <v>56293.0</v>
      </c>
      <c r="C591" s="8"/>
      <c r="D591" s="8"/>
      <c r="E591" s="8"/>
      <c r="F591" s="8"/>
    </row>
    <row r="592" ht="13.5" customHeight="1">
      <c r="A592" s="8" t="s">
        <v>734</v>
      </c>
      <c r="B592" s="8">
        <v>57959.0</v>
      </c>
      <c r="C592" s="8"/>
      <c r="D592" s="8"/>
      <c r="E592" s="8"/>
      <c r="F592" s="8"/>
    </row>
    <row r="593" ht="13.5" customHeight="1">
      <c r="A593" s="8" t="s">
        <v>780</v>
      </c>
      <c r="B593" s="8">
        <v>58500.0</v>
      </c>
      <c r="C593" s="8"/>
      <c r="D593" s="8"/>
      <c r="E593" s="8"/>
      <c r="F593" s="8"/>
    </row>
    <row r="594" ht="13.5" customHeight="1">
      <c r="A594" s="8" t="s">
        <v>552</v>
      </c>
      <c r="B594" s="8">
        <v>59584.0</v>
      </c>
      <c r="C594" s="8"/>
      <c r="D594" s="8"/>
      <c r="E594" s="8"/>
      <c r="F594" s="8"/>
    </row>
    <row r="595" ht="13.5" customHeight="1">
      <c r="A595" s="8" t="s">
        <v>795</v>
      </c>
      <c r="B595" s="8">
        <v>261.0</v>
      </c>
      <c r="C595" s="8"/>
      <c r="D595" s="8"/>
      <c r="E595" s="8"/>
      <c r="F595" s="8"/>
    </row>
    <row r="596" ht="13.5" customHeight="1">
      <c r="A596" s="8" t="s">
        <v>797</v>
      </c>
      <c r="B596" s="8">
        <v>928.0</v>
      </c>
      <c r="C596" s="8"/>
      <c r="D596" s="8"/>
      <c r="E596" s="8"/>
      <c r="F596" s="8"/>
    </row>
    <row r="597" ht="13.5" customHeight="1">
      <c r="A597" s="8" t="s">
        <v>798</v>
      </c>
      <c r="B597" s="8">
        <v>1282.0</v>
      </c>
      <c r="C597" s="8"/>
      <c r="D597" s="8"/>
      <c r="E597" s="8"/>
      <c r="F597" s="8"/>
    </row>
    <row r="598" ht="13.5" customHeight="1">
      <c r="A598" s="8" t="s">
        <v>799</v>
      </c>
      <c r="B598" s="8">
        <v>1856.0</v>
      </c>
      <c r="C598" s="8"/>
      <c r="D598" s="8"/>
      <c r="E598" s="8"/>
      <c r="F598" s="8"/>
    </row>
    <row r="599" ht="13.5" customHeight="1">
      <c r="A599" s="8" t="s">
        <v>689</v>
      </c>
      <c r="B599" s="8">
        <v>1925.0</v>
      </c>
      <c r="C599" s="8"/>
      <c r="D599" s="8"/>
      <c r="E599" s="8"/>
      <c r="F599" s="8"/>
    </row>
    <row r="600" ht="13.5" customHeight="1">
      <c r="A600" s="8" t="s">
        <v>798</v>
      </c>
      <c r="B600" s="8">
        <v>2848.0</v>
      </c>
      <c r="C600" s="8"/>
      <c r="D600" s="8"/>
      <c r="E600" s="8"/>
      <c r="F600" s="8"/>
    </row>
    <row r="601" ht="13.5" customHeight="1">
      <c r="A601" s="8" t="s">
        <v>803</v>
      </c>
      <c r="B601" s="8">
        <v>5504.0</v>
      </c>
      <c r="C601" s="8"/>
      <c r="D601" s="8"/>
      <c r="E601" s="8"/>
      <c r="F601" s="8"/>
    </row>
    <row r="602" ht="13.5" customHeight="1">
      <c r="A602" s="8" t="s">
        <v>798</v>
      </c>
      <c r="B602" s="8">
        <v>8390.0</v>
      </c>
      <c r="C602" s="8"/>
      <c r="D602" s="8"/>
      <c r="E602" s="8"/>
      <c r="F602" s="8"/>
    </row>
    <row r="603" ht="13.5" customHeight="1">
      <c r="A603" s="8" t="s">
        <v>806</v>
      </c>
      <c r="B603" s="8">
        <v>8545.0</v>
      </c>
      <c r="C603" s="8"/>
      <c r="D603" s="8"/>
      <c r="E603" s="8"/>
      <c r="F603" s="8"/>
    </row>
    <row r="604" ht="13.5" customHeight="1">
      <c r="A604" s="8" t="s">
        <v>798</v>
      </c>
      <c r="B604" s="8">
        <v>9573.0</v>
      </c>
      <c r="C604" s="8"/>
      <c r="D604" s="8"/>
      <c r="E604" s="8"/>
      <c r="F604" s="8"/>
    </row>
    <row r="605" ht="13.5" customHeight="1">
      <c r="A605" s="8" t="s">
        <v>808</v>
      </c>
      <c r="B605" s="8">
        <v>9892.0</v>
      </c>
      <c r="C605" s="8"/>
      <c r="D605" s="8"/>
      <c r="E605" s="8"/>
      <c r="F605" s="8"/>
    </row>
    <row r="606" ht="13.5" customHeight="1">
      <c r="A606" s="8" t="s">
        <v>795</v>
      </c>
      <c r="B606" s="8">
        <v>10048.0</v>
      </c>
      <c r="C606" s="8"/>
      <c r="D606" s="8"/>
      <c r="E606" s="8"/>
      <c r="F606" s="8"/>
    </row>
    <row r="607" ht="13.5" customHeight="1">
      <c r="A607" s="8" t="s">
        <v>795</v>
      </c>
      <c r="B607" s="8">
        <v>10144.0</v>
      </c>
      <c r="C607" s="8"/>
      <c r="D607" s="8"/>
      <c r="E607" s="8"/>
      <c r="F607" s="8"/>
    </row>
    <row r="608" ht="13.5" customHeight="1">
      <c r="A608" s="8" t="s">
        <v>795</v>
      </c>
      <c r="B608" s="8">
        <v>10432.0</v>
      </c>
      <c r="C608" s="8"/>
      <c r="D608" s="8"/>
      <c r="E608" s="8"/>
      <c r="F608" s="8"/>
    </row>
    <row r="609" ht="13.5" customHeight="1">
      <c r="A609" s="8" t="s">
        <v>812</v>
      </c>
      <c r="B609" s="8">
        <v>10661.0</v>
      </c>
      <c r="C609" s="8"/>
      <c r="D609" s="8"/>
      <c r="E609" s="8"/>
      <c r="F609" s="8"/>
    </row>
    <row r="610" ht="13.5" customHeight="1">
      <c r="A610" s="8" t="s">
        <v>795</v>
      </c>
      <c r="B610" s="8">
        <v>12806.0</v>
      </c>
      <c r="C610" s="8"/>
      <c r="D610" s="8"/>
      <c r="E610" s="8"/>
      <c r="F610" s="8"/>
    </row>
    <row r="611" ht="13.5" customHeight="1">
      <c r="A611" s="8" t="s">
        <v>808</v>
      </c>
      <c r="B611" s="8">
        <v>13158.0</v>
      </c>
      <c r="C611" s="8"/>
      <c r="D611" s="8"/>
      <c r="E611" s="8"/>
      <c r="F611" s="8"/>
    </row>
    <row r="612" ht="13.5" customHeight="1">
      <c r="A612" s="8" t="s">
        <v>803</v>
      </c>
      <c r="B612" s="8">
        <v>13507.0</v>
      </c>
      <c r="C612" s="8"/>
      <c r="D612" s="8"/>
      <c r="E612" s="8"/>
      <c r="F612" s="8"/>
    </row>
    <row r="613" ht="13.5" customHeight="1">
      <c r="A613" s="8" t="s">
        <v>815</v>
      </c>
      <c r="B613" s="8">
        <v>14375.0</v>
      </c>
      <c r="C613" s="8"/>
      <c r="D613" s="8"/>
      <c r="E613" s="8"/>
      <c r="F613" s="8"/>
    </row>
    <row r="614" ht="13.5" customHeight="1">
      <c r="A614" s="8" t="s">
        <v>795</v>
      </c>
      <c r="B614" s="8">
        <v>14627.0</v>
      </c>
      <c r="C614" s="8"/>
      <c r="D614" s="8"/>
      <c r="E614" s="8"/>
      <c r="F614" s="8"/>
    </row>
    <row r="615" ht="13.5" customHeight="1">
      <c r="A615" s="8" t="s">
        <v>817</v>
      </c>
      <c r="B615" s="8">
        <v>14852.0</v>
      </c>
      <c r="C615" s="8"/>
      <c r="D615" s="8"/>
      <c r="E615" s="8"/>
      <c r="F615" s="8"/>
    </row>
    <row r="616" ht="13.5" customHeight="1">
      <c r="A616" s="8" t="s">
        <v>795</v>
      </c>
      <c r="B616" s="8">
        <v>16230.0</v>
      </c>
      <c r="C616" s="8"/>
      <c r="D616" s="8"/>
      <c r="E616" s="8"/>
      <c r="F616" s="8"/>
    </row>
    <row r="617" ht="13.5" customHeight="1">
      <c r="A617" s="8" t="s">
        <v>795</v>
      </c>
      <c r="B617" s="8">
        <v>19074.0</v>
      </c>
      <c r="C617" s="8"/>
      <c r="D617" s="8"/>
      <c r="E617" s="8"/>
      <c r="F617" s="8"/>
    </row>
    <row r="618" ht="13.5" customHeight="1">
      <c r="A618" s="8" t="s">
        <v>818</v>
      </c>
      <c r="B618" s="8">
        <v>20194.0</v>
      </c>
      <c r="C618" s="8"/>
      <c r="D618" s="8"/>
      <c r="E618" s="8"/>
      <c r="F618" s="8"/>
    </row>
    <row r="619" ht="13.5" customHeight="1">
      <c r="A619" s="8" t="s">
        <v>819</v>
      </c>
      <c r="B619" s="8">
        <v>21024.0</v>
      </c>
      <c r="C619" s="8"/>
      <c r="D619" s="8"/>
      <c r="E619" s="8"/>
      <c r="F619" s="8"/>
    </row>
    <row r="620" ht="13.5" customHeight="1">
      <c r="A620" s="8" t="s">
        <v>818</v>
      </c>
      <c r="B620" s="8">
        <v>21509.0</v>
      </c>
      <c r="C620" s="8"/>
      <c r="D620" s="8"/>
      <c r="E620" s="8"/>
      <c r="F620" s="8"/>
    </row>
    <row r="621" ht="13.5" customHeight="1">
      <c r="A621" s="8" t="s">
        <v>795</v>
      </c>
      <c r="B621" s="8">
        <v>21856.0</v>
      </c>
      <c r="C621" s="8"/>
      <c r="D621" s="8"/>
      <c r="E621" s="8"/>
      <c r="F621" s="8"/>
    </row>
    <row r="622" ht="13.5" customHeight="1">
      <c r="A622" s="8" t="s">
        <v>819</v>
      </c>
      <c r="B622" s="8">
        <v>22119.0</v>
      </c>
      <c r="C622" s="8"/>
      <c r="D622" s="8"/>
      <c r="E622" s="8"/>
      <c r="F622" s="8"/>
    </row>
    <row r="623" ht="13.5" customHeight="1">
      <c r="A623" s="8" t="s">
        <v>808</v>
      </c>
      <c r="B623" s="8">
        <v>22534.0</v>
      </c>
      <c r="C623" s="8"/>
      <c r="D623" s="8"/>
      <c r="E623" s="8"/>
      <c r="F623" s="8"/>
    </row>
    <row r="624" ht="13.5" customHeight="1">
      <c r="A624" s="8" t="s">
        <v>795</v>
      </c>
      <c r="B624" s="8">
        <v>22629.0</v>
      </c>
      <c r="C624" s="8"/>
      <c r="D624" s="8"/>
      <c r="E624" s="8"/>
      <c r="F624" s="8"/>
    </row>
    <row r="625" ht="13.5" customHeight="1">
      <c r="A625" s="8" t="s">
        <v>808</v>
      </c>
      <c r="B625" s="8">
        <v>23011.0</v>
      </c>
      <c r="C625" s="8"/>
      <c r="D625" s="8"/>
      <c r="E625" s="8"/>
      <c r="F625" s="8"/>
    </row>
    <row r="626" ht="13.5" customHeight="1">
      <c r="A626" s="8" t="s">
        <v>795</v>
      </c>
      <c r="B626" s="8">
        <v>24070.0</v>
      </c>
      <c r="C626" s="8"/>
      <c r="D626" s="8"/>
      <c r="E626" s="8"/>
      <c r="F626" s="8"/>
    </row>
    <row r="627" ht="13.5" customHeight="1">
      <c r="A627" s="8" t="s">
        <v>795</v>
      </c>
      <c r="B627" s="8">
        <v>24737.0</v>
      </c>
      <c r="C627" s="8"/>
      <c r="D627" s="8"/>
      <c r="E627" s="8"/>
      <c r="F627" s="8"/>
    </row>
    <row r="628" ht="13.5" customHeight="1">
      <c r="A628" s="8" t="s">
        <v>803</v>
      </c>
      <c r="B628" s="8">
        <v>26373.0</v>
      </c>
      <c r="C628" s="8"/>
      <c r="D628" s="8"/>
      <c r="E628" s="8"/>
      <c r="F628" s="8"/>
    </row>
    <row r="629" ht="13.5" customHeight="1">
      <c r="A629" s="8" t="s">
        <v>799</v>
      </c>
      <c r="B629" s="8">
        <v>27174.0</v>
      </c>
      <c r="C629" s="8"/>
      <c r="D629" s="8"/>
      <c r="E629" s="8"/>
      <c r="F629" s="8"/>
    </row>
    <row r="630" ht="13.5" customHeight="1">
      <c r="A630" s="8" t="s">
        <v>826</v>
      </c>
      <c r="B630" s="8">
        <v>27876.0</v>
      </c>
      <c r="C630" s="8"/>
      <c r="D630" s="8"/>
      <c r="E630" s="8"/>
      <c r="F630" s="8"/>
    </row>
    <row r="631" ht="13.5" customHeight="1">
      <c r="A631" s="8" t="s">
        <v>799</v>
      </c>
      <c r="B631" s="8">
        <v>28582.0</v>
      </c>
      <c r="C631" s="8"/>
      <c r="D631" s="8"/>
      <c r="E631" s="8"/>
      <c r="F631" s="8"/>
    </row>
    <row r="632" ht="13.5" customHeight="1">
      <c r="A632" s="8" t="s">
        <v>803</v>
      </c>
      <c r="B632" s="8">
        <v>28868.0</v>
      </c>
      <c r="C632" s="8"/>
      <c r="D632" s="8"/>
      <c r="E632" s="8"/>
      <c r="F632" s="8"/>
    </row>
    <row r="633" ht="13.5" customHeight="1">
      <c r="A633" s="8" t="s">
        <v>817</v>
      </c>
      <c r="B633" s="8">
        <v>29857.0</v>
      </c>
      <c r="C633" s="8"/>
      <c r="D633" s="8"/>
      <c r="E633" s="8"/>
      <c r="F633" s="8"/>
    </row>
    <row r="634" ht="13.5" customHeight="1">
      <c r="A634" s="8" t="s">
        <v>795</v>
      </c>
      <c r="B634" s="8">
        <v>29921.0</v>
      </c>
      <c r="C634" s="8"/>
      <c r="D634" s="8"/>
      <c r="E634" s="8"/>
      <c r="F634" s="8"/>
    </row>
    <row r="635" ht="13.5" customHeight="1">
      <c r="A635" s="8" t="s">
        <v>808</v>
      </c>
      <c r="B635" s="8">
        <v>30659.0</v>
      </c>
      <c r="C635" s="8"/>
      <c r="D635" s="8"/>
      <c r="E635" s="8"/>
      <c r="F635" s="8"/>
    </row>
    <row r="636" ht="13.5" customHeight="1">
      <c r="A636" s="8" t="s">
        <v>803</v>
      </c>
      <c r="B636" s="8">
        <v>30660.0</v>
      </c>
      <c r="C636" s="8"/>
      <c r="D636" s="8"/>
      <c r="E636" s="8"/>
      <c r="F636" s="8"/>
    </row>
    <row r="637" ht="13.5" customHeight="1">
      <c r="A637" s="8" t="s">
        <v>799</v>
      </c>
      <c r="B637" s="8">
        <v>30883.0</v>
      </c>
      <c r="C637" s="8"/>
      <c r="D637" s="8"/>
      <c r="E637" s="8"/>
      <c r="F637" s="8"/>
    </row>
    <row r="638" ht="13.5" customHeight="1">
      <c r="A638" s="8" t="s">
        <v>830</v>
      </c>
      <c r="B638" s="8">
        <v>32871.0</v>
      </c>
      <c r="C638" s="8"/>
      <c r="D638" s="8"/>
      <c r="E638" s="8"/>
      <c r="F638" s="8"/>
    </row>
    <row r="639" ht="13.5" customHeight="1">
      <c r="A639" s="8" t="s">
        <v>795</v>
      </c>
      <c r="B639" s="8">
        <v>33600.0</v>
      </c>
      <c r="C639" s="8"/>
      <c r="D639" s="8"/>
      <c r="E639" s="8"/>
      <c r="F639" s="8"/>
    </row>
    <row r="640" ht="13.5" customHeight="1">
      <c r="A640" s="8" t="s">
        <v>799</v>
      </c>
      <c r="B640" s="8">
        <v>33632.0</v>
      </c>
      <c r="C640" s="8"/>
      <c r="D640" s="8"/>
      <c r="E640" s="8"/>
      <c r="F640" s="8"/>
    </row>
    <row r="641" ht="13.5" customHeight="1">
      <c r="A641" s="8" t="s">
        <v>833</v>
      </c>
      <c r="B641" s="8">
        <v>33665.0</v>
      </c>
      <c r="C641" s="8"/>
      <c r="D641" s="8"/>
      <c r="E641" s="8"/>
      <c r="F641" s="8"/>
    </row>
    <row r="642" ht="13.5" customHeight="1">
      <c r="A642" s="8" t="s">
        <v>806</v>
      </c>
      <c r="B642" s="8">
        <v>34434.0</v>
      </c>
      <c r="C642" s="8"/>
      <c r="D642" s="8"/>
      <c r="E642" s="8"/>
      <c r="F642" s="8"/>
    </row>
    <row r="643" ht="13.5" customHeight="1">
      <c r="A643" s="8" t="s">
        <v>806</v>
      </c>
      <c r="B643" s="8">
        <v>34753.0</v>
      </c>
      <c r="C643" s="8"/>
      <c r="D643" s="8"/>
      <c r="E643" s="8"/>
      <c r="F643" s="8"/>
    </row>
    <row r="644" ht="13.5" customHeight="1">
      <c r="A644" s="8" t="s">
        <v>833</v>
      </c>
      <c r="B644" s="8">
        <v>35364.0</v>
      </c>
      <c r="C644" s="8"/>
      <c r="D644" s="8"/>
      <c r="E644" s="8"/>
      <c r="F644" s="8"/>
    </row>
    <row r="645" ht="13.5" customHeight="1">
      <c r="A645" s="8" t="s">
        <v>806</v>
      </c>
      <c r="B645" s="8">
        <v>35812.0</v>
      </c>
      <c r="C645" s="8"/>
      <c r="D645" s="8"/>
      <c r="E645" s="8"/>
      <c r="F645" s="8"/>
    </row>
    <row r="646" ht="13.5" customHeight="1">
      <c r="A646" s="8" t="s">
        <v>799</v>
      </c>
      <c r="B646" s="8">
        <v>37063.0</v>
      </c>
      <c r="C646" s="8"/>
      <c r="D646" s="8"/>
      <c r="E646" s="8"/>
      <c r="F646" s="8"/>
    </row>
    <row r="647" ht="13.5" customHeight="1">
      <c r="A647" s="8" t="s">
        <v>347</v>
      </c>
      <c r="B647" s="8">
        <v>37281.0</v>
      </c>
      <c r="C647" s="8"/>
      <c r="D647" s="8"/>
      <c r="E647" s="8"/>
      <c r="F647" s="8"/>
    </row>
    <row r="648" ht="13.5" customHeight="1">
      <c r="A648" s="8" t="s">
        <v>817</v>
      </c>
      <c r="B648" s="8">
        <v>37798.0</v>
      </c>
      <c r="C648" s="8"/>
      <c r="D648" s="8"/>
      <c r="E648" s="8"/>
      <c r="F648" s="8"/>
    </row>
    <row r="649" ht="13.5" customHeight="1">
      <c r="A649" s="8" t="s">
        <v>753</v>
      </c>
      <c r="B649" s="8">
        <v>38017.0</v>
      </c>
      <c r="C649" s="8"/>
      <c r="D649" s="8"/>
      <c r="E649" s="8"/>
      <c r="F649" s="8"/>
    </row>
    <row r="650" ht="13.5" customHeight="1">
      <c r="A650" s="8" t="s">
        <v>826</v>
      </c>
      <c r="B650" s="8">
        <v>38272.0</v>
      </c>
      <c r="C650" s="8"/>
      <c r="D650" s="8"/>
      <c r="E650" s="8"/>
      <c r="F650" s="8"/>
    </row>
    <row r="651" ht="13.5" customHeight="1">
      <c r="A651" s="8" t="s">
        <v>808</v>
      </c>
      <c r="B651" s="8">
        <v>39301.0</v>
      </c>
      <c r="C651" s="8"/>
      <c r="D651" s="8"/>
      <c r="E651" s="8"/>
      <c r="F651" s="8"/>
    </row>
    <row r="652" ht="13.5" customHeight="1">
      <c r="A652" s="8" t="s">
        <v>818</v>
      </c>
      <c r="B652" s="8">
        <v>39367.0</v>
      </c>
      <c r="C652" s="8"/>
      <c r="D652" s="8"/>
      <c r="E652" s="8"/>
      <c r="F652" s="8"/>
    </row>
    <row r="653" ht="13.5" customHeight="1">
      <c r="A653" s="8" t="s">
        <v>347</v>
      </c>
      <c r="B653" s="8">
        <v>39655.0</v>
      </c>
      <c r="C653" s="8"/>
      <c r="D653" s="8"/>
      <c r="E653" s="8"/>
      <c r="F653" s="8"/>
    </row>
    <row r="654" ht="13.5" customHeight="1">
      <c r="A654" s="8" t="s">
        <v>830</v>
      </c>
      <c r="B654" s="8">
        <v>40803.0</v>
      </c>
      <c r="C654" s="8"/>
      <c r="D654" s="8"/>
      <c r="E654" s="8"/>
      <c r="F654" s="8"/>
    </row>
    <row r="655" ht="13.5" customHeight="1">
      <c r="A655" s="8" t="s">
        <v>806</v>
      </c>
      <c r="B655" s="8">
        <v>40806.0</v>
      </c>
      <c r="C655" s="8"/>
      <c r="D655" s="8"/>
      <c r="E655" s="8"/>
      <c r="F655" s="8"/>
    </row>
    <row r="656" ht="13.5" customHeight="1">
      <c r="A656" s="8" t="s">
        <v>803</v>
      </c>
      <c r="B656" s="8">
        <v>43523.0</v>
      </c>
      <c r="C656" s="8"/>
      <c r="D656" s="8"/>
      <c r="E656" s="8"/>
      <c r="F656" s="8"/>
    </row>
    <row r="657" ht="13.5" customHeight="1">
      <c r="A657" s="8" t="s">
        <v>753</v>
      </c>
      <c r="B657" s="8">
        <v>44199.0</v>
      </c>
      <c r="C657" s="8"/>
      <c r="D657" s="8"/>
      <c r="E657" s="8"/>
      <c r="F657" s="8"/>
    </row>
    <row r="658" ht="13.5" customHeight="1">
      <c r="A658" s="8" t="s">
        <v>799</v>
      </c>
      <c r="B658" s="8">
        <v>44231.0</v>
      </c>
      <c r="C658" s="8"/>
      <c r="D658" s="8"/>
      <c r="E658" s="8"/>
      <c r="F658" s="8"/>
    </row>
    <row r="659" ht="13.5" customHeight="1">
      <c r="A659" s="8" t="s">
        <v>795</v>
      </c>
      <c r="B659" s="8">
        <v>45573.0</v>
      </c>
      <c r="C659" s="8"/>
      <c r="D659" s="8"/>
      <c r="E659" s="8"/>
      <c r="F659" s="8"/>
    </row>
    <row r="660" ht="13.5" customHeight="1">
      <c r="A660" s="8" t="s">
        <v>833</v>
      </c>
      <c r="B660" s="8">
        <v>45763.0</v>
      </c>
      <c r="C660" s="8"/>
      <c r="D660" s="8"/>
      <c r="E660" s="8"/>
      <c r="F660" s="8"/>
    </row>
    <row r="661" ht="13.5" customHeight="1">
      <c r="A661" s="8" t="s">
        <v>818</v>
      </c>
      <c r="B661" s="8">
        <v>48165.0</v>
      </c>
      <c r="C661" s="8"/>
      <c r="D661" s="8"/>
      <c r="E661" s="8"/>
      <c r="F661" s="8"/>
    </row>
    <row r="662" ht="13.5" customHeight="1">
      <c r="A662" s="8" t="s">
        <v>797</v>
      </c>
      <c r="B662" s="8">
        <v>48197.0</v>
      </c>
      <c r="C662" s="8"/>
      <c r="D662" s="8"/>
      <c r="E662" s="8"/>
      <c r="F662" s="8"/>
    </row>
    <row r="663" ht="13.5" customHeight="1">
      <c r="A663" s="8" t="s">
        <v>806</v>
      </c>
      <c r="B663" s="8">
        <v>48484.0</v>
      </c>
      <c r="C663" s="8"/>
      <c r="D663" s="8"/>
      <c r="E663" s="8"/>
      <c r="F663" s="8"/>
    </row>
    <row r="664" ht="13.5" customHeight="1">
      <c r="A664" s="8" t="s">
        <v>806</v>
      </c>
      <c r="B664" s="8">
        <v>49153.0</v>
      </c>
      <c r="C664" s="8"/>
      <c r="D664" s="8"/>
      <c r="E664" s="8"/>
      <c r="F664" s="8"/>
    </row>
    <row r="665" ht="13.5" customHeight="1">
      <c r="A665" s="8" t="s">
        <v>818</v>
      </c>
      <c r="B665" s="8">
        <v>49412.0</v>
      </c>
      <c r="C665" s="8"/>
      <c r="D665" s="8"/>
      <c r="E665" s="8"/>
      <c r="F665" s="8"/>
    </row>
    <row r="666" ht="13.5" customHeight="1">
      <c r="A666" s="8" t="s">
        <v>833</v>
      </c>
      <c r="B666" s="8">
        <v>49761.0</v>
      </c>
      <c r="C666" s="8"/>
      <c r="D666" s="8"/>
      <c r="E666" s="8"/>
      <c r="F666" s="8"/>
    </row>
    <row r="667" ht="13.5" customHeight="1">
      <c r="A667" s="8" t="s">
        <v>826</v>
      </c>
      <c r="B667" s="8">
        <v>50310.0</v>
      </c>
      <c r="C667" s="8"/>
      <c r="D667" s="8"/>
      <c r="E667" s="8"/>
      <c r="F667" s="8"/>
    </row>
    <row r="668" ht="13.5" customHeight="1">
      <c r="A668" s="8" t="s">
        <v>803</v>
      </c>
      <c r="B668" s="8">
        <v>51072.0</v>
      </c>
      <c r="C668" s="8"/>
      <c r="D668" s="8"/>
      <c r="E668" s="8"/>
      <c r="F668" s="8"/>
    </row>
    <row r="669" ht="13.5" customHeight="1">
      <c r="A669" s="8" t="s">
        <v>347</v>
      </c>
      <c r="B669" s="8">
        <v>51648.0</v>
      </c>
      <c r="C669" s="8"/>
      <c r="D669" s="8"/>
      <c r="E669" s="8"/>
      <c r="F669" s="8"/>
    </row>
    <row r="670" ht="13.5" customHeight="1">
      <c r="A670" s="8" t="s">
        <v>347</v>
      </c>
      <c r="B670" s="8">
        <v>52035.0</v>
      </c>
      <c r="C670" s="8"/>
      <c r="D670" s="8"/>
      <c r="E670" s="8"/>
      <c r="F670" s="8"/>
    </row>
    <row r="671" ht="13.5" customHeight="1">
      <c r="A671" s="8" t="s">
        <v>818</v>
      </c>
      <c r="B671" s="8">
        <v>52326.0</v>
      </c>
      <c r="C671" s="8"/>
      <c r="D671" s="8"/>
      <c r="E671" s="8"/>
      <c r="F671" s="8"/>
    </row>
    <row r="672" ht="13.5" customHeight="1">
      <c r="A672" s="8" t="s">
        <v>799</v>
      </c>
      <c r="B672" s="8">
        <v>52737.0</v>
      </c>
      <c r="C672" s="8"/>
      <c r="D672" s="8"/>
      <c r="E672" s="8"/>
      <c r="F672" s="8"/>
    </row>
    <row r="673" ht="13.5" customHeight="1">
      <c r="A673" s="8" t="s">
        <v>347</v>
      </c>
      <c r="B673" s="8">
        <v>53216.0</v>
      </c>
      <c r="C673" s="8"/>
      <c r="D673" s="8"/>
      <c r="E673" s="8"/>
      <c r="F673" s="8"/>
    </row>
    <row r="674" ht="13.5" customHeight="1">
      <c r="A674" s="8" t="s">
        <v>753</v>
      </c>
      <c r="B674" s="8">
        <v>54081.0</v>
      </c>
      <c r="C674" s="8"/>
      <c r="D674" s="8"/>
      <c r="E674" s="8"/>
      <c r="F674" s="8"/>
    </row>
    <row r="675" ht="13.5" customHeight="1">
      <c r="A675" s="8" t="s">
        <v>806</v>
      </c>
      <c r="B675" s="8">
        <v>54560.0</v>
      </c>
      <c r="C675" s="8"/>
      <c r="D675" s="8"/>
      <c r="E675" s="8"/>
      <c r="F675" s="8"/>
    </row>
    <row r="676" ht="13.5" customHeight="1">
      <c r="A676" s="8" t="s">
        <v>856</v>
      </c>
      <c r="B676" s="8">
        <v>54947.0</v>
      </c>
      <c r="C676" s="8"/>
      <c r="D676" s="8"/>
      <c r="E676" s="8"/>
      <c r="F676" s="8"/>
    </row>
    <row r="677" ht="13.5" customHeight="1">
      <c r="A677" s="8" t="s">
        <v>818</v>
      </c>
      <c r="B677" s="8">
        <v>55170.0</v>
      </c>
      <c r="C677" s="8"/>
      <c r="D677" s="8"/>
      <c r="E677" s="8"/>
      <c r="F677" s="8"/>
    </row>
    <row r="678" ht="13.5" customHeight="1">
      <c r="A678" s="8" t="s">
        <v>347</v>
      </c>
      <c r="B678" s="8">
        <v>55777.0</v>
      </c>
      <c r="C678" s="8"/>
      <c r="D678" s="8"/>
      <c r="E678" s="8"/>
      <c r="F678" s="8"/>
    </row>
    <row r="679" ht="13.5" customHeight="1">
      <c r="A679" s="8" t="s">
        <v>799</v>
      </c>
      <c r="B679" s="8">
        <v>56001.0</v>
      </c>
      <c r="C679" s="8"/>
      <c r="D679" s="8"/>
      <c r="E679" s="8"/>
      <c r="F679" s="8"/>
    </row>
    <row r="680" ht="13.5" customHeight="1">
      <c r="A680" s="8" t="s">
        <v>797</v>
      </c>
      <c r="B680" s="8">
        <v>56640.0</v>
      </c>
      <c r="C680" s="8"/>
      <c r="D680" s="8"/>
      <c r="E680" s="8"/>
      <c r="F680" s="8"/>
    </row>
    <row r="681" ht="13.5" customHeight="1">
      <c r="A681" s="8" t="s">
        <v>753</v>
      </c>
      <c r="B681" s="8">
        <v>59393.0</v>
      </c>
      <c r="C681" s="8"/>
      <c r="D681" s="8"/>
      <c r="E681" s="8"/>
      <c r="F681" s="8"/>
    </row>
    <row r="682" ht="13.5" customHeight="1">
      <c r="A682" s="8" t="s">
        <v>795</v>
      </c>
      <c r="B682" s="8">
        <v>59712.0</v>
      </c>
      <c r="C682" s="8"/>
      <c r="D682" s="8"/>
      <c r="E682" s="8"/>
      <c r="F682" s="8"/>
    </row>
    <row r="683" ht="13.5" customHeight="1">
      <c r="A683" s="8" t="s">
        <v>862</v>
      </c>
      <c r="B683" s="8">
        <v>59905.0</v>
      </c>
      <c r="C683" s="8"/>
      <c r="D683" s="8"/>
      <c r="E683" s="8"/>
      <c r="F683" s="8"/>
    </row>
    <row r="684" ht="13.5" customHeight="1">
      <c r="A684" s="8" t="s">
        <v>866</v>
      </c>
      <c r="B684" s="8">
        <v>322.0</v>
      </c>
      <c r="C684" s="8"/>
      <c r="D684" s="8"/>
      <c r="E684" s="8"/>
      <c r="F684" s="8"/>
    </row>
    <row r="685" ht="13.5" customHeight="1">
      <c r="A685" s="8" t="s">
        <v>869</v>
      </c>
      <c r="B685" s="8">
        <v>962.0</v>
      </c>
      <c r="C685" s="8"/>
      <c r="D685" s="8"/>
      <c r="E685" s="8"/>
      <c r="F685" s="8"/>
    </row>
    <row r="686" ht="13.5" customHeight="1">
      <c r="A686" s="8" t="s">
        <v>871</v>
      </c>
      <c r="B686" s="8">
        <v>1221.0</v>
      </c>
      <c r="C686" s="8"/>
      <c r="D686" s="8"/>
      <c r="E686" s="8"/>
      <c r="F686" s="8"/>
    </row>
    <row r="687" ht="13.5" customHeight="1">
      <c r="A687" s="8" t="s">
        <v>874</v>
      </c>
      <c r="B687" s="8">
        <v>1445.0</v>
      </c>
      <c r="C687" s="8"/>
      <c r="D687" s="8"/>
      <c r="E687" s="8"/>
      <c r="F687" s="8"/>
    </row>
    <row r="688" ht="13.5" customHeight="1">
      <c r="A688" s="8" t="s">
        <v>875</v>
      </c>
      <c r="B688" s="8">
        <v>1799.0</v>
      </c>
      <c r="C688" s="8"/>
      <c r="D688" s="8"/>
      <c r="E688" s="8"/>
      <c r="F688" s="8"/>
    </row>
    <row r="689" ht="13.5" customHeight="1">
      <c r="A689" s="8" t="s">
        <v>877</v>
      </c>
      <c r="B689" s="8">
        <v>2720.0</v>
      </c>
      <c r="C689" s="8"/>
      <c r="D689" s="8"/>
      <c r="E689" s="8"/>
      <c r="F689" s="8"/>
    </row>
    <row r="690" ht="13.5" customHeight="1">
      <c r="A690" s="8" t="s">
        <v>869</v>
      </c>
      <c r="B690" s="8">
        <v>3685.0</v>
      </c>
      <c r="C690" s="8"/>
      <c r="D690" s="8"/>
      <c r="E690" s="8"/>
      <c r="F690" s="8"/>
    </row>
    <row r="691" ht="13.5" customHeight="1">
      <c r="A691" s="8" t="s">
        <v>879</v>
      </c>
      <c r="B691" s="8">
        <v>3687.0</v>
      </c>
      <c r="C691" s="8"/>
      <c r="D691" s="8"/>
      <c r="E691" s="8"/>
      <c r="F691" s="8"/>
    </row>
    <row r="692" ht="13.5" customHeight="1">
      <c r="A692" s="8" t="s">
        <v>877</v>
      </c>
      <c r="B692" s="8">
        <v>3907.0</v>
      </c>
      <c r="C692" s="8"/>
      <c r="D692" s="8"/>
      <c r="E692" s="8"/>
      <c r="F692" s="8"/>
    </row>
    <row r="693" ht="13.5" customHeight="1">
      <c r="A693" s="8" t="s">
        <v>874</v>
      </c>
      <c r="B693" s="8">
        <v>4067.0</v>
      </c>
      <c r="C693" s="8"/>
      <c r="D693" s="8"/>
      <c r="E693" s="8"/>
      <c r="F693" s="8"/>
    </row>
    <row r="694" ht="13.5" customHeight="1">
      <c r="A694" s="8" t="s">
        <v>880</v>
      </c>
      <c r="B694" s="8">
        <v>4257.0</v>
      </c>
      <c r="C694" s="8"/>
      <c r="D694" s="8"/>
      <c r="E694" s="8"/>
      <c r="F694" s="8"/>
    </row>
    <row r="695" ht="13.5" customHeight="1">
      <c r="A695" s="8" t="s">
        <v>871</v>
      </c>
      <c r="B695" s="8">
        <v>4261.0</v>
      </c>
      <c r="C695" s="8"/>
      <c r="D695" s="8"/>
      <c r="E695" s="8"/>
      <c r="F695" s="8"/>
    </row>
    <row r="696" ht="13.5" customHeight="1">
      <c r="A696" s="8" t="s">
        <v>869</v>
      </c>
      <c r="B696" s="8">
        <v>4294.0</v>
      </c>
      <c r="C696" s="8"/>
      <c r="D696" s="8"/>
      <c r="E696" s="8"/>
      <c r="F696" s="8"/>
    </row>
    <row r="697" ht="13.5" customHeight="1">
      <c r="A697" s="8" t="s">
        <v>874</v>
      </c>
      <c r="B697" s="8">
        <v>4642.0</v>
      </c>
      <c r="C697" s="8"/>
      <c r="D697" s="8"/>
      <c r="E697" s="8"/>
      <c r="F697" s="8"/>
    </row>
    <row r="698" ht="13.5" customHeight="1">
      <c r="A698" s="8" t="s">
        <v>884</v>
      </c>
      <c r="B698" s="8">
        <v>4864.0</v>
      </c>
      <c r="C698" s="8"/>
      <c r="D698" s="8"/>
      <c r="E698" s="8"/>
      <c r="F698" s="8"/>
    </row>
    <row r="699" ht="13.5" customHeight="1">
      <c r="A699" s="8" t="s">
        <v>886</v>
      </c>
      <c r="B699" s="8">
        <v>4996.0</v>
      </c>
      <c r="C699" s="8"/>
      <c r="D699" s="8"/>
      <c r="E699" s="8"/>
      <c r="F699" s="8"/>
    </row>
    <row r="700" ht="13.5" customHeight="1">
      <c r="A700" s="8" t="s">
        <v>884</v>
      </c>
      <c r="B700" s="8">
        <v>5121.0</v>
      </c>
      <c r="C700" s="8"/>
      <c r="D700" s="8"/>
      <c r="E700" s="8"/>
      <c r="F700" s="8"/>
    </row>
    <row r="701" ht="13.5" customHeight="1">
      <c r="A701" s="8" t="s">
        <v>888</v>
      </c>
      <c r="B701" s="8">
        <v>5346.0</v>
      </c>
      <c r="C701" s="8"/>
      <c r="D701" s="8"/>
      <c r="E701" s="8"/>
      <c r="F701" s="8"/>
    </row>
    <row r="702" ht="13.5" customHeight="1">
      <c r="A702" s="8" t="s">
        <v>889</v>
      </c>
      <c r="B702" s="8">
        <v>5473.0</v>
      </c>
      <c r="C702" s="8"/>
      <c r="D702" s="8"/>
      <c r="E702" s="8"/>
      <c r="F702" s="8"/>
    </row>
    <row r="703" ht="13.5" customHeight="1">
      <c r="A703" s="8" t="s">
        <v>890</v>
      </c>
      <c r="B703" s="8">
        <v>5698.0</v>
      </c>
      <c r="C703" s="8"/>
      <c r="D703" s="8"/>
      <c r="E703" s="8"/>
      <c r="F703" s="8"/>
    </row>
    <row r="704" ht="13.5" customHeight="1">
      <c r="A704" s="8" t="s">
        <v>884</v>
      </c>
      <c r="B704" s="8">
        <v>6144.0</v>
      </c>
      <c r="C704" s="8"/>
      <c r="D704" s="8"/>
      <c r="E704" s="8"/>
      <c r="F704" s="8"/>
    </row>
    <row r="705" ht="13.5" customHeight="1">
      <c r="A705" s="8" t="s">
        <v>892</v>
      </c>
      <c r="B705" s="8">
        <v>6374.0</v>
      </c>
      <c r="C705" s="8"/>
      <c r="D705" s="8"/>
      <c r="E705" s="8"/>
      <c r="F705" s="8"/>
    </row>
    <row r="706" ht="13.5" customHeight="1">
      <c r="A706" s="8" t="s">
        <v>871</v>
      </c>
      <c r="B706" s="8">
        <v>7169.0</v>
      </c>
      <c r="C706" s="8"/>
      <c r="D706" s="8"/>
      <c r="E706" s="8"/>
      <c r="F706" s="8"/>
    </row>
    <row r="707" ht="13.5" customHeight="1">
      <c r="A707" s="8" t="s">
        <v>892</v>
      </c>
      <c r="B707" s="8">
        <v>7427.0</v>
      </c>
      <c r="C707" s="8"/>
      <c r="D707" s="8"/>
      <c r="E707" s="8"/>
      <c r="F707" s="8"/>
    </row>
    <row r="708" ht="13.5" customHeight="1">
      <c r="A708" s="8" t="s">
        <v>897</v>
      </c>
      <c r="B708" s="8">
        <v>8229.0</v>
      </c>
      <c r="C708" s="8"/>
      <c r="D708" s="8"/>
      <c r="E708" s="8"/>
      <c r="F708" s="8"/>
    </row>
    <row r="709" ht="13.5" customHeight="1">
      <c r="A709" s="8" t="s">
        <v>897</v>
      </c>
      <c r="B709" s="8">
        <v>8290.0</v>
      </c>
      <c r="C709" s="8"/>
      <c r="D709" s="8"/>
      <c r="E709" s="8"/>
      <c r="F709" s="8"/>
    </row>
    <row r="710" ht="13.5" customHeight="1">
      <c r="A710" s="8" t="s">
        <v>875</v>
      </c>
      <c r="B710" s="8">
        <v>8515.0</v>
      </c>
      <c r="C710" s="8"/>
      <c r="D710" s="8"/>
      <c r="E710" s="8"/>
      <c r="F710" s="8"/>
    </row>
    <row r="711" ht="13.5" customHeight="1">
      <c r="A711" s="8" t="s">
        <v>901</v>
      </c>
      <c r="B711" s="8">
        <v>8801.0</v>
      </c>
      <c r="C711" s="8"/>
      <c r="D711" s="8"/>
      <c r="E711" s="8"/>
      <c r="F711" s="8"/>
    </row>
    <row r="712" ht="13.5" customHeight="1">
      <c r="A712" s="8" t="s">
        <v>874</v>
      </c>
      <c r="B712" s="8">
        <v>8992.0</v>
      </c>
      <c r="C712" s="8"/>
      <c r="D712" s="8"/>
      <c r="E712" s="8"/>
      <c r="F712" s="8"/>
    </row>
    <row r="713" ht="13.5" customHeight="1">
      <c r="A713" s="8" t="s">
        <v>904</v>
      </c>
      <c r="B713" s="8">
        <v>9409.0</v>
      </c>
      <c r="C713" s="8"/>
      <c r="D713" s="8"/>
      <c r="E713" s="8"/>
      <c r="F713" s="8"/>
    </row>
    <row r="714" ht="13.5" customHeight="1">
      <c r="A714" s="8" t="s">
        <v>871</v>
      </c>
      <c r="B714" s="8">
        <v>10306.0</v>
      </c>
      <c r="C714" s="8"/>
      <c r="D714" s="8"/>
      <c r="E714" s="8"/>
      <c r="F714" s="8"/>
    </row>
    <row r="715" ht="13.5" customHeight="1">
      <c r="A715" s="8" t="s">
        <v>888</v>
      </c>
      <c r="B715" s="8">
        <v>10470.0</v>
      </c>
      <c r="C715" s="8"/>
      <c r="D715" s="8"/>
      <c r="E715" s="8"/>
      <c r="F715" s="8"/>
    </row>
    <row r="716" ht="13.5" customHeight="1">
      <c r="A716" s="8" t="s">
        <v>869</v>
      </c>
      <c r="B716" s="8">
        <v>10819.0</v>
      </c>
      <c r="C716" s="8"/>
      <c r="D716" s="8"/>
      <c r="E716" s="8"/>
      <c r="F716" s="8"/>
    </row>
    <row r="717" ht="13.5" customHeight="1">
      <c r="A717" s="8" t="s">
        <v>875</v>
      </c>
      <c r="B717" s="8">
        <v>10916.0</v>
      </c>
      <c r="C717" s="8"/>
      <c r="D717" s="8"/>
      <c r="E717" s="8"/>
      <c r="F717" s="8"/>
    </row>
    <row r="718" ht="13.5" customHeight="1">
      <c r="A718" s="8" t="s">
        <v>869</v>
      </c>
      <c r="B718" s="8">
        <v>10944.0</v>
      </c>
      <c r="C718" s="8"/>
      <c r="D718" s="8"/>
      <c r="E718" s="8"/>
      <c r="F718" s="8"/>
    </row>
    <row r="719" ht="13.5" customHeight="1">
      <c r="A719" s="8" t="s">
        <v>905</v>
      </c>
      <c r="B719" s="8">
        <v>11301.0</v>
      </c>
      <c r="C719" s="8"/>
      <c r="D719" s="8"/>
      <c r="E719" s="8"/>
      <c r="F719" s="8"/>
    </row>
    <row r="720" ht="13.5" customHeight="1">
      <c r="A720" s="8" t="s">
        <v>880</v>
      </c>
      <c r="B720" s="8">
        <v>11332.0</v>
      </c>
      <c r="C720" s="8"/>
      <c r="D720" s="8"/>
      <c r="E720" s="8"/>
      <c r="F720" s="8"/>
    </row>
    <row r="721" ht="13.5" customHeight="1">
      <c r="A721" s="8" t="s">
        <v>909</v>
      </c>
      <c r="B721" s="8">
        <v>11392.0</v>
      </c>
      <c r="C721" s="8"/>
      <c r="D721" s="8"/>
      <c r="E721" s="8"/>
      <c r="F721" s="8"/>
    </row>
    <row r="722" ht="13.5" customHeight="1">
      <c r="A722" s="8" t="s">
        <v>910</v>
      </c>
      <c r="B722" s="8">
        <v>11745.0</v>
      </c>
      <c r="C722" s="8"/>
      <c r="D722" s="8"/>
      <c r="E722" s="8"/>
      <c r="F722" s="8"/>
    </row>
    <row r="723" ht="13.5" customHeight="1">
      <c r="A723" s="8" t="s">
        <v>889</v>
      </c>
      <c r="B723" s="8">
        <v>11875.0</v>
      </c>
      <c r="C723" s="8"/>
      <c r="D723" s="8"/>
      <c r="E723" s="8"/>
      <c r="F723" s="8"/>
    </row>
    <row r="724" ht="13.5" customHeight="1">
      <c r="A724" s="8" t="s">
        <v>910</v>
      </c>
      <c r="B724" s="8">
        <v>11907.0</v>
      </c>
      <c r="C724" s="8"/>
      <c r="D724" s="8"/>
      <c r="E724" s="8"/>
      <c r="F724" s="8"/>
    </row>
    <row r="725" ht="13.5" customHeight="1">
      <c r="A725" s="8" t="s">
        <v>866</v>
      </c>
      <c r="B725" s="8">
        <v>12129.0</v>
      </c>
      <c r="C725" s="8"/>
      <c r="D725" s="8"/>
      <c r="E725" s="8"/>
      <c r="F725" s="8"/>
    </row>
    <row r="726" ht="13.5" customHeight="1">
      <c r="A726" s="8" t="s">
        <v>897</v>
      </c>
      <c r="B726" s="8">
        <v>12579.0</v>
      </c>
      <c r="C726" s="8"/>
      <c r="D726" s="8"/>
      <c r="E726" s="8"/>
      <c r="F726" s="8"/>
    </row>
    <row r="727" ht="13.5" customHeight="1">
      <c r="A727" s="8" t="s">
        <v>910</v>
      </c>
      <c r="B727" s="8">
        <v>12743.0</v>
      </c>
      <c r="C727" s="8"/>
      <c r="D727" s="8"/>
      <c r="E727" s="8"/>
      <c r="F727" s="8"/>
    </row>
    <row r="728" ht="13.5" customHeight="1">
      <c r="A728" s="8" t="s">
        <v>912</v>
      </c>
      <c r="B728" s="8">
        <v>12902.0</v>
      </c>
      <c r="C728" s="8"/>
      <c r="D728" s="8"/>
      <c r="E728" s="8"/>
      <c r="F728" s="8"/>
    </row>
    <row r="729" ht="13.5" customHeight="1">
      <c r="A729" s="8" t="s">
        <v>886</v>
      </c>
      <c r="B729" s="8">
        <v>13380.0</v>
      </c>
      <c r="C729" s="8"/>
      <c r="D729" s="8"/>
      <c r="E729" s="8"/>
      <c r="F729" s="8"/>
    </row>
    <row r="730" ht="13.5" customHeight="1">
      <c r="A730" s="8" t="s">
        <v>869</v>
      </c>
      <c r="B730" s="8">
        <v>13606.0</v>
      </c>
      <c r="C730" s="8"/>
      <c r="D730" s="8"/>
      <c r="E730" s="8"/>
      <c r="F730" s="8"/>
    </row>
    <row r="731" ht="13.5" customHeight="1">
      <c r="A731" s="8" t="s">
        <v>914</v>
      </c>
      <c r="B731" s="8">
        <v>13889.0</v>
      </c>
      <c r="C731" s="8"/>
      <c r="D731" s="8"/>
      <c r="E731" s="8"/>
      <c r="F731" s="8"/>
    </row>
    <row r="732" ht="13.5" customHeight="1">
      <c r="A732" s="8" t="s">
        <v>888</v>
      </c>
      <c r="B732" s="8">
        <v>13984.0</v>
      </c>
      <c r="C732" s="8"/>
      <c r="D732" s="8"/>
      <c r="E732" s="8"/>
      <c r="F732" s="8"/>
    </row>
    <row r="733" ht="13.5" customHeight="1">
      <c r="A733" s="8" t="s">
        <v>890</v>
      </c>
      <c r="B733" s="8">
        <v>13986.0</v>
      </c>
      <c r="C733" s="8"/>
      <c r="D733" s="8"/>
      <c r="E733" s="8"/>
      <c r="F733" s="8"/>
    </row>
    <row r="734" ht="13.5" customHeight="1">
      <c r="A734" s="8" t="s">
        <v>884</v>
      </c>
      <c r="B734" s="8">
        <v>14240.0</v>
      </c>
      <c r="C734" s="8"/>
      <c r="D734" s="8"/>
      <c r="E734" s="8"/>
      <c r="F734" s="8"/>
    </row>
    <row r="735" ht="13.5" customHeight="1">
      <c r="A735" s="8" t="s">
        <v>871</v>
      </c>
      <c r="B735" s="8">
        <v>14276.0</v>
      </c>
      <c r="C735" s="8"/>
      <c r="D735" s="8"/>
      <c r="E735" s="8"/>
      <c r="F735" s="8"/>
    </row>
    <row r="736" ht="13.5" customHeight="1">
      <c r="A736" s="8" t="s">
        <v>884</v>
      </c>
      <c r="B736" s="8">
        <v>14471.0</v>
      </c>
      <c r="C736" s="8"/>
      <c r="D736" s="8"/>
      <c r="E736" s="8"/>
      <c r="F736" s="8"/>
    </row>
    <row r="737" ht="13.5" customHeight="1">
      <c r="A737" s="8" t="s">
        <v>917</v>
      </c>
      <c r="B737" s="8">
        <v>14529.0</v>
      </c>
      <c r="C737" s="8"/>
      <c r="D737" s="8"/>
      <c r="E737" s="8"/>
      <c r="F737" s="8"/>
    </row>
    <row r="738" ht="13.5" customHeight="1">
      <c r="A738" s="8" t="s">
        <v>889</v>
      </c>
      <c r="B738" s="8">
        <v>14948.0</v>
      </c>
      <c r="C738" s="8"/>
      <c r="D738" s="8"/>
      <c r="E738" s="8"/>
      <c r="F738" s="8"/>
    </row>
    <row r="739" ht="13.5" customHeight="1">
      <c r="A739" s="8" t="s">
        <v>890</v>
      </c>
      <c r="B739" s="8">
        <v>16161.0</v>
      </c>
      <c r="C739" s="8"/>
      <c r="D739" s="8"/>
      <c r="E739" s="8"/>
      <c r="F739" s="8"/>
    </row>
    <row r="740" ht="13.5" customHeight="1">
      <c r="A740" s="8" t="s">
        <v>920</v>
      </c>
      <c r="B740" s="8">
        <v>16257.0</v>
      </c>
      <c r="C740" s="8"/>
      <c r="D740" s="8"/>
      <c r="E740" s="8"/>
      <c r="F740" s="8"/>
    </row>
    <row r="741" ht="13.5" customHeight="1">
      <c r="A741" s="8" t="s">
        <v>904</v>
      </c>
      <c r="B741" s="8">
        <v>16806.0</v>
      </c>
      <c r="C741" s="8"/>
      <c r="D741" s="8"/>
      <c r="E741" s="8"/>
      <c r="F741" s="8"/>
    </row>
    <row r="742" ht="13.5" customHeight="1">
      <c r="A742" s="8" t="s">
        <v>886</v>
      </c>
      <c r="B742" s="8">
        <v>17344.0</v>
      </c>
      <c r="C742" s="8"/>
      <c r="D742" s="8"/>
      <c r="E742" s="8"/>
      <c r="F742" s="8"/>
    </row>
    <row r="743" ht="13.5" customHeight="1">
      <c r="A743" s="8" t="s">
        <v>917</v>
      </c>
      <c r="B743" s="8">
        <v>17382.0</v>
      </c>
      <c r="C743" s="8"/>
      <c r="D743" s="8"/>
      <c r="E743" s="8"/>
      <c r="F743" s="8"/>
    </row>
    <row r="744" ht="13.5" customHeight="1">
      <c r="A744" s="8" t="s">
        <v>871</v>
      </c>
      <c r="B744" s="8">
        <v>17507.0</v>
      </c>
      <c r="C744" s="8"/>
      <c r="D744" s="8"/>
      <c r="E744" s="8"/>
      <c r="F744" s="8"/>
    </row>
    <row r="745" ht="13.5" customHeight="1">
      <c r="A745" s="8" t="s">
        <v>910</v>
      </c>
      <c r="B745" s="8">
        <v>17702.0</v>
      </c>
      <c r="C745" s="8"/>
      <c r="D745" s="8"/>
      <c r="E745" s="8"/>
      <c r="F745" s="8"/>
    </row>
    <row r="746" ht="13.5" customHeight="1">
      <c r="A746" s="8" t="s">
        <v>892</v>
      </c>
      <c r="B746" s="8">
        <v>17831.0</v>
      </c>
      <c r="C746" s="8"/>
      <c r="D746" s="8"/>
      <c r="E746" s="8"/>
      <c r="F746" s="8"/>
    </row>
    <row r="747" ht="13.5" customHeight="1">
      <c r="A747" s="8" t="s">
        <v>880</v>
      </c>
      <c r="B747" s="8">
        <v>18179.0</v>
      </c>
      <c r="C747" s="8"/>
      <c r="D747" s="8"/>
      <c r="E747" s="8"/>
      <c r="F747" s="8"/>
    </row>
    <row r="748" ht="13.5" customHeight="1">
      <c r="A748" s="8" t="s">
        <v>886</v>
      </c>
      <c r="B748" s="8">
        <v>19044.0</v>
      </c>
      <c r="C748" s="8"/>
      <c r="D748" s="8"/>
      <c r="E748" s="8"/>
      <c r="F748" s="8"/>
    </row>
    <row r="749" ht="13.5" customHeight="1">
      <c r="A749" s="8" t="s">
        <v>910</v>
      </c>
      <c r="B749" s="8">
        <v>19462.0</v>
      </c>
      <c r="C749" s="8"/>
      <c r="D749" s="8"/>
      <c r="E749" s="8"/>
      <c r="F749" s="8"/>
    </row>
    <row r="750" ht="13.5" customHeight="1">
      <c r="A750" s="8" t="s">
        <v>866</v>
      </c>
      <c r="B750" s="8">
        <v>19936.0</v>
      </c>
      <c r="C750" s="8"/>
      <c r="D750" s="8"/>
      <c r="E750" s="8"/>
      <c r="F750" s="8"/>
    </row>
    <row r="751" ht="13.5" customHeight="1">
      <c r="A751" s="8" t="s">
        <v>880</v>
      </c>
      <c r="B751" s="8">
        <v>19972.0</v>
      </c>
      <c r="C751" s="8"/>
      <c r="D751" s="8"/>
      <c r="E751" s="8"/>
      <c r="F751" s="8"/>
    </row>
    <row r="752" ht="13.5" customHeight="1">
      <c r="A752" s="8" t="s">
        <v>734</v>
      </c>
      <c r="B752" s="8">
        <v>20038.0</v>
      </c>
      <c r="C752" s="8"/>
      <c r="D752" s="8"/>
      <c r="E752" s="8"/>
      <c r="F752" s="8"/>
    </row>
    <row r="753" ht="13.5" customHeight="1">
      <c r="A753" s="8" t="s">
        <v>880</v>
      </c>
      <c r="B753" s="8">
        <v>20389.0</v>
      </c>
      <c r="C753" s="8"/>
      <c r="D753" s="8"/>
      <c r="E753" s="8"/>
      <c r="F753" s="8"/>
    </row>
    <row r="754" ht="13.5" customHeight="1">
      <c r="A754" s="8" t="s">
        <v>874</v>
      </c>
      <c r="B754" s="8">
        <v>20676.0</v>
      </c>
      <c r="C754" s="8"/>
      <c r="D754" s="8"/>
      <c r="E754" s="8"/>
      <c r="F754" s="8"/>
    </row>
    <row r="755" ht="13.5" customHeight="1">
      <c r="A755" s="8" t="s">
        <v>929</v>
      </c>
      <c r="B755" s="8">
        <v>20807.0</v>
      </c>
      <c r="C755" s="8"/>
      <c r="D755" s="8"/>
      <c r="E755" s="8"/>
      <c r="F755" s="8"/>
    </row>
    <row r="756" ht="13.5" customHeight="1">
      <c r="A756" s="8" t="s">
        <v>874</v>
      </c>
      <c r="B756" s="8">
        <v>20838.0</v>
      </c>
      <c r="C756" s="8"/>
      <c r="D756" s="8"/>
      <c r="E756" s="8"/>
      <c r="F756" s="8"/>
    </row>
    <row r="757" ht="13.5" customHeight="1">
      <c r="A757" s="8" t="s">
        <v>866</v>
      </c>
      <c r="B757" s="8">
        <v>20960.0</v>
      </c>
      <c r="C757" s="8"/>
      <c r="D757" s="8"/>
      <c r="E757" s="8"/>
      <c r="F757" s="8"/>
    </row>
    <row r="758" ht="13.5" customHeight="1">
      <c r="A758" s="8" t="s">
        <v>871</v>
      </c>
      <c r="B758" s="8">
        <v>20961.0</v>
      </c>
      <c r="C758" s="8"/>
      <c r="D758" s="8"/>
      <c r="E758" s="8"/>
      <c r="F758" s="8"/>
    </row>
    <row r="759" ht="13.5" customHeight="1">
      <c r="A759" s="8" t="s">
        <v>884</v>
      </c>
      <c r="B759" s="8">
        <v>21350.0</v>
      </c>
      <c r="C759" s="8"/>
      <c r="D759" s="8"/>
      <c r="E759" s="8"/>
      <c r="F759" s="8"/>
    </row>
    <row r="760" ht="13.5" customHeight="1">
      <c r="A760" s="8" t="s">
        <v>904</v>
      </c>
      <c r="B760" s="8">
        <v>21572.0</v>
      </c>
      <c r="C760" s="8"/>
      <c r="D760" s="8"/>
      <c r="E760" s="8"/>
      <c r="F760" s="8"/>
    </row>
    <row r="761" ht="13.5" customHeight="1">
      <c r="A761" s="8" t="s">
        <v>901</v>
      </c>
      <c r="B761" s="8">
        <v>21671.0</v>
      </c>
      <c r="C761" s="8"/>
      <c r="D761" s="8"/>
      <c r="E761" s="8"/>
      <c r="F761" s="8"/>
    </row>
    <row r="762" ht="13.5" customHeight="1">
      <c r="A762" s="8" t="s">
        <v>884</v>
      </c>
      <c r="B762" s="8">
        <v>22657.0</v>
      </c>
      <c r="C762" s="8"/>
      <c r="D762" s="8"/>
      <c r="E762" s="8"/>
      <c r="F762" s="8"/>
    </row>
    <row r="763" ht="13.5" customHeight="1">
      <c r="A763" s="8" t="s">
        <v>884</v>
      </c>
      <c r="B763" s="8">
        <v>23207.0</v>
      </c>
      <c r="C763" s="8"/>
      <c r="D763" s="8"/>
      <c r="E763" s="8"/>
      <c r="F763" s="8"/>
    </row>
    <row r="764" ht="13.5" customHeight="1">
      <c r="A764" s="8" t="s">
        <v>888</v>
      </c>
      <c r="B764" s="8">
        <v>23940.0</v>
      </c>
      <c r="C764" s="8"/>
      <c r="D764" s="8"/>
      <c r="E764" s="8"/>
      <c r="F764" s="8"/>
    </row>
    <row r="765" ht="13.5" customHeight="1">
      <c r="A765" s="8" t="s">
        <v>890</v>
      </c>
      <c r="B765" s="8">
        <v>24450.0</v>
      </c>
      <c r="C765" s="8"/>
      <c r="D765" s="8"/>
      <c r="E765" s="8"/>
      <c r="F765" s="8"/>
    </row>
    <row r="766" ht="13.5" customHeight="1">
      <c r="A766" s="8" t="s">
        <v>910</v>
      </c>
      <c r="B766" s="8">
        <v>24580.0</v>
      </c>
      <c r="C766" s="8"/>
      <c r="D766" s="8"/>
      <c r="E766" s="8"/>
      <c r="F766" s="8"/>
    </row>
    <row r="767" ht="13.5" customHeight="1">
      <c r="A767" s="8" t="s">
        <v>734</v>
      </c>
      <c r="B767" s="8">
        <v>24833.0</v>
      </c>
      <c r="C767" s="8"/>
      <c r="D767" s="8"/>
      <c r="E767" s="8"/>
      <c r="F767" s="8"/>
    </row>
    <row r="768" ht="13.5" customHeight="1">
      <c r="A768" s="8" t="s">
        <v>874</v>
      </c>
      <c r="B768" s="8">
        <v>24933.0</v>
      </c>
      <c r="C768" s="8"/>
      <c r="D768" s="8"/>
      <c r="E768" s="8"/>
      <c r="F768" s="8"/>
    </row>
    <row r="769" ht="13.5" customHeight="1">
      <c r="A769" s="8" t="s">
        <v>734</v>
      </c>
      <c r="B769" s="8">
        <v>25031.0</v>
      </c>
      <c r="C769" s="8"/>
      <c r="D769" s="8"/>
      <c r="E769" s="8"/>
      <c r="F769" s="8"/>
    </row>
    <row r="770" ht="13.5" customHeight="1">
      <c r="A770" s="8" t="s">
        <v>734</v>
      </c>
      <c r="B770" s="8">
        <v>25633.0</v>
      </c>
      <c r="C770" s="8"/>
      <c r="D770" s="8"/>
      <c r="E770" s="8"/>
      <c r="F770" s="8"/>
    </row>
    <row r="771" ht="13.5" customHeight="1">
      <c r="A771" s="8" t="s">
        <v>734</v>
      </c>
      <c r="B771" s="8">
        <v>25635.0</v>
      </c>
      <c r="C771" s="8"/>
      <c r="D771" s="8"/>
      <c r="E771" s="8"/>
      <c r="F771" s="8"/>
    </row>
    <row r="772" ht="13.5" customHeight="1">
      <c r="A772" s="8" t="s">
        <v>929</v>
      </c>
      <c r="B772" s="8">
        <v>25830.0</v>
      </c>
      <c r="C772" s="8"/>
      <c r="D772" s="8"/>
      <c r="E772" s="8"/>
      <c r="F772" s="8"/>
    </row>
    <row r="773" ht="13.5" customHeight="1">
      <c r="A773" s="8" t="s">
        <v>888</v>
      </c>
      <c r="B773" s="8">
        <v>26342.0</v>
      </c>
      <c r="C773" s="8"/>
      <c r="D773" s="8"/>
      <c r="E773" s="8"/>
      <c r="F773" s="8"/>
    </row>
    <row r="774" ht="13.5" customHeight="1">
      <c r="A774" s="8" t="s">
        <v>874</v>
      </c>
      <c r="B774" s="8">
        <v>26368.0</v>
      </c>
      <c r="C774" s="8"/>
      <c r="D774" s="8"/>
      <c r="E774" s="8"/>
      <c r="F774" s="8"/>
    </row>
    <row r="775" ht="13.5" customHeight="1">
      <c r="A775" s="8" t="s">
        <v>884</v>
      </c>
      <c r="B775" s="8">
        <v>26372.0</v>
      </c>
      <c r="C775" s="8"/>
      <c r="D775" s="8"/>
      <c r="E775" s="8"/>
      <c r="F775" s="8"/>
    </row>
    <row r="776" ht="13.5" customHeight="1">
      <c r="A776" s="8" t="s">
        <v>866</v>
      </c>
      <c r="B776" s="8">
        <v>26756.0</v>
      </c>
      <c r="C776" s="8"/>
      <c r="D776" s="8"/>
      <c r="E776" s="8"/>
      <c r="F776" s="8"/>
    </row>
    <row r="777" ht="13.5" customHeight="1">
      <c r="A777" s="8" t="s">
        <v>944</v>
      </c>
      <c r="B777" s="8">
        <v>26851.0</v>
      </c>
      <c r="C777" s="8"/>
      <c r="D777" s="8"/>
      <c r="E777" s="8"/>
      <c r="F777" s="8"/>
    </row>
    <row r="778" ht="13.5" customHeight="1">
      <c r="A778" s="8" t="s">
        <v>904</v>
      </c>
      <c r="B778" s="8">
        <v>26981.0</v>
      </c>
      <c r="C778" s="8"/>
      <c r="D778" s="8"/>
      <c r="E778" s="8"/>
      <c r="F778" s="8"/>
    </row>
    <row r="779" ht="13.5" customHeight="1">
      <c r="A779" s="8" t="s">
        <v>947</v>
      </c>
      <c r="B779" s="8">
        <v>27298.0</v>
      </c>
      <c r="C779" s="8"/>
      <c r="D779" s="8"/>
      <c r="E779" s="8"/>
      <c r="F779" s="8"/>
    </row>
    <row r="780" ht="13.5" customHeight="1">
      <c r="A780" s="8" t="s">
        <v>910</v>
      </c>
      <c r="B780" s="8">
        <v>27330.0</v>
      </c>
      <c r="C780" s="8"/>
      <c r="D780" s="8"/>
      <c r="E780" s="8"/>
      <c r="F780" s="8"/>
    </row>
    <row r="781" ht="13.5" customHeight="1">
      <c r="A781" s="8" t="s">
        <v>889</v>
      </c>
      <c r="B781" s="8">
        <v>27781.0</v>
      </c>
      <c r="C781" s="8"/>
      <c r="D781" s="8"/>
      <c r="E781" s="8"/>
      <c r="F781" s="8"/>
    </row>
    <row r="782" ht="13.5" customHeight="1">
      <c r="A782" s="8" t="s">
        <v>888</v>
      </c>
      <c r="B782" s="8">
        <v>28225.0</v>
      </c>
      <c r="C782" s="8"/>
      <c r="D782" s="8"/>
      <c r="E782" s="8"/>
      <c r="F782" s="8"/>
    </row>
    <row r="783" ht="13.5" customHeight="1">
      <c r="A783" s="8" t="s">
        <v>910</v>
      </c>
      <c r="B783" s="8">
        <v>28389.0</v>
      </c>
      <c r="C783" s="8"/>
      <c r="D783" s="8"/>
      <c r="E783" s="8"/>
      <c r="F783" s="8"/>
    </row>
    <row r="784" ht="13.5" customHeight="1">
      <c r="A784" s="8" t="s">
        <v>910</v>
      </c>
      <c r="B784" s="8">
        <v>28898.0</v>
      </c>
      <c r="C784" s="8"/>
      <c r="D784" s="8"/>
      <c r="E784" s="8"/>
      <c r="F784" s="8"/>
    </row>
    <row r="785" ht="13.5" customHeight="1">
      <c r="A785" s="8" t="s">
        <v>875</v>
      </c>
      <c r="B785" s="8">
        <v>28901.0</v>
      </c>
      <c r="C785" s="8"/>
      <c r="D785" s="8"/>
      <c r="E785" s="8"/>
      <c r="F785" s="8"/>
    </row>
    <row r="786" ht="13.5" customHeight="1">
      <c r="A786" s="8" t="s">
        <v>886</v>
      </c>
      <c r="B786" s="8">
        <v>29185.0</v>
      </c>
      <c r="C786" s="8"/>
      <c r="D786" s="8"/>
      <c r="E786" s="8"/>
      <c r="F786" s="8"/>
    </row>
    <row r="787" ht="13.5" customHeight="1">
      <c r="A787" s="8" t="s">
        <v>949</v>
      </c>
      <c r="B787" s="8">
        <v>29408.0</v>
      </c>
      <c r="C787" s="8"/>
      <c r="D787" s="8"/>
      <c r="E787" s="8"/>
      <c r="F787" s="8"/>
    </row>
    <row r="788" ht="13.5" customHeight="1">
      <c r="A788" s="8" t="s">
        <v>888</v>
      </c>
      <c r="B788" s="8">
        <v>29985.0</v>
      </c>
      <c r="C788" s="8"/>
      <c r="D788" s="8"/>
      <c r="E788" s="8"/>
      <c r="F788" s="8"/>
    </row>
    <row r="789" ht="13.5" customHeight="1">
      <c r="A789" s="8" t="s">
        <v>886</v>
      </c>
      <c r="B789" s="8">
        <v>29986.0</v>
      </c>
      <c r="C789" s="8"/>
      <c r="D789" s="8"/>
      <c r="E789" s="8"/>
      <c r="F789" s="8"/>
    </row>
    <row r="790" ht="13.5" customHeight="1">
      <c r="A790" s="8" t="s">
        <v>953</v>
      </c>
      <c r="B790" s="8">
        <v>30147.0</v>
      </c>
      <c r="C790" s="8"/>
      <c r="D790" s="8"/>
      <c r="E790" s="8"/>
      <c r="F790" s="8"/>
    </row>
    <row r="791" ht="13.5" customHeight="1">
      <c r="A791" s="8" t="s">
        <v>910</v>
      </c>
      <c r="B791" s="8">
        <v>30149.0</v>
      </c>
      <c r="C791" s="8"/>
      <c r="D791" s="8"/>
      <c r="E791" s="8"/>
      <c r="F791" s="8"/>
    </row>
    <row r="792" ht="13.5" customHeight="1">
      <c r="A792" s="8" t="s">
        <v>901</v>
      </c>
      <c r="B792" s="8">
        <v>30310.0</v>
      </c>
      <c r="C792" s="8"/>
      <c r="D792" s="8"/>
      <c r="E792" s="8"/>
      <c r="F792" s="8"/>
    </row>
    <row r="793" ht="13.5" customHeight="1">
      <c r="A793" s="8" t="s">
        <v>920</v>
      </c>
      <c r="B793" s="8">
        <v>31426.0</v>
      </c>
      <c r="C793" s="8"/>
      <c r="D793" s="8"/>
      <c r="E793" s="8"/>
      <c r="F793" s="8"/>
    </row>
    <row r="794" ht="13.5" customHeight="1">
      <c r="A794" s="8" t="s">
        <v>904</v>
      </c>
      <c r="B794" s="8">
        <v>31872.0</v>
      </c>
      <c r="C794" s="8"/>
      <c r="D794" s="8"/>
      <c r="E794" s="8"/>
      <c r="F794" s="8"/>
    </row>
    <row r="795" ht="13.5" customHeight="1">
      <c r="A795" s="8" t="s">
        <v>874</v>
      </c>
      <c r="B795" s="8">
        <v>31874.0</v>
      </c>
      <c r="C795" s="8"/>
      <c r="D795" s="8"/>
      <c r="E795" s="8"/>
      <c r="F795" s="8"/>
    </row>
    <row r="796" ht="13.5" customHeight="1">
      <c r="A796" s="8" t="s">
        <v>874</v>
      </c>
      <c r="B796" s="8">
        <v>31938.0</v>
      </c>
      <c r="C796" s="8"/>
      <c r="D796" s="8"/>
      <c r="E796" s="8"/>
      <c r="F796" s="8"/>
    </row>
    <row r="797" ht="13.5" customHeight="1">
      <c r="A797" s="8" t="s">
        <v>905</v>
      </c>
      <c r="B797" s="8">
        <v>32582.0</v>
      </c>
      <c r="C797" s="8"/>
      <c r="D797" s="8"/>
      <c r="E797" s="8"/>
      <c r="F797" s="8"/>
    </row>
    <row r="798" ht="13.5" customHeight="1">
      <c r="A798" s="8" t="s">
        <v>949</v>
      </c>
      <c r="B798" s="8">
        <v>32611.0</v>
      </c>
      <c r="C798" s="8"/>
      <c r="D798" s="8"/>
      <c r="E798" s="8"/>
      <c r="F798" s="8"/>
    </row>
    <row r="799" ht="13.5" customHeight="1">
      <c r="A799" s="8" t="s">
        <v>949</v>
      </c>
      <c r="B799" s="8">
        <v>32901.0</v>
      </c>
      <c r="C799" s="8"/>
      <c r="D799" s="8"/>
      <c r="E799" s="8"/>
      <c r="F799" s="8"/>
    </row>
    <row r="800" ht="13.5" customHeight="1">
      <c r="A800" s="8" t="s">
        <v>871</v>
      </c>
      <c r="B800" s="8">
        <v>33284.0</v>
      </c>
      <c r="C800" s="8"/>
      <c r="D800" s="8"/>
      <c r="E800" s="8"/>
      <c r="F800" s="8"/>
    </row>
    <row r="801" ht="13.5" customHeight="1">
      <c r="A801" s="8" t="s">
        <v>869</v>
      </c>
      <c r="B801" s="8">
        <v>33287.0</v>
      </c>
      <c r="C801" s="8"/>
      <c r="D801" s="8"/>
      <c r="E801" s="8"/>
      <c r="F801" s="8"/>
    </row>
    <row r="802" ht="13.5" customHeight="1">
      <c r="A802" s="8" t="s">
        <v>944</v>
      </c>
      <c r="B802" s="8">
        <v>33732.0</v>
      </c>
      <c r="C802" s="8"/>
      <c r="D802" s="8"/>
      <c r="E802" s="8"/>
      <c r="F802" s="8"/>
    </row>
    <row r="803" ht="13.5" customHeight="1">
      <c r="A803" s="8" t="s">
        <v>929</v>
      </c>
      <c r="B803" s="8">
        <v>34435.0</v>
      </c>
      <c r="C803" s="8"/>
      <c r="D803" s="8"/>
      <c r="E803" s="8"/>
      <c r="F803" s="8"/>
    </row>
    <row r="804" ht="13.5" customHeight="1">
      <c r="A804" s="8" t="s">
        <v>886</v>
      </c>
      <c r="B804" s="8">
        <v>34852.0</v>
      </c>
      <c r="C804" s="8"/>
      <c r="D804" s="8"/>
      <c r="E804" s="8"/>
      <c r="F804" s="8"/>
    </row>
    <row r="805" ht="13.5" customHeight="1">
      <c r="A805" s="8" t="s">
        <v>929</v>
      </c>
      <c r="B805" s="8">
        <v>35649.0</v>
      </c>
      <c r="C805" s="8"/>
      <c r="D805" s="8"/>
      <c r="E805" s="8"/>
      <c r="F805" s="8"/>
    </row>
    <row r="806" ht="13.5" customHeight="1">
      <c r="A806" s="8" t="s">
        <v>871</v>
      </c>
      <c r="B806" s="8">
        <v>36480.0</v>
      </c>
      <c r="C806" s="8"/>
      <c r="D806" s="8"/>
      <c r="E806" s="8"/>
      <c r="F806" s="8"/>
    </row>
    <row r="807" ht="13.5" customHeight="1">
      <c r="A807" s="8" t="s">
        <v>884</v>
      </c>
      <c r="B807" s="8">
        <v>36803.0</v>
      </c>
      <c r="C807" s="8"/>
      <c r="D807" s="8"/>
      <c r="E807" s="8"/>
      <c r="F807" s="8"/>
    </row>
    <row r="808" ht="13.5" customHeight="1">
      <c r="A808" s="8" t="s">
        <v>874</v>
      </c>
      <c r="B808" s="8">
        <v>36805.0</v>
      </c>
      <c r="C808" s="8"/>
      <c r="D808" s="8"/>
      <c r="E808" s="8"/>
      <c r="F808" s="8"/>
    </row>
    <row r="809" ht="13.5" customHeight="1">
      <c r="A809" s="8" t="s">
        <v>886</v>
      </c>
      <c r="B809" s="8">
        <v>36834.0</v>
      </c>
      <c r="C809" s="8"/>
      <c r="D809" s="8"/>
      <c r="E809" s="8"/>
      <c r="F809" s="8"/>
    </row>
    <row r="810" ht="13.5" customHeight="1">
      <c r="A810" s="8" t="s">
        <v>965</v>
      </c>
      <c r="B810" s="8">
        <v>37410.0</v>
      </c>
      <c r="C810" s="8"/>
      <c r="D810" s="8"/>
      <c r="E810" s="8"/>
      <c r="F810" s="8"/>
    </row>
    <row r="811" ht="13.5" customHeight="1">
      <c r="A811" s="8" t="s">
        <v>866</v>
      </c>
      <c r="B811" s="8">
        <v>37729.0</v>
      </c>
      <c r="C811" s="8"/>
      <c r="D811" s="8"/>
      <c r="E811" s="8"/>
      <c r="F811" s="8"/>
    </row>
    <row r="812" ht="13.5" customHeight="1">
      <c r="A812" s="8" t="s">
        <v>888</v>
      </c>
      <c r="B812" s="8">
        <v>37988.0</v>
      </c>
      <c r="C812" s="8"/>
      <c r="D812" s="8"/>
      <c r="E812" s="8"/>
      <c r="F812" s="8"/>
    </row>
    <row r="813" ht="13.5" customHeight="1">
      <c r="A813" s="8" t="s">
        <v>874</v>
      </c>
      <c r="B813" s="8">
        <v>38690.0</v>
      </c>
      <c r="C813" s="8"/>
      <c r="D813" s="8"/>
      <c r="E813" s="8"/>
      <c r="F813" s="8"/>
    </row>
    <row r="814" ht="13.5" customHeight="1">
      <c r="A814" s="8" t="s">
        <v>929</v>
      </c>
      <c r="B814" s="8">
        <v>38758.0</v>
      </c>
      <c r="C814" s="8"/>
      <c r="D814" s="8"/>
      <c r="E814" s="8"/>
      <c r="F814" s="8"/>
    </row>
    <row r="815" ht="13.5" customHeight="1">
      <c r="A815" s="8" t="s">
        <v>888</v>
      </c>
      <c r="B815" s="8">
        <v>39332.0</v>
      </c>
      <c r="C815" s="8"/>
      <c r="D815" s="8"/>
      <c r="E815" s="8"/>
      <c r="F815" s="8"/>
    </row>
    <row r="816" ht="13.5" customHeight="1">
      <c r="A816" s="8" t="s">
        <v>884</v>
      </c>
      <c r="B816" s="8">
        <v>39745.0</v>
      </c>
      <c r="C816" s="8"/>
      <c r="D816" s="8"/>
      <c r="E816" s="8"/>
      <c r="F816" s="8"/>
    </row>
    <row r="817" ht="13.5" customHeight="1">
      <c r="A817" s="8" t="s">
        <v>889</v>
      </c>
      <c r="B817" s="8">
        <v>40134.0</v>
      </c>
      <c r="C817" s="8"/>
      <c r="D817" s="8"/>
      <c r="E817" s="8"/>
      <c r="F817" s="8"/>
    </row>
    <row r="818" ht="13.5" customHeight="1">
      <c r="A818" s="8" t="s">
        <v>965</v>
      </c>
      <c r="B818" s="8">
        <v>40164.0</v>
      </c>
      <c r="C818" s="8"/>
      <c r="D818" s="8"/>
      <c r="E818" s="8"/>
      <c r="F818" s="8"/>
    </row>
    <row r="819" ht="13.5" customHeight="1">
      <c r="A819" s="8" t="s">
        <v>969</v>
      </c>
      <c r="B819" s="8">
        <v>40608.0</v>
      </c>
      <c r="C819" s="8"/>
      <c r="D819" s="8"/>
      <c r="E819" s="8"/>
      <c r="F819" s="8"/>
    </row>
    <row r="820" ht="13.5" customHeight="1">
      <c r="A820" s="8" t="s">
        <v>909</v>
      </c>
      <c r="B820" s="8">
        <v>40801.0</v>
      </c>
      <c r="C820" s="8"/>
      <c r="D820" s="8"/>
      <c r="E820" s="8"/>
      <c r="F820" s="8"/>
    </row>
    <row r="821" ht="13.5" customHeight="1">
      <c r="A821" s="8" t="s">
        <v>910</v>
      </c>
      <c r="B821" s="8">
        <v>40965.0</v>
      </c>
      <c r="C821" s="8"/>
      <c r="D821" s="8"/>
      <c r="E821" s="8"/>
      <c r="F821" s="8"/>
    </row>
    <row r="822" ht="13.5" customHeight="1">
      <c r="A822" s="8" t="s">
        <v>917</v>
      </c>
      <c r="B822" s="8">
        <v>41286.0</v>
      </c>
      <c r="C822" s="8"/>
      <c r="D822" s="8"/>
      <c r="E822" s="8"/>
      <c r="F822" s="8"/>
    </row>
    <row r="823" ht="13.5" customHeight="1">
      <c r="A823" s="8" t="s">
        <v>874</v>
      </c>
      <c r="B823" s="8">
        <v>41412.0</v>
      </c>
      <c r="C823" s="8"/>
      <c r="D823" s="8"/>
      <c r="E823" s="8"/>
      <c r="F823" s="8"/>
    </row>
    <row r="824" ht="13.5" customHeight="1">
      <c r="A824" s="8" t="s">
        <v>888</v>
      </c>
      <c r="B824" s="8">
        <v>41569.0</v>
      </c>
      <c r="C824" s="8"/>
      <c r="D824" s="8"/>
      <c r="E824" s="8"/>
      <c r="F824" s="8"/>
    </row>
    <row r="825" ht="13.5" customHeight="1">
      <c r="A825" s="8" t="s">
        <v>969</v>
      </c>
      <c r="B825" s="8">
        <v>41633.0</v>
      </c>
      <c r="C825" s="8"/>
      <c r="D825" s="8"/>
      <c r="E825" s="8"/>
      <c r="F825" s="8"/>
    </row>
    <row r="826" ht="13.5" customHeight="1">
      <c r="A826" s="8" t="s">
        <v>905</v>
      </c>
      <c r="B826" s="8">
        <v>41895.0</v>
      </c>
      <c r="C826" s="8"/>
      <c r="D826" s="8"/>
      <c r="E826" s="8"/>
      <c r="F826" s="8"/>
    </row>
    <row r="827" ht="13.5" customHeight="1">
      <c r="A827" s="8" t="s">
        <v>969</v>
      </c>
      <c r="B827" s="8">
        <v>42112.0</v>
      </c>
      <c r="C827" s="8"/>
      <c r="D827" s="8"/>
      <c r="E827" s="8"/>
      <c r="F827" s="8"/>
    </row>
    <row r="828" ht="13.5" customHeight="1">
      <c r="A828" s="8" t="s">
        <v>889</v>
      </c>
      <c r="B828" s="8">
        <v>42177.0</v>
      </c>
      <c r="C828" s="8"/>
      <c r="D828" s="8"/>
      <c r="E828" s="8"/>
      <c r="F828" s="8"/>
    </row>
    <row r="829" ht="13.5" customHeight="1">
      <c r="A829" s="8" t="s">
        <v>953</v>
      </c>
      <c r="B829" s="8">
        <v>42339.0</v>
      </c>
      <c r="C829" s="8"/>
      <c r="D829" s="8"/>
      <c r="E829" s="8"/>
      <c r="F829" s="8"/>
    </row>
    <row r="830" ht="13.5" customHeight="1">
      <c r="A830" s="8" t="s">
        <v>969</v>
      </c>
      <c r="B830" s="8">
        <v>42342.0</v>
      </c>
      <c r="C830" s="8"/>
      <c r="D830" s="8"/>
      <c r="E830" s="8"/>
      <c r="F830" s="8"/>
    </row>
    <row r="831" ht="13.5" customHeight="1">
      <c r="A831" s="8" t="s">
        <v>897</v>
      </c>
      <c r="B831" s="8">
        <v>42947.0</v>
      </c>
      <c r="C831" s="8"/>
      <c r="D831" s="8"/>
      <c r="E831" s="8"/>
      <c r="F831" s="8"/>
    </row>
    <row r="832" ht="13.5" customHeight="1">
      <c r="A832" s="8" t="s">
        <v>866</v>
      </c>
      <c r="B832" s="8">
        <v>43079.0</v>
      </c>
      <c r="C832" s="8"/>
      <c r="D832" s="8"/>
      <c r="E832" s="8"/>
      <c r="F832" s="8"/>
    </row>
    <row r="833" ht="13.5" customHeight="1">
      <c r="A833" s="8" t="s">
        <v>734</v>
      </c>
      <c r="B833" s="8">
        <v>43111.0</v>
      </c>
      <c r="C833" s="8"/>
      <c r="D833" s="8"/>
      <c r="E833" s="8"/>
      <c r="F833" s="8"/>
    </row>
    <row r="834" ht="13.5" customHeight="1">
      <c r="A834" s="8" t="s">
        <v>879</v>
      </c>
      <c r="B834" s="8">
        <v>43140.0</v>
      </c>
      <c r="C834" s="8"/>
      <c r="D834" s="8"/>
      <c r="E834" s="8"/>
      <c r="F834" s="8"/>
    </row>
    <row r="835" ht="13.5" customHeight="1">
      <c r="A835" s="8" t="s">
        <v>973</v>
      </c>
      <c r="B835" s="8">
        <v>44098.0</v>
      </c>
      <c r="C835" s="8"/>
      <c r="D835" s="8"/>
      <c r="E835" s="8"/>
      <c r="F835" s="8"/>
    </row>
    <row r="836" ht="13.5" customHeight="1">
      <c r="A836" s="8" t="s">
        <v>888</v>
      </c>
      <c r="B836" s="8">
        <v>44451.0</v>
      </c>
      <c r="C836" s="8"/>
      <c r="D836" s="8"/>
      <c r="E836" s="8"/>
      <c r="F836" s="8"/>
    </row>
    <row r="837" ht="13.5" customHeight="1">
      <c r="A837" s="8" t="s">
        <v>905</v>
      </c>
      <c r="B837" s="8">
        <v>45059.0</v>
      </c>
      <c r="C837" s="8"/>
      <c r="D837" s="8"/>
      <c r="E837" s="8"/>
      <c r="F837" s="8"/>
    </row>
    <row r="838" ht="13.5" customHeight="1">
      <c r="A838" s="8" t="s">
        <v>884</v>
      </c>
      <c r="B838" s="8">
        <v>45155.0</v>
      </c>
      <c r="C838" s="8"/>
      <c r="D838" s="8"/>
      <c r="E838" s="8"/>
      <c r="F838" s="8"/>
    </row>
    <row r="839" ht="13.5" customHeight="1">
      <c r="A839" s="8" t="s">
        <v>875</v>
      </c>
      <c r="B839" s="8">
        <v>45317.0</v>
      </c>
      <c r="C839" s="8"/>
      <c r="D839" s="8"/>
      <c r="E839" s="8"/>
      <c r="F839" s="8"/>
    </row>
    <row r="840" ht="13.5" customHeight="1">
      <c r="A840" s="8" t="s">
        <v>730</v>
      </c>
      <c r="B840" s="8">
        <v>45731.0</v>
      </c>
      <c r="C840" s="8"/>
      <c r="D840" s="8"/>
      <c r="E840" s="8"/>
      <c r="F840" s="8"/>
    </row>
    <row r="841" ht="13.5" customHeight="1">
      <c r="A841" s="8" t="s">
        <v>909</v>
      </c>
      <c r="B841" s="8">
        <v>46849.0</v>
      </c>
      <c r="C841" s="8"/>
      <c r="D841" s="8"/>
      <c r="E841" s="8"/>
      <c r="F841" s="8"/>
    </row>
    <row r="842" ht="13.5" customHeight="1">
      <c r="A842" s="8" t="s">
        <v>929</v>
      </c>
      <c r="B842" s="8">
        <v>47108.0</v>
      </c>
      <c r="C842" s="8"/>
      <c r="D842" s="8"/>
      <c r="E842" s="8"/>
      <c r="F842" s="8"/>
    </row>
    <row r="843" ht="13.5" customHeight="1">
      <c r="A843" s="8" t="s">
        <v>880</v>
      </c>
      <c r="B843" s="8">
        <v>47520.0</v>
      </c>
      <c r="C843" s="8"/>
      <c r="D843" s="8"/>
      <c r="E843" s="8"/>
      <c r="F843" s="8"/>
    </row>
    <row r="844" ht="13.5" customHeight="1">
      <c r="A844" s="8" t="s">
        <v>920</v>
      </c>
      <c r="B844" s="8">
        <v>47527.0</v>
      </c>
      <c r="C844" s="8"/>
      <c r="D844" s="8"/>
      <c r="E844" s="8"/>
      <c r="F844" s="8"/>
    </row>
    <row r="845" ht="13.5" customHeight="1">
      <c r="A845" s="8" t="s">
        <v>879</v>
      </c>
      <c r="B845" s="8">
        <v>47713.0</v>
      </c>
      <c r="C845" s="8"/>
      <c r="D845" s="8"/>
      <c r="E845" s="8"/>
      <c r="F845" s="8"/>
    </row>
    <row r="846" ht="13.5" customHeight="1">
      <c r="A846" s="8" t="s">
        <v>866</v>
      </c>
      <c r="B846" s="8">
        <v>48452.0</v>
      </c>
      <c r="C846" s="8"/>
      <c r="D846" s="8"/>
      <c r="E846" s="8"/>
      <c r="F846" s="8"/>
    </row>
    <row r="847" ht="13.5" customHeight="1">
      <c r="A847" s="8" t="s">
        <v>890</v>
      </c>
      <c r="B847" s="8">
        <v>49088.0</v>
      </c>
      <c r="C847" s="8"/>
      <c r="D847" s="8"/>
      <c r="E847" s="8"/>
      <c r="F847" s="8"/>
    </row>
    <row r="848" ht="13.5" customHeight="1">
      <c r="A848" s="8" t="s">
        <v>965</v>
      </c>
      <c r="B848" s="8">
        <v>49223.0</v>
      </c>
      <c r="C848" s="8"/>
      <c r="D848" s="8"/>
      <c r="E848" s="8"/>
      <c r="F848" s="8"/>
    </row>
    <row r="849" ht="13.5" customHeight="1">
      <c r="A849" s="8" t="s">
        <v>982</v>
      </c>
      <c r="B849" s="8">
        <v>49987.0</v>
      </c>
      <c r="C849" s="8"/>
      <c r="D849" s="8"/>
      <c r="E849" s="8"/>
      <c r="F849" s="8"/>
    </row>
    <row r="850" ht="13.5" customHeight="1">
      <c r="A850" s="8" t="s">
        <v>909</v>
      </c>
      <c r="B850" s="8">
        <v>50208.0</v>
      </c>
      <c r="C850" s="8"/>
      <c r="D850" s="8"/>
      <c r="E850" s="8"/>
      <c r="F850" s="8"/>
    </row>
    <row r="851" ht="13.5" customHeight="1">
      <c r="A851" s="8" t="s">
        <v>880</v>
      </c>
      <c r="B851" s="8">
        <v>50338.0</v>
      </c>
      <c r="C851" s="8"/>
      <c r="D851" s="8"/>
      <c r="E851" s="8"/>
      <c r="F851" s="8"/>
    </row>
    <row r="852" ht="13.5" customHeight="1">
      <c r="A852" s="8" t="s">
        <v>904</v>
      </c>
      <c r="B852" s="8">
        <v>50945.0</v>
      </c>
      <c r="C852" s="8"/>
      <c r="D852" s="8"/>
      <c r="E852" s="8"/>
      <c r="F852" s="8"/>
    </row>
    <row r="853" ht="13.5" customHeight="1">
      <c r="A853" s="8" t="s">
        <v>947</v>
      </c>
      <c r="B853" s="8">
        <v>51462.0</v>
      </c>
      <c r="C853" s="8"/>
      <c r="D853" s="8"/>
      <c r="E853" s="8"/>
      <c r="F853" s="8"/>
    </row>
    <row r="854" ht="13.5" customHeight="1">
      <c r="A854" s="8" t="s">
        <v>929</v>
      </c>
      <c r="B854" s="8">
        <v>51494.0</v>
      </c>
      <c r="C854" s="8"/>
      <c r="D854" s="8"/>
      <c r="E854" s="8"/>
      <c r="F854" s="8"/>
    </row>
    <row r="855" ht="13.5" customHeight="1">
      <c r="A855" s="8" t="s">
        <v>897</v>
      </c>
      <c r="B855" s="8">
        <v>51525.0</v>
      </c>
      <c r="C855" s="8"/>
      <c r="D855" s="8"/>
      <c r="E855" s="8"/>
      <c r="F855" s="8"/>
    </row>
    <row r="856" ht="13.5" customHeight="1">
      <c r="A856" s="8" t="s">
        <v>880</v>
      </c>
      <c r="B856" s="8">
        <v>52933.0</v>
      </c>
      <c r="C856" s="8"/>
      <c r="D856" s="8"/>
      <c r="E856" s="8"/>
      <c r="F856" s="8"/>
    </row>
    <row r="857" ht="13.5" customHeight="1">
      <c r="A857" s="8" t="s">
        <v>929</v>
      </c>
      <c r="B857" s="8">
        <v>53025.0</v>
      </c>
      <c r="C857" s="8"/>
      <c r="D857" s="8"/>
      <c r="E857" s="8"/>
      <c r="F857" s="8"/>
    </row>
    <row r="858" ht="13.5" customHeight="1">
      <c r="A858" s="8" t="s">
        <v>953</v>
      </c>
      <c r="B858" s="8">
        <v>53894.0</v>
      </c>
      <c r="C858" s="8"/>
      <c r="D858" s="8"/>
      <c r="E858" s="8"/>
      <c r="F858" s="8"/>
    </row>
    <row r="859" ht="13.5" customHeight="1">
      <c r="A859" s="8" t="s">
        <v>944</v>
      </c>
      <c r="B859" s="8">
        <v>53953.0</v>
      </c>
      <c r="C859" s="8"/>
      <c r="D859" s="8"/>
      <c r="E859" s="8"/>
      <c r="F859" s="8"/>
    </row>
    <row r="860" ht="13.5" customHeight="1">
      <c r="A860" s="8" t="s">
        <v>929</v>
      </c>
      <c r="B860" s="8">
        <v>54304.0</v>
      </c>
      <c r="C860" s="8"/>
      <c r="D860" s="8"/>
      <c r="E860" s="8"/>
      <c r="F860" s="8"/>
    </row>
    <row r="861" ht="13.5" customHeight="1">
      <c r="A861" s="8" t="s">
        <v>917</v>
      </c>
      <c r="B861" s="8">
        <v>55075.0</v>
      </c>
      <c r="C861" s="8"/>
      <c r="D861" s="8"/>
      <c r="E861" s="8"/>
      <c r="F861" s="8"/>
    </row>
    <row r="862" ht="13.5" customHeight="1">
      <c r="A862" s="8" t="s">
        <v>897</v>
      </c>
      <c r="B862" s="8">
        <v>55268.0</v>
      </c>
      <c r="C862" s="8"/>
      <c r="D862" s="8"/>
      <c r="E862" s="8"/>
      <c r="F862" s="8"/>
    </row>
    <row r="863" ht="13.5" customHeight="1">
      <c r="A863" s="8" t="s">
        <v>890</v>
      </c>
      <c r="B863" s="8">
        <v>55367.0</v>
      </c>
      <c r="C863" s="8"/>
      <c r="D863" s="8"/>
      <c r="E863" s="8"/>
      <c r="F863" s="8"/>
    </row>
    <row r="864" ht="13.5" customHeight="1">
      <c r="A864" s="8" t="s">
        <v>874</v>
      </c>
      <c r="B864" s="8">
        <v>56321.0</v>
      </c>
      <c r="C864" s="8"/>
      <c r="D864" s="8"/>
      <c r="E864" s="8"/>
      <c r="F864" s="8"/>
    </row>
    <row r="865" ht="13.5" customHeight="1">
      <c r="A865" s="8" t="s">
        <v>929</v>
      </c>
      <c r="B865" s="8">
        <v>56610.0</v>
      </c>
      <c r="C865" s="8"/>
      <c r="D865" s="8"/>
      <c r="E865" s="8"/>
      <c r="F865" s="8"/>
    </row>
    <row r="866" ht="13.5" customHeight="1">
      <c r="A866" s="8" t="s">
        <v>888</v>
      </c>
      <c r="B866" s="8">
        <v>56740.0</v>
      </c>
      <c r="C866" s="8"/>
      <c r="D866" s="8"/>
      <c r="E866" s="8"/>
      <c r="F866" s="8"/>
    </row>
    <row r="867" ht="13.5" customHeight="1">
      <c r="A867" s="8" t="s">
        <v>993</v>
      </c>
      <c r="B867" s="8">
        <v>56901.0</v>
      </c>
      <c r="C867" s="8"/>
      <c r="D867" s="8"/>
      <c r="E867" s="8"/>
      <c r="F867" s="8"/>
    </row>
    <row r="868" ht="13.5" customHeight="1">
      <c r="A868" s="8" t="s">
        <v>897</v>
      </c>
      <c r="B868" s="8">
        <v>57314.0</v>
      </c>
      <c r="C868" s="8"/>
      <c r="D868" s="8"/>
      <c r="E868" s="8"/>
      <c r="F868" s="8"/>
    </row>
    <row r="869" ht="13.5" customHeight="1">
      <c r="A869" s="8" t="s">
        <v>869</v>
      </c>
      <c r="B869" s="8">
        <v>57376.0</v>
      </c>
      <c r="C869" s="8"/>
      <c r="D869" s="8"/>
      <c r="E869" s="8"/>
      <c r="F869" s="8"/>
    </row>
    <row r="870" ht="13.5" customHeight="1">
      <c r="A870" s="8" t="s">
        <v>880</v>
      </c>
      <c r="B870" s="8">
        <v>57671.0</v>
      </c>
      <c r="C870" s="8"/>
      <c r="D870" s="8"/>
      <c r="E870" s="8"/>
      <c r="F870" s="8"/>
    </row>
    <row r="871" ht="13.5" customHeight="1">
      <c r="A871" s="8" t="s">
        <v>993</v>
      </c>
      <c r="B871" s="8">
        <v>57700.0</v>
      </c>
      <c r="C871" s="8"/>
      <c r="D871" s="8"/>
      <c r="E871" s="8"/>
      <c r="F871" s="8"/>
    </row>
    <row r="872" ht="13.5" customHeight="1">
      <c r="A872" s="8" t="s">
        <v>973</v>
      </c>
      <c r="B872" s="8">
        <v>58407.0</v>
      </c>
      <c r="C872" s="8"/>
      <c r="D872" s="8"/>
      <c r="E872" s="8"/>
      <c r="F872" s="8"/>
    </row>
    <row r="873" ht="13.5" customHeight="1">
      <c r="A873" s="8" t="s">
        <v>892</v>
      </c>
      <c r="B873" s="8">
        <v>58593.0</v>
      </c>
      <c r="C873" s="8"/>
      <c r="D873" s="8"/>
      <c r="E873" s="8"/>
      <c r="F873" s="8"/>
    </row>
    <row r="874" ht="13.5" customHeight="1">
      <c r="A874" s="8" t="s">
        <v>965</v>
      </c>
      <c r="B874" s="8">
        <v>58884.0</v>
      </c>
      <c r="C874" s="8"/>
      <c r="D874" s="8"/>
      <c r="E874" s="8"/>
      <c r="F874" s="8"/>
    </row>
    <row r="875" ht="13.5" customHeight="1">
      <c r="A875" s="8" t="s">
        <v>909</v>
      </c>
      <c r="B875" s="8">
        <v>58913.0</v>
      </c>
      <c r="C875" s="8"/>
      <c r="D875" s="8"/>
      <c r="E875" s="8"/>
      <c r="F875" s="8"/>
    </row>
    <row r="876" ht="13.5" customHeight="1">
      <c r="A876" s="8" t="s">
        <v>890</v>
      </c>
      <c r="B876" s="8">
        <v>58978.0</v>
      </c>
      <c r="C876" s="8"/>
      <c r="D876" s="8"/>
      <c r="E876" s="8"/>
      <c r="F876" s="8"/>
    </row>
    <row r="877" ht="13.5" customHeight="1">
      <c r="A877" s="8" t="s">
        <v>996</v>
      </c>
      <c r="B877" s="8">
        <v>229.0</v>
      </c>
      <c r="C877" s="8"/>
      <c r="D877" s="8"/>
      <c r="E877" s="8"/>
      <c r="F877" s="8"/>
    </row>
    <row r="878" ht="13.5" customHeight="1">
      <c r="A878" s="8" t="s">
        <v>998</v>
      </c>
      <c r="B878" s="8">
        <v>706.0</v>
      </c>
      <c r="C878" s="8"/>
      <c r="D878" s="8"/>
      <c r="E878" s="8"/>
      <c r="F878" s="8"/>
    </row>
    <row r="879" ht="13.5" customHeight="1">
      <c r="A879" s="8" t="s">
        <v>999</v>
      </c>
      <c r="B879" s="8">
        <v>1285.0</v>
      </c>
      <c r="C879" s="8"/>
      <c r="D879" s="8"/>
      <c r="E879" s="8"/>
      <c r="F879" s="8"/>
    </row>
    <row r="880" ht="13.5" customHeight="1">
      <c r="A880" s="8" t="s">
        <v>999</v>
      </c>
      <c r="B880" s="8">
        <v>1313.0</v>
      </c>
      <c r="C880" s="8"/>
      <c r="D880" s="8"/>
      <c r="E880" s="8"/>
      <c r="F880" s="8"/>
    </row>
    <row r="881" ht="13.5" customHeight="1">
      <c r="A881" s="8" t="s">
        <v>1001</v>
      </c>
      <c r="B881" s="8">
        <v>1346.0</v>
      </c>
      <c r="C881" s="8"/>
      <c r="D881" s="8"/>
      <c r="E881" s="8"/>
      <c r="F881" s="8"/>
    </row>
    <row r="882" ht="13.5" customHeight="1">
      <c r="A882" s="8" t="s">
        <v>1002</v>
      </c>
      <c r="B882" s="8">
        <v>1699.0</v>
      </c>
      <c r="C882" s="8"/>
      <c r="D882" s="8"/>
      <c r="E882" s="8"/>
      <c r="F882" s="8"/>
    </row>
    <row r="883" ht="13.5" customHeight="1">
      <c r="A883" s="8" t="s">
        <v>1003</v>
      </c>
      <c r="B883" s="8">
        <v>2208.0</v>
      </c>
      <c r="C883" s="8"/>
      <c r="D883" s="8"/>
      <c r="E883" s="8"/>
      <c r="F883" s="8"/>
    </row>
    <row r="884" ht="13.5" customHeight="1">
      <c r="A884" s="8" t="s">
        <v>1005</v>
      </c>
      <c r="B884" s="8">
        <v>2656.0</v>
      </c>
      <c r="C884" s="8"/>
      <c r="D884" s="8"/>
      <c r="E884" s="8"/>
      <c r="F884" s="8"/>
    </row>
    <row r="885" ht="13.5" customHeight="1">
      <c r="A885" s="8" t="s">
        <v>1006</v>
      </c>
      <c r="B885" s="8">
        <v>3361.0</v>
      </c>
      <c r="C885" s="8"/>
      <c r="D885" s="8"/>
      <c r="E885" s="8"/>
      <c r="F885" s="8"/>
    </row>
    <row r="886" ht="13.5" customHeight="1">
      <c r="A886" s="8" t="s">
        <v>1008</v>
      </c>
      <c r="B886" s="8">
        <v>3393.0</v>
      </c>
      <c r="C886" s="8"/>
      <c r="D886" s="8"/>
      <c r="E886" s="8"/>
      <c r="F886" s="8"/>
    </row>
    <row r="887" ht="13.5" customHeight="1">
      <c r="A887" s="8" t="s">
        <v>1009</v>
      </c>
      <c r="B887" s="8">
        <v>4487.0</v>
      </c>
      <c r="C887" s="8"/>
      <c r="D887" s="8"/>
      <c r="E887" s="8"/>
      <c r="F887" s="8"/>
    </row>
    <row r="888" ht="13.5" customHeight="1">
      <c r="A888" s="8" t="s">
        <v>818</v>
      </c>
      <c r="B888" s="8">
        <v>4579.0</v>
      </c>
      <c r="C888" s="8"/>
      <c r="D888" s="8"/>
      <c r="E888" s="8"/>
      <c r="F888" s="8"/>
    </row>
    <row r="889" ht="13.5" customHeight="1">
      <c r="A889" s="8" t="s">
        <v>1010</v>
      </c>
      <c r="B889" s="8">
        <v>5061.0</v>
      </c>
      <c r="C889" s="8"/>
      <c r="D889" s="8"/>
      <c r="E889" s="8"/>
      <c r="F889" s="8"/>
    </row>
    <row r="890" ht="13.5" customHeight="1">
      <c r="A890" s="8" t="s">
        <v>1011</v>
      </c>
      <c r="B890" s="8">
        <v>5092.0</v>
      </c>
      <c r="C890" s="8"/>
      <c r="D890" s="8"/>
      <c r="E890" s="8"/>
      <c r="F890" s="8"/>
    </row>
    <row r="891" ht="13.5" customHeight="1">
      <c r="A891" s="8" t="s">
        <v>1002</v>
      </c>
      <c r="B891" s="8">
        <v>5511.0</v>
      </c>
      <c r="C891" s="8"/>
      <c r="D891" s="8"/>
      <c r="E891" s="8"/>
      <c r="F891" s="8"/>
    </row>
    <row r="892" ht="13.5" customHeight="1">
      <c r="A892" s="8" t="s">
        <v>1003</v>
      </c>
      <c r="B892" s="8">
        <v>5799.0</v>
      </c>
      <c r="C892" s="8"/>
      <c r="D892" s="8"/>
      <c r="E892" s="8"/>
      <c r="F892" s="8"/>
    </row>
    <row r="893" ht="13.5" customHeight="1">
      <c r="A893" s="8" t="s">
        <v>1014</v>
      </c>
      <c r="B893" s="8">
        <v>5890.0</v>
      </c>
      <c r="C893" s="8"/>
      <c r="D893" s="8"/>
      <c r="E893" s="8"/>
      <c r="F893" s="8"/>
    </row>
    <row r="894" ht="13.5" customHeight="1">
      <c r="A894" s="8" t="s">
        <v>1015</v>
      </c>
      <c r="B894" s="8">
        <v>6596.0</v>
      </c>
      <c r="C894" s="8"/>
      <c r="D894" s="8"/>
      <c r="E894" s="8"/>
      <c r="F894" s="8"/>
    </row>
    <row r="895" ht="13.5" customHeight="1">
      <c r="A895" s="8" t="s">
        <v>996</v>
      </c>
      <c r="B895" s="8">
        <v>7015.0</v>
      </c>
      <c r="C895" s="8"/>
      <c r="D895" s="8"/>
      <c r="E895" s="8"/>
      <c r="F895" s="8"/>
    </row>
    <row r="896" ht="13.5" customHeight="1">
      <c r="A896" s="8" t="s">
        <v>1018</v>
      </c>
      <c r="B896" s="8">
        <v>7106.0</v>
      </c>
      <c r="C896" s="8"/>
      <c r="D896" s="8"/>
      <c r="E896" s="8"/>
      <c r="F896" s="8"/>
    </row>
    <row r="897" ht="13.5" customHeight="1">
      <c r="A897" s="8" t="s">
        <v>1020</v>
      </c>
      <c r="B897" s="8">
        <v>8007.0</v>
      </c>
      <c r="C897" s="8"/>
      <c r="D897" s="8"/>
      <c r="E897" s="8"/>
      <c r="F897" s="8"/>
    </row>
    <row r="898" ht="13.5" customHeight="1">
      <c r="A898" s="8" t="s">
        <v>1014</v>
      </c>
      <c r="B898" s="8">
        <v>8257.0</v>
      </c>
      <c r="C898" s="8"/>
      <c r="D898" s="8"/>
      <c r="E898" s="8"/>
      <c r="F898" s="8"/>
    </row>
    <row r="899" ht="13.5" customHeight="1">
      <c r="A899" s="8" t="s">
        <v>999</v>
      </c>
      <c r="B899" s="8">
        <v>8773.0</v>
      </c>
      <c r="C899" s="8"/>
      <c r="D899" s="8"/>
      <c r="E899" s="8"/>
      <c r="F899" s="8"/>
    </row>
    <row r="900" ht="13.5" customHeight="1">
      <c r="A900" s="8" t="s">
        <v>1006</v>
      </c>
      <c r="B900" s="8">
        <v>9057.0</v>
      </c>
      <c r="C900" s="8"/>
      <c r="D900" s="8"/>
      <c r="E900" s="8"/>
      <c r="F900" s="8"/>
    </row>
    <row r="901" ht="13.5" customHeight="1">
      <c r="A901" s="8" t="s">
        <v>1014</v>
      </c>
      <c r="B901" s="8">
        <v>9285.0</v>
      </c>
      <c r="C901" s="8"/>
      <c r="D901" s="8"/>
      <c r="E901" s="8"/>
      <c r="F901" s="8"/>
    </row>
    <row r="902" ht="13.5" customHeight="1">
      <c r="A902" s="8" t="s">
        <v>1015</v>
      </c>
      <c r="B902" s="8">
        <v>9861.0</v>
      </c>
      <c r="C902" s="8"/>
      <c r="D902" s="8"/>
      <c r="E902" s="8"/>
      <c r="F902" s="8"/>
    </row>
    <row r="903" ht="13.5" customHeight="1">
      <c r="A903" s="8" t="s">
        <v>1003</v>
      </c>
      <c r="B903" s="8">
        <v>9922.0</v>
      </c>
      <c r="C903" s="8"/>
      <c r="D903" s="8"/>
      <c r="E903" s="8"/>
      <c r="F903" s="8"/>
    </row>
    <row r="904" ht="13.5" customHeight="1">
      <c r="A904" s="8" t="s">
        <v>1015</v>
      </c>
      <c r="B904" s="8">
        <v>9923.0</v>
      </c>
      <c r="C904" s="8"/>
      <c r="D904" s="8"/>
      <c r="E904" s="8"/>
      <c r="F904" s="8"/>
    </row>
    <row r="905" ht="13.5" customHeight="1">
      <c r="A905" s="8" t="s">
        <v>1015</v>
      </c>
      <c r="B905" s="8">
        <v>9925.0</v>
      </c>
      <c r="C905" s="8"/>
      <c r="D905" s="8"/>
      <c r="E905" s="8"/>
      <c r="F905" s="8"/>
    </row>
    <row r="906" ht="13.5" customHeight="1">
      <c r="A906" s="8" t="s">
        <v>999</v>
      </c>
      <c r="B906" s="8">
        <v>10593.0</v>
      </c>
      <c r="C906" s="8"/>
      <c r="D906" s="8"/>
      <c r="E906" s="8"/>
      <c r="F906" s="8"/>
    </row>
    <row r="907" ht="13.5" customHeight="1">
      <c r="A907" s="8" t="s">
        <v>1025</v>
      </c>
      <c r="B907" s="8">
        <v>11969.0</v>
      </c>
      <c r="C907" s="8"/>
      <c r="D907" s="8"/>
      <c r="E907" s="8"/>
      <c r="F907" s="8"/>
    </row>
    <row r="908" ht="13.5" customHeight="1">
      <c r="A908" s="8" t="s">
        <v>1027</v>
      </c>
      <c r="B908" s="8">
        <v>12228.0</v>
      </c>
      <c r="C908" s="8"/>
      <c r="D908" s="8"/>
      <c r="E908" s="8"/>
      <c r="F908" s="8"/>
    </row>
    <row r="909" ht="13.5" customHeight="1">
      <c r="A909" s="8" t="s">
        <v>1028</v>
      </c>
      <c r="B909" s="8">
        <v>12355.0</v>
      </c>
      <c r="C909" s="8"/>
      <c r="D909" s="8"/>
      <c r="E909" s="8"/>
      <c r="F909" s="8"/>
    </row>
    <row r="910" ht="13.5" customHeight="1">
      <c r="A910" s="8" t="s">
        <v>1006</v>
      </c>
      <c r="B910" s="8">
        <v>12389.0</v>
      </c>
      <c r="C910" s="8"/>
      <c r="D910" s="8"/>
      <c r="E910" s="8"/>
      <c r="F910" s="8"/>
    </row>
    <row r="911" ht="13.5" customHeight="1">
      <c r="A911" s="8" t="s">
        <v>1011</v>
      </c>
      <c r="B911" s="8">
        <v>12710.0</v>
      </c>
      <c r="C911" s="8"/>
      <c r="D911" s="8"/>
      <c r="E911" s="8"/>
      <c r="F911" s="8"/>
    </row>
    <row r="912" ht="13.5" customHeight="1">
      <c r="A912" s="8" t="s">
        <v>999</v>
      </c>
      <c r="B912" s="8">
        <v>13636.0</v>
      </c>
      <c r="C912" s="8"/>
      <c r="D912" s="8"/>
      <c r="E912" s="8"/>
      <c r="F912" s="8"/>
    </row>
    <row r="913" ht="13.5" customHeight="1">
      <c r="A913" s="8" t="s">
        <v>1028</v>
      </c>
      <c r="B913" s="8">
        <v>14021.0</v>
      </c>
      <c r="C913" s="8"/>
      <c r="D913" s="8"/>
      <c r="E913" s="8"/>
      <c r="F913" s="8"/>
    </row>
    <row r="914" ht="13.5" customHeight="1">
      <c r="A914" s="8" t="s">
        <v>1032</v>
      </c>
      <c r="B914" s="8">
        <v>14338.0</v>
      </c>
      <c r="C914" s="8"/>
      <c r="D914" s="8"/>
      <c r="E914" s="8"/>
      <c r="F914" s="8"/>
    </row>
    <row r="915" ht="13.5" customHeight="1">
      <c r="A915" s="8" t="s">
        <v>1033</v>
      </c>
      <c r="B915" s="8">
        <v>14406.0</v>
      </c>
      <c r="C915" s="8"/>
      <c r="D915" s="8"/>
      <c r="E915" s="8"/>
      <c r="F915" s="8"/>
    </row>
    <row r="916" ht="13.5" customHeight="1">
      <c r="A916" s="8" t="s">
        <v>1032</v>
      </c>
      <c r="B916" s="8">
        <v>15878.0</v>
      </c>
      <c r="C916" s="8"/>
      <c r="D916" s="8"/>
      <c r="E916" s="8"/>
      <c r="F916" s="8"/>
    </row>
    <row r="917" ht="13.5" customHeight="1">
      <c r="A917" s="8" t="s">
        <v>996</v>
      </c>
      <c r="B917" s="8">
        <v>16133.0</v>
      </c>
      <c r="C917" s="8"/>
      <c r="D917" s="8"/>
      <c r="E917" s="8"/>
      <c r="F917" s="8"/>
    </row>
    <row r="918" ht="13.5" customHeight="1">
      <c r="A918" s="8" t="s">
        <v>999</v>
      </c>
      <c r="B918" s="8">
        <v>16612.0</v>
      </c>
      <c r="C918" s="8"/>
      <c r="D918" s="8"/>
      <c r="E918" s="8"/>
      <c r="F918" s="8"/>
    </row>
    <row r="919" ht="13.5" customHeight="1">
      <c r="A919" s="8" t="s">
        <v>1027</v>
      </c>
      <c r="B919" s="8">
        <v>16967.0</v>
      </c>
      <c r="C919" s="8"/>
      <c r="D919" s="8"/>
      <c r="E919" s="8"/>
      <c r="F919" s="8"/>
    </row>
    <row r="920" ht="13.5" customHeight="1">
      <c r="A920" s="8" t="s">
        <v>1002</v>
      </c>
      <c r="B920" s="8">
        <v>18432.0</v>
      </c>
      <c r="C920" s="8"/>
      <c r="D920" s="8"/>
      <c r="E920" s="8"/>
      <c r="F920" s="8"/>
    </row>
    <row r="921" ht="13.5" customHeight="1">
      <c r="A921" s="8" t="s">
        <v>1038</v>
      </c>
      <c r="B921" s="8">
        <v>18464.0</v>
      </c>
      <c r="C921" s="8"/>
      <c r="D921" s="8"/>
      <c r="E921" s="8"/>
      <c r="F921" s="8"/>
    </row>
    <row r="922" ht="13.5" customHeight="1">
      <c r="A922" s="8" t="s">
        <v>1040</v>
      </c>
      <c r="B922" s="8">
        <v>18754.0</v>
      </c>
      <c r="C922" s="8"/>
      <c r="D922" s="8"/>
      <c r="E922" s="8"/>
      <c r="F922" s="8"/>
    </row>
    <row r="923" ht="13.5" customHeight="1">
      <c r="A923" s="8" t="s">
        <v>996</v>
      </c>
      <c r="B923" s="8">
        <v>19905.0</v>
      </c>
      <c r="C923" s="8"/>
      <c r="D923" s="8"/>
      <c r="E923" s="8"/>
      <c r="F923" s="8"/>
    </row>
    <row r="924" ht="13.5" customHeight="1">
      <c r="A924" s="8" t="s">
        <v>1040</v>
      </c>
      <c r="B924" s="8">
        <v>20256.0</v>
      </c>
      <c r="C924" s="8"/>
      <c r="D924" s="8"/>
      <c r="E924" s="8"/>
      <c r="F924" s="8"/>
    </row>
    <row r="925" ht="13.5" customHeight="1">
      <c r="A925" s="8" t="s">
        <v>1032</v>
      </c>
      <c r="B925" s="8">
        <v>20386.0</v>
      </c>
      <c r="C925" s="8"/>
      <c r="D925" s="8"/>
      <c r="E925" s="8"/>
      <c r="F925" s="8"/>
    </row>
    <row r="926" ht="13.5" customHeight="1">
      <c r="A926" s="8" t="s">
        <v>1042</v>
      </c>
      <c r="B926" s="8">
        <v>20455.0</v>
      </c>
      <c r="C926" s="8"/>
      <c r="D926" s="8"/>
      <c r="E926" s="8"/>
      <c r="F926" s="8"/>
    </row>
    <row r="927" ht="13.5" customHeight="1">
      <c r="A927" s="8" t="s">
        <v>1043</v>
      </c>
      <c r="B927" s="8">
        <v>20642.0</v>
      </c>
      <c r="C927" s="8"/>
      <c r="D927" s="8"/>
      <c r="E927" s="8"/>
      <c r="F927" s="8"/>
    </row>
    <row r="928" ht="13.5" customHeight="1">
      <c r="A928" s="8" t="s">
        <v>1033</v>
      </c>
      <c r="B928" s="8">
        <v>21379.0</v>
      </c>
      <c r="C928" s="8"/>
      <c r="D928" s="8"/>
      <c r="E928" s="8"/>
      <c r="F928" s="8"/>
    </row>
    <row r="929" ht="13.5" customHeight="1">
      <c r="A929" s="8" t="s">
        <v>1008</v>
      </c>
      <c r="B929" s="8">
        <v>21766.0</v>
      </c>
      <c r="C929" s="8"/>
      <c r="D929" s="8"/>
      <c r="E929" s="8"/>
      <c r="F929" s="8"/>
    </row>
    <row r="930" ht="13.5" customHeight="1">
      <c r="A930" s="8" t="s">
        <v>1010</v>
      </c>
      <c r="B930" s="8">
        <v>22053.0</v>
      </c>
      <c r="C930" s="8"/>
      <c r="D930" s="8"/>
      <c r="E930" s="8"/>
      <c r="F930" s="8"/>
    </row>
    <row r="931" ht="13.5" customHeight="1">
      <c r="A931" s="8" t="s">
        <v>998</v>
      </c>
      <c r="B931" s="8">
        <v>22368.0</v>
      </c>
      <c r="C931" s="8"/>
      <c r="D931" s="8"/>
      <c r="E931" s="8"/>
      <c r="F931" s="8"/>
    </row>
    <row r="932" ht="13.5" customHeight="1">
      <c r="A932" s="8" t="s">
        <v>1046</v>
      </c>
      <c r="B932" s="8">
        <v>22885.0</v>
      </c>
      <c r="C932" s="8"/>
      <c r="D932" s="8"/>
      <c r="E932" s="8"/>
      <c r="F932" s="8"/>
    </row>
    <row r="933" ht="13.5" customHeight="1">
      <c r="A933" s="8" t="s">
        <v>998</v>
      </c>
      <c r="B933" s="8">
        <v>22947.0</v>
      </c>
      <c r="C933" s="8"/>
      <c r="D933" s="8"/>
      <c r="E933" s="8"/>
      <c r="F933" s="8"/>
    </row>
    <row r="934" ht="13.5" customHeight="1">
      <c r="A934" s="8" t="s">
        <v>1006</v>
      </c>
      <c r="B934" s="8">
        <v>23844.0</v>
      </c>
      <c r="C934" s="8"/>
      <c r="D934" s="8"/>
      <c r="E934" s="8"/>
      <c r="F934" s="8"/>
    </row>
    <row r="935" ht="13.5" customHeight="1">
      <c r="A935" s="8" t="s">
        <v>1010</v>
      </c>
      <c r="B935" s="8">
        <v>24039.0</v>
      </c>
      <c r="C935" s="8"/>
      <c r="D935" s="8"/>
      <c r="E935" s="8"/>
      <c r="F935" s="8"/>
    </row>
    <row r="936" ht="13.5" customHeight="1">
      <c r="A936" s="8" t="s">
        <v>1001</v>
      </c>
      <c r="B936" s="8">
        <v>25347.0</v>
      </c>
      <c r="C936" s="8"/>
      <c r="D936" s="8"/>
      <c r="E936" s="8"/>
      <c r="F936" s="8"/>
    </row>
    <row r="937" ht="13.5" customHeight="1">
      <c r="A937" s="8" t="s">
        <v>1006</v>
      </c>
      <c r="B937" s="8">
        <v>25825.0</v>
      </c>
      <c r="C937" s="8"/>
      <c r="D937" s="8"/>
      <c r="E937" s="8"/>
      <c r="F937" s="8"/>
    </row>
    <row r="938" ht="13.5" customHeight="1">
      <c r="A938" s="8" t="s">
        <v>1002</v>
      </c>
      <c r="B938" s="8">
        <v>26304.0</v>
      </c>
      <c r="C938" s="8"/>
      <c r="D938" s="8"/>
      <c r="E938" s="8"/>
      <c r="F938" s="8"/>
    </row>
    <row r="939" ht="13.5" customHeight="1">
      <c r="A939" s="8" t="s">
        <v>1040</v>
      </c>
      <c r="B939" s="8">
        <v>26726.0</v>
      </c>
      <c r="C939" s="8"/>
      <c r="D939" s="8"/>
      <c r="E939" s="8"/>
      <c r="F939" s="8"/>
    </row>
    <row r="940" ht="13.5" customHeight="1">
      <c r="A940" s="8" t="s">
        <v>1002</v>
      </c>
      <c r="B940" s="8">
        <v>27266.0</v>
      </c>
      <c r="C940" s="8"/>
      <c r="D940" s="8"/>
      <c r="E940" s="8"/>
      <c r="F940" s="8"/>
    </row>
    <row r="941" ht="13.5" customHeight="1">
      <c r="A941" s="8" t="s">
        <v>1010</v>
      </c>
      <c r="B941" s="8">
        <v>27396.0</v>
      </c>
      <c r="C941" s="8"/>
      <c r="D941" s="8"/>
      <c r="E941" s="8"/>
      <c r="F941" s="8"/>
    </row>
    <row r="942" ht="13.5" customHeight="1">
      <c r="A942" s="8" t="s">
        <v>1032</v>
      </c>
      <c r="B942" s="8">
        <v>28480.0</v>
      </c>
      <c r="C942" s="8"/>
      <c r="D942" s="8"/>
      <c r="E942" s="8"/>
      <c r="F942" s="8"/>
    </row>
    <row r="943" ht="13.5" customHeight="1">
      <c r="A943" s="8" t="s">
        <v>996</v>
      </c>
      <c r="B943" s="8">
        <v>29158.0</v>
      </c>
      <c r="C943" s="8"/>
      <c r="D943" s="8"/>
      <c r="E943" s="8"/>
      <c r="F943" s="8"/>
    </row>
    <row r="944" ht="13.5" customHeight="1">
      <c r="A944" s="8" t="s">
        <v>999</v>
      </c>
      <c r="B944" s="8">
        <v>29409.0</v>
      </c>
      <c r="C944" s="8"/>
      <c r="D944" s="8"/>
      <c r="E944" s="8"/>
      <c r="F944" s="8"/>
    </row>
    <row r="945" ht="13.5" customHeight="1">
      <c r="A945" s="8" t="s">
        <v>1008</v>
      </c>
      <c r="B945" s="8">
        <v>29956.0</v>
      </c>
      <c r="C945" s="8"/>
      <c r="D945" s="8"/>
      <c r="E945" s="8"/>
      <c r="F945" s="8"/>
    </row>
    <row r="946" ht="13.5" customHeight="1">
      <c r="A946" s="8" t="s">
        <v>996</v>
      </c>
      <c r="B946" s="8">
        <v>30341.0</v>
      </c>
      <c r="C946" s="8"/>
      <c r="D946" s="8"/>
      <c r="E946" s="8"/>
      <c r="F946" s="8"/>
    </row>
    <row r="947" ht="13.5" customHeight="1">
      <c r="A947" s="8" t="s">
        <v>1011</v>
      </c>
      <c r="B947" s="8">
        <v>30467.0</v>
      </c>
      <c r="C947" s="8"/>
      <c r="D947" s="8"/>
      <c r="E947" s="8"/>
      <c r="F947" s="8"/>
    </row>
    <row r="948" ht="13.5" customHeight="1">
      <c r="A948" s="8" t="s">
        <v>1046</v>
      </c>
      <c r="B948" s="8">
        <v>30785.0</v>
      </c>
      <c r="C948" s="8"/>
      <c r="D948" s="8"/>
      <c r="E948" s="8"/>
      <c r="F948" s="8"/>
    </row>
    <row r="949" ht="13.5" customHeight="1">
      <c r="A949" s="8" t="s">
        <v>1049</v>
      </c>
      <c r="B949" s="8">
        <v>31171.0</v>
      </c>
      <c r="C949" s="8"/>
      <c r="D949" s="8"/>
      <c r="E949" s="8"/>
      <c r="F949" s="8"/>
    </row>
    <row r="950" ht="13.5" customHeight="1">
      <c r="A950" s="8" t="s">
        <v>1032</v>
      </c>
      <c r="B950" s="8">
        <v>31297.0</v>
      </c>
      <c r="C950" s="8"/>
      <c r="D950" s="8"/>
      <c r="E950" s="8"/>
      <c r="F950" s="8"/>
    </row>
    <row r="951" ht="13.5" customHeight="1">
      <c r="A951" s="8" t="s">
        <v>1010</v>
      </c>
      <c r="B951" s="8">
        <v>31553.0</v>
      </c>
      <c r="C951" s="8"/>
      <c r="D951" s="8"/>
      <c r="E951" s="8"/>
      <c r="F951" s="8"/>
    </row>
    <row r="952" ht="13.5" customHeight="1">
      <c r="A952" s="8" t="s">
        <v>996</v>
      </c>
      <c r="B952" s="8">
        <v>32706.0</v>
      </c>
      <c r="C952" s="8"/>
      <c r="D952" s="8"/>
      <c r="E952" s="8"/>
      <c r="F952" s="8"/>
    </row>
    <row r="953" ht="13.5" customHeight="1">
      <c r="A953" s="8" t="s">
        <v>1040</v>
      </c>
      <c r="B953" s="8">
        <v>33122.0</v>
      </c>
      <c r="C953" s="8"/>
      <c r="D953" s="8"/>
      <c r="E953" s="8"/>
      <c r="F953" s="8"/>
    </row>
    <row r="954" ht="13.5" customHeight="1">
      <c r="A954" s="8" t="s">
        <v>1028</v>
      </c>
      <c r="B954" s="8">
        <v>33570.0</v>
      </c>
      <c r="C954" s="8"/>
      <c r="D954" s="8"/>
      <c r="E954" s="8"/>
      <c r="F954" s="8"/>
    </row>
    <row r="955" ht="13.5" customHeight="1">
      <c r="A955" s="8" t="s">
        <v>998</v>
      </c>
      <c r="B955" s="8">
        <v>33893.0</v>
      </c>
      <c r="C955" s="8"/>
      <c r="D955" s="8"/>
      <c r="E955" s="8"/>
      <c r="F955" s="8"/>
    </row>
    <row r="956" ht="13.5" customHeight="1">
      <c r="A956" s="8" t="s">
        <v>1011</v>
      </c>
      <c r="B956" s="8">
        <v>34599.0</v>
      </c>
      <c r="C956" s="8"/>
      <c r="D956" s="8"/>
      <c r="E956" s="8"/>
      <c r="F956" s="8"/>
    </row>
    <row r="957" ht="13.5" customHeight="1">
      <c r="A957" s="8" t="s">
        <v>1053</v>
      </c>
      <c r="B957" s="8">
        <v>34721.0</v>
      </c>
      <c r="C957" s="8"/>
      <c r="D957" s="8"/>
      <c r="E957" s="8"/>
      <c r="F957" s="8"/>
    </row>
    <row r="958" ht="13.5" customHeight="1">
      <c r="A958" s="8" t="s">
        <v>1010</v>
      </c>
      <c r="B958" s="8">
        <v>34787.0</v>
      </c>
      <c r="C958" s="8"/>
      <c r="D958" s="8"/>
      <c r="E958" s="8"/>
      <c r="F958" s="8"/>
    </row>
    <row r="959" ht="13.5" customHeight="1">
      <c r="A959" s="8" t="s">
        <v>1056</v>
      </c>
      <c r="B959" s="8">
        <v>34791.0</v>
      </c>
      <c r="C959" s="8"/>
      <c r="D959" s="8"/>
      <c r="E959" s="8"/>
      <c r="F959" s="8"/>
    </row>
    <row r="960" ht="13.5" customHeight="1">
      <c r="A960" s="8" t="s">
        <v>1005</v>
      </c>
      <c r="B960" s="8">
        <v>34822.0</v>
      </c>
      <c r="C960" s="8"/>
      <c r="D960" s="8"/>
      <c r="E960" s="8"/>
      <c r="F960" s="8"/>
    </row>
    <row r="961" ht="13.5" customHeight="1">
      <c r="A961" s="8" t="s">
        <v>996</v>
      </c>
      <c r="B961" s="8">
        <v>34853.0</v>
      </c>
      <c r="C961" s="8"/>
      <c r="D961" s="8"/>
      <c r="E961" s="8"/>
      <c r="F961" s="8"/>
    </row>
    <row r="962" ht="13.5" customHeight="1">
      <c r="A962" s="8" t="s">
        <v>1006</v>
      </c>
      <c r="B962" s="8">
        <v>35522.0</v>
      </c>
      <c r="C962" s="8"/>
      <c r="D962" s="8"/>
      <c r="E962" s="8"/>
      <c r="F962" s="8"/>
    </row>
    <row r="963" ht="13.5" customHeight="1">
      <c r="A963" s="8" t="s">
        <v>1046</v>
      </c>
      <c r="B963" s="8">
        <v>36099.0</v>
      </c>
      <c r="C963" s="8"/>
      <c r="D963" s="8"/>
      <c r="E963" s="8"/>
      <c r="F963" s="8"/>
    </row>
    <row r="964" ht="13.5" customHeight="1">
      <c r="A964" s="8" t="s">
        <v>1028</v>
      </c>
      <c r="B964" s="8">
        <v>36359.0</v>
      </c>
      <c r="C964" s="8"/>
      <c r="D964" s="8"/>
      <c r="E964" s="8"/>
      <c r="F964" s="8"/>
    </row>
    <row r="965" ht="13.5" customHeight="1">
      <c r="A965" s="8" t="s">
        <v>1042</v>
      </c>
      <c r="B965" s="8">
        <v>36901.0</v>
      </c>
      <c r="C965" s="8"/>
      <c r="D965" s="8"/>
      <c r="E965" s="8"/>
      <c r="F965" s="8"/>
    </row>
    <row r="966" ht="13.5" customHeight="1">
      <c r="A966" s="8" t="s">
        <v>1008</v>
      </c>
      <c r="B966" s="8">
        <v>37412.0</v>
      </c>
      <c r="C966" s="8"/>
      <c r="D966" s="8"/>
      <c r="E966" s="8"/>
      <c r="F966" s="8"/>
    </row>
    <row r="967" ht="13.5" customHeight="1">
      <c r="A967" s="8" t="s">
        <v>1015</v>
      </c>
      <c r="B967" s="8">
        <v>38625.0</v>
      </c>
      <c r="C967" s="8"/>
      <c r="D967" s="8"/>
      <c r="E967" s="8"/>
      <c r="F967" s="8"/>
    </row>
    <row r="968" ht="13.5" customHeight="1">
      <c r="A968" s="8" t="s">
        <v>1011</v>
      </c>
      <c r="B968" s="8">
        <v>38656.0</v>
      </c>
      <c r="C968" s="8"/>
      <c r="D968" s="8"/>
      <c r="E968" s="8"/>
      <c r="F968" s="8"/>
    </row>
    <row r="969" ht="13.5" customHeight="1">
      <c r="A969" s="8" t="s">
        <v>910</v>
      </c>
      <c r="B969" s="8">
        <v>38784.0</v>
      </c>
      <c r="C969" s="8"/>
      <c r="D969" s="8"/>
      <c r="E969" s="8"/>
      <c r="F969" s="8"/>
    </row>
    <row r="970" ht="13.5" customHeight="1">
      <c r="A970" s="8" t="s">
        <v>1061</v>
      </c>
      <c r="B970" s="8">
        <v>38882.0</v>
      </c>
      <c r="C970" s="8"/>
      <c r="D970" s="8"/>
      <c r="E970" s="8"/>
      <c r="F970" s="8"/>
    </row>
    <row r="971" ht="13.5" customHeight="1">
      <c r="A971" s="8" t="s">
        <v>1062</v>
      </c>
      <c r="B971" s="8">
        <v>39527.0</v>
      </c>
      <c r="C971" s="8"/>
      <c r="D971" s="8"/>
      <c r="E971" s="8"/>
      <c r="F971" s="8"/>
    </row>
    <row r="972" ht="13.5" customHeight="1">
      <c r="A972" s="8" t="s">
        <v>1018</v>
      </c>
      <c r="B972" s="8">
        <v>39845.0</v>
      </c>
      <c r="C972" s="8"/>
      <c r="D972" s="8"/>
      <c r="E972" s="8"/>
      <c r="F972" s="8"/>
    </row>
    <row r="973" ht="13.5" customHeight="1">
      <c r="A973" s="8" t="s">
        <v>1062</v>
      </c>
      <c r="B973" s="8">
        <v>39877.0</v>
      </c>
      <c r="C973" s="8"/>
      <c r="D973" s="8"/>
      <c r="E973" s="8"/>
      <c r="F973" s="8"/>
    </row>
    <row r="974" ht="13.5" customHeight="1">
      <c r="A974" s="8" t="s">
        <v>1001</v>
      </c>
      <c r="B974" s="8">
        <v>40259.0</v>
      </c>
      <c r="C974" s="8"/>
      <c r="D974" s="8"/>
      <c r="E974" s="8"/>
      <c r="F974" s="8"/>
    </row>
    <row r="975" ht="13.5" customHeight="1">
      <c r="A975" s="8" t="s">
        <v>1005</v>
      </c>
      <c r="B975" s="8">
        <v>41217.0</v>
      </c>
      <c r="C975" s="8"/>
      <c r="D975" s="8"/>
      <c r="E975" s="8"/>
      <c r="F975" s="8"/>
    </row>
    <row r="976" ht="13.5" customHeight="1">
      <c r="A976" s="8" t="s">
        <v>1053</v>
      </c>
      <c r="B976" s="8">
        <v>41671.0</v>
      </c>
      <c r="C976" s="8"/>
      <c r="D976" s="8"/>
      <c r="E976" s="8"/>
      <c r="F976" s="8"/>
    </row>
    <row r="977" ht="13.5" customHeight="1">
      <c r="A977" s="8" t="s">
        <v>996</v>
      </c>
      <c r="B977" s="8">
        <v>41927.0</v>
      </c>
      <c r="C977" s="8"/>
      <c r="D977" s="8"/>
      <c r="E977" s="8"/>
      <c r="F977" s="8"/>
    </row>
    <row r="978" ht="13.5" customHeight="1">
      <c r="A978" s="8" t="s">
        <v>996</v>
      </c>
      <c r="B978" s="8">
        <v>41988.0</v>
      </c>
      <c r="C978" s="8"/>
      <c r="D978" s="8"/>
      <c r="E978" s="8"/>
      <c r="F978" s="8"/>
    </row>
    <row r="979" ht="13.5" customHeight="1">
      <c r="A979" s="8" t="s">
        <v>1009</v>
      </c>
      <c r="B979" s="8">
        <v>42692.0</v>
      </c>
      <c r="C979" s="8"/>
      <c r="D979" s="8"/>
      <c r="E979" s="8"/>
      <c r="F979" s="8"/>
    </row>
    <row r="980" ht="13.5" customHeight="1">
      <c r="A980" s="8" t="s">
        <v>1005</v>
      </c>
      <c r="B980" s="8">
        <v>44007.0</v>
      </c>
      <c r="C980" s="8"/>
      <c r="D980" s="8"/>
      <c r="E980" s="8"/>
      <c r="F980" s="8"/>
    </row>
    <row r="981" ht="13.5" customHeight="1">
      <c r="A981" s="8" t="s">
        <v>1010</v>
      </c>
      <c r="B981" s="8">
        <v>44450.0</v>
      </c>
      <c r="C981" s="8"/>
      <c r="D981" s="8"/>
      <c r="E981" s="8"/>
      <c r="F981" s="8"/>
    </row>
    <row r="982" ht="13.5" customHeight="1">
      <c r="A982" s="8" t="s">
        <v>1061</v>
      </c>
      <c r="B982" s="8">
        <v>44610.0</v>
      </c>
      <c r="C982" s="8"/>
      <c r="D982" s="8"/>
      <c r="E982" s="8"/>
      <c r="F982" s="8"/>
    </row>
    <row r="983" ht="13.5" customHeight="1">
      <c r="A983" s="8" t="s">
        <v>1032</v>
      </c>
      <c r="B983" s="8">
        <v>44999.0</v>
      </c>
      <c r="C983" s="8"/>
      <c r="D983" s="8"/>
      <c r="E983" s="8"/>
      <c r="F983" s="8"/>
    </row>
    <row r="984" ht="13.5" customHeight="1">
      <c r="A984" s="8" t="s">
        <v>1032</v>
      </c>
      <c r="B984" s="8">
        <v>45025.0</v>
      </c>
      <c r="C984" s="8"/>
      <c r="D984" s="8"/>
      <c r="E984" s="8"/>
      <c r="F984" s="8"/>
    </row>
    <row r="985" ht="13.5" customHeight="1">
      <c r="A985" s="8" t="s">
        <v>910</v>
      </c>
      <c r="B985" s="8">
        <v>45248.0</v>
      </c>
      <c r="C985" s="8"/>
      <c r="D985" s="8"/>
      <c r="E985" s="8"/>
      <c r="F985" s="8"/>
    </row>
    <row r="986" ht="13.5" customHeight="1">
      <c r="A986" s="8" t="s">
        <v>1040</v>
      </c>
      <c r="B986" s="8">
        <v>45249.0</v>
      </c>
      <c r="C986" s="8"/>
      <c r="D986" s="8"/>
      <c r="E986" s="8"/>
      <c r="F986" s="8"/>
    </row>
    <row r="987" ht="13.5" customHeight="1">
      <c r="A987" s="8" t="s">
        <v>1053</v>
      </c>
      <c r="B987" s="8">
        <v>45570.0</v>
      </c>
      <c r="C987" s="8"/>
      <c r="D987" s="8"/>
      <c r="E987" s="8"/>
      <c r="F987" s="8"/>
    </row>
    <row r="988" ht="13.5" customHeight="1">
      <c r="A988" s="8" t="s">
        <v>1049</v>
      </c>
      <c r="B988" s="8">
        <v>46375.0</v>
      </c>
      <c r="C988" s="8"/>
      <c r="D988" s="8"/>
      <c r="E988" s="8"/>
      <c r="F988" s="8"/>
    </row>
    <row r="989" ht="13.5" customHeight="1">
      <c r="A989" s="8" t="s">
        <v>1032</v>
      </c>
      <c r="B989" s="8">
        <v>46885.0</v>
      </c>
      <c r="C989" s="8"/>
      <c r="D989" s="8"/>
      <c r="E989" s="8"/>
      <c r="F989" s="8"/>
    </row>
    <row r="990" ht="13.5" customHeight="1">
      <c r="A990" s="8" t="s">
        <v>1032</v>
      </c>
      <c r="B990" s="8">
        <v>46948.0</v>
      </c>
      <c r="C990" s="8"/>
      <c r="D990" s="8"/>
      <c r="E990" s="8"/>
      <c r="F990" s="8"/>
    </row>
    <row r="991" ht="13.5" customHeight="1">
      <c r="A991" s="8" t="s">
        <v>1001</v>
      </c>
      <c r="B991" s="8">
        <v>47267.0</v>
      </c>
      <c r="C991" s="8"/>
      <c r="D991" s="8"/>
      <c r="E991" s="8"/>
      <c r="F991" s="8"/>
    </row>
    <row r="992" ht="13.5" customHeight="1">
      <c r="A992" s="8" t="s">
        <v>999</v>
      </c>
      <c r="B992" s="8">
        <v>47333.0</v>
      </c>
      <c r="C992" s="8"/>
      <c r="D992" s="8"/>
      <c r="E992" s="8"/>
      <c r="F992" s="8"/>
    </row>
    <row r="993" ht="13.5" customHeight="1">
      <c r="A993" s="8" t="s">
        <v>1042</v>
      </c>
      <c r="B993" s="8">
        <v>48167.0</v>
      </c>
      <c r="C993" s="8"/>
      <c r="D993" s="8"/>
      <c r="E993" s="8"/>
      <c r="F993" s="8"/>
    </row>
    <row r="994" ht="13.5" customHeight="1">
      <c r="A994" s="8" t="s">
        <v>1042</v>
      </c>
      <c r="B994" s="8">
        <v>48230.0</v>
      </c>
      <c r="C994" s="8"/>
      <c r="D994" s="8"/>
      <c r="E994" s="8"/>
      <c r="F994" s="8"/>
    </row>
    <row r="995" ht="13.5" customHeight="1">
      <c r="A995" s="8" t="s">
        <v>1010</v>
      </c>
      <c r="B995" s="8">
        <v>48480.0</v>
      </c>
      <c r="C995" s="8"/>
      <c r="D995" s="8"/>
      <c r="E995" s="8"/>
      <c r="F995" s="8"/>
    </row>
    <row r="996" ht="13.5" customHeight="1">
      <c r="A996" s="8" t="s">
        <v>1062</v>
      </c>
      <c r="B996" s="8">
        <v>48614.0</v>
      </c>
      <c r="C996" s="8"/>
      <c r="D996" s="8"/>
      <c r="E996" s="8"/>
      <c r="F996" s="8"/>
    </row>
    <row r="997" ht="13.5" customHeight="1">
      <c r="A997" s="8" t="s">
        <v>1072</v>
      </c>
      <c r="B997" s="8">
        <v>48772.0</v>
      </c>
      <c r="C997" s="8"/>
      <c r="D997" s="8"/>
      <c r="E997" s="8"/>
      <c r="F997" s="8"/>
    </row>
    <row r="998" ht="13.5" customHeight="1">
      <c r="A998" s="8" t="s">
        <v>1049</v>
      </c>
      <c r="B998" s="8">
        <v>48800.0</v>
      </c>
      <c r="C998" s="8"/>
      <c r="D998" s="8"/>
      <c r="E998" s="8"/>
      <c r="F998" s="8"/>
    </row>
    <row r="999" ht="13.5" customHeight="1">
      <c r="A999" s="8" t="s">
        <v>1033</v>
      </c>
      <c r="B999" s="8">
        <v>48931.0</v>
      </c>
      <c r="C999" s="8"/>
      <c r="D999" s="8"/>
      <c r="E999" s="8"/>
      <c r="F999" s="8"/>
    </row>
    <row r="1000" ht="13.5" customHeight="1">
      <c r="A1000" s="8" t="s">
        <v>910</v>
      </c>
      <c r="B1000" s="8">
        <v>49126.0</v>
      </c>
      <c r="C1000" s="8"/>
      <c r="D1000" s="8"/>
      <c r="E1000" s="8"/>
      <c r="F1000" s="8"/>
    </row>
    <row r="1001" ht="13.5" customHeight="1">
      <c r="A1001" s="8" t="s">
        <v>1018</v>
      </c>
      <c r="B1001" s="8">
        <v>49283.0</v>
      </c>
      <c r="C1001" s="8"/>
      <c r="D1001" s="8"/>
      <c r="E1001" s="8"/>
      <c r="F1001" s="8"/>
    </row>
    <row r="1002" ht="13.5" customHeight="1">
      <c r="A1002" s="8" t="s">
        <v>1056</v>
      </c>
      <c r="B1002" s="8">
        <v>49441.0</v>
      </c>
      <c r="C1002" s="8"/>
      <c r="D1002" s="8"/>
      <c r="E1002" s="8"/>
      <c r="F1002" s="8"/>
    </row>
    <row r="1003" ht="13.5" customHeight="1">
      <c r="A1003" s="8" t="s">
        <v>910</v>
      </c>
      <c r="B1003" s="8">
        <v>49601.0</v>
      </c>
      <c r="C1003" s="8"/>
      <c r="D1003" s="8"/>
      <c r="E1003" s="8"/>
      <c r="F1003" s="8"/>
    </row>
    <row r="1004" ht="13.5" customHeight="1">
      <c r="A1004" s="8" t="s">
        <v>1027</v>
      </c>
      <c r="B1004" s="8">
        <v>49763.0</v>
      </c>
      <c r="C1004" s="8"/>
      <c r="D1004" s="8"/>
      <c r="E1004" s="8"/>
      <c r="F1004" s="8"/>
    </row>
    <row r="1005" ht="13.5" customHeight="1">
      <c r="A1005" s="8" t="s">
        <v>1049</v>
      </c>
      <c r="B1005" s="8">
        <v>49927.0</v>
      </c>
      <c r="C1005" s="8"/>
      <c r="D1005" s="8"/>
      <c r="E1005" s="8"/>
      <c r="F1005" s="8"/>
    </row>
    <row r="1006" ht="13.5" customHeight="1">
      <c r="A1006" s="8" t="s">
        <v>1015</v>
      </c>
      <c r="B1006" s="8">
        <v>50048.0</v>
      </c>
      <c r="C1006" s="8"/>
      <c r="D1006" s="8"/>
      <c r="E1006" s="8"/>
      <c r="F1006" s="8"/>
    </row>
    <row r="1007" ht="13.5" customHeight="1">
      <c r="A1007" s="8" t="s">
        <v>1038</v>
      </c>
      <c r="B1007" s="8">
        <v>50499.0</v>
      </c>
      <c r="C1007" s="8"/>
      <c r="D1007" s="8"/>
      <c r="E1007" s="8"/>
      <c r="F1007" s="8"/>
    </row>
    <row r="1008" ht="13.5" customHeight="1">
      <c r="A1008" s="8" t="s">
        <v>1046</v>
      </c>
      <c r="B1008" s="8">
        <v>51041.0</v>
      </c>
      <c r="C1008" s="8"/>
      <c r="D1008" s="8"/>
      <c r="E1008" s="8"/>
      <c r="F1008" s="8"/>
    </row>
    <row r="1009" ht="13.5" customHeight="1">
      <c r="A1009" s="8" t="s">
        <v>998</v>
      </c>
      <c r="B1009" s="8">
        <v>51328.0</v>
      </c>
      <c r="C1009" s="8"/>
      <c r="D1009" s="8"/>
      <c r="E1009" s="8"/>
      <c r="F1009" s="8"/>
    </row>
    <row r="1010" ht="13.5" customHeight="1">
      <c r="A1010" s="8" t="s">
        <v>1001</v>
      </c>
      <c r="B1010" s="8">
        <v>51333.0</v>
      </c>
      <c r="C1010" s="8"/>
      <c r="D1010" s="8"/>
      <c r="E1010" s="8"/>
      <c r="F1010" s="8"/>
    </row>
    <row r="1011" ht="13.5" customHeight="1">
      <c r="A1011" s="8" t="s">
        <v>1001</v>
      </c>
      <c r="B1011" s="8">
        <v>51365.0</v>
      </c>
      <c r="C1011" s="8"/>
      <c r="D1011" s="8"/>
      <c r="E1011" s="8"/>
      <c r="F1011" s="8"/>
    </row>
    <row r="1012" ht="13.5" customHeight="1">
      <c r="A1012" s="8" t="s">
        <v>1032</v>
      </c>
      <c r="B1012" s="8">
        <v>51777.0</v>
      </c>
      <c r="C1012" s="8"/>
      <c r="D1012" s="8"/>
      <c r="E1012" s="8"/>
      <c r="F1012" s="8"/>
    </row>
    <row r="1013" ht="13.5" customHeight="1">
      <c r="A1013" s="8" t="s">
        <v>1006</v>
      </c>
      <c r="B1013" s="8">
        <v>51814.0</v>
      </c>
      <c r="C1013" s="8"/>
      <c r="D1013" s="8"/>
      <c r="E1013" s="8"/>
      <c r="F1013" s="8"/>
    </row>
    <row r="1014" ht="13.5" customHeight="1">
      <c r="A1014" s="8" t="s">
        <v>1006</v>
      </c>
      <c r="B1014" s="8">
        <v>51975.0</v>
      </c>
      <c r="C1014" s="8"/>
      <c r="D1014" s="8"/>
      <c r="E1014" s="8"/>
      <c r="F1014" s="8"/>
    </row>
    <row r="1015" ht="13.5" customHeight="1">
      <c r="A1015" s="8" t="s">
        <v>1042</v>
      </c>
      <c r="B1015" s="8">
        <v>52225.0</v>
      </c>
      <c r="C1015" s="8"/>
      <c r="D1015" s="8"/>
      <c r="E1015" s="8"/>
      <c r="F1015" s="8"/>
    </row>
    <row r="1016" ht="13.5" customHeight="1">
      <c r="A1016" s="8" t="s">
        <v>1062</v>
      </c>
      <c r="B1016" s="8">
        <v>52487.0</v>
      </c>
      <c r="C1016" s="8"/>
      <c r="D1016" s="8"/>
      <c r="E1016" s="8"/>
      <c r="F1016" s="8"/>
    </row>
    <row r="1017" ht="13.5" customHeight="1">
      <c r="A1017" s="8" t="s">
        <v>1028</v>
      </c>
      <c r="B1017" s="8">
        <v>52868.0</v>
      </c>
      <c r="C1017" s="8"/>
      <c r="D1017" s="8"/>
      <c r="E1017" s="8"/>
      <c r="F1017" s="8"/>
    </row>
    <row r="1018" ht="13.5" customHeight="1">
      <c r="A1018" s="8" t="s">
        <v>1002</v>
      </c>
      <c r="B1018" s="8">
        <v>53221.0</v>
      </c>
      <c r="C1018" s="8"/>
      <c r="D1018" s="8"/>
      <c r="E1018" s="8"/>
      <c r="F1018" s="8"/>
    </row>
    <row r="1019" ht="13.5" customHeight="1">
      <c r="A1019" s="8" t="s">
        <v>1040</v>
      </c>
      <c r="B1019" s="8">
        <v>53600.0</v>
      </c>
      <c r="C1019" s="8"/>
      <c r="D1019" s="8"/>
      <c r="E1019" s="8"/>
      <c r="F1019" s="8"/>
    </row>
    <row r="1020" ht="13.5" customHeight="1">
      <c r="A1020" s="8" t="s">
        <v>1008</v>
      </c>
      <c r="B1020" s="8">
        <v>53667.0</v>
      </c>
      <c r="C1020" s="8"/>
      <c r="D1020" s="8"/>
      <c r="E1020" s="8"/>
      <c r="F1020" s="8"/>
    </row>
    <row r="1021" ht="13.5" customHeight="1">
      <c r="A1021" s="8" t="s">
        <v>1062</v>
      </c>
      <c r="B1021" s="8">
        <v>53891.0</v>
      </c>
      <c r="C1021" s="8"/>
      <c r="D1021" s="8"/>
      <c r="E1021" s="8"/>
      <c r="F1021" s="8"/>
    </row>
    <row r="1022" ht="13.5" customHeight="1">
      <c r="A1022" s="8" t="s">
        <v>996</v>
      </c>
      <c r="B1022" s="8">
        <v>53955.0</v>
      </c>
      <c r="C1022" s="8"/>
      <c r="D1022" s="8"/>
      <c r="E1022" s="8"/>
      <c r="F1022" s="8"/>
    </row>
    <row r="1023" ht="13.5" customHeight="1">
      <c r="A1023" s="8" t="s">
        <v>1053</v>
      </c>
      <c r="B1023" s="8">
        <v>54150.0</v>
      </c>
      <c r="C1023" s="8"/>
      <c r="D1023" s="8"/>
      <c r="E1023" s="8"/>
      <c r="F1023" s="8"/>
    </row>
    <row r="1024" ht="13.5" customHeight="1">
      <c r="A1024" s="8" t="s">
        <v>1005</v>
      </c>
      <c r="B1024" s="8">
        <v>55429.0</v>
      </c>
      <c r="C1024" s="8"/>
      <c r="D1024" s="8"/>
      <c r="E1024" s="8"/>
      <c r="F1024" s="8"/>
    </row>
    <row r="1025" ht="13.5" customHeight="1">
      <c r="A1025" s="8" t="s">
        <v>1018</v>
      </c>
      <c r="B1025" s="8">
        <v>55462.0</v>
      </c>
      <c r="C1025" s="8"/>
      <c r="D1025" s="8"/>
      <c r="E1025" s="8"/>
      <c r="F1025" s="8"/>
    </row>
    <row r="1026" ht="13.5" customHeight="1">
      <c r="A1026" s="8" t="s">
        <v>1027</v>
      </c>
      <c r="B1026" s="8">
        <v>55749.0</v>
      </c>
      <c r="C1026" s="8"/>
      <c r="D1026" s="8"/>
      <c r="E1026" s="8"/>
      <c r="F1026" s="8"/>
    </row>
    <row r="1027" ht="13.5" customHeight="1">
      <c r="A1027" s="8" t="s">
        <v>1053</v>
      </c>
      <c r="B1027" s="8">
        <v>55873.0</v>
      </c>
      <c r="C1027" s="8"/>
      <c r="D1027" s="8"/>
      <c r="E1027" s="8"/>
      <c r="F1027" s="8"/>
    </row>
    <row r="1028" ht="13.5" customHeight="1">
      <c r="A1028" s="8" t="s">
        <v>1001</v>
      </c>
      <c r="B1028" s="8">
        <v>56135.0</v>
      </c>
      <c r="C1028" s="8"/>
      <c r="D1028" s="8"/>
      <c r="E1028" s="8"/>
      <c r="F1028" s="8"/>
    </row>
    <row r="1029" ht="13.5" customHeight="1">
      <c r="A1029" s="8" t="s">
        <v>1002</v>
      </c>
      <c r="B1029" s="8">
        <v>56708.0</v>
      </c>
      <c r="C1029" s="8"/>
      <c r="D1029" s="8"/>
      <c r="E1029" s="8"/>
      <c r="F1029" s="8"/>
    </row>
    <row r="1030" ht="13.5" customHeight="1">
      <c r="A1030" s="8" t="s">
        <v>818</v>
      </c>
      <c r="B1030" s="8">
        <v>57986.0</v>
      </c>
      <c r="C1030" s="8"/>
      <c r="D1030" s="8"/>
      <c r="E1030" s="8"/>
      <c r="F1030" s="8"/>
    </row>
    <row r="1031" ht="13.5" customHeight="1">
      <c r="A1031" s="8" t="s">
        <v>1056</v>
      </c>
      <c r="B1031" s="8">
        <v>58310.0</v>
      </c>
      <c r="C1031" s="8"/>
      <c r="D1031" s="8"/>
      <c r="E1031" s="8"/>
      <c r="F1031" s="8"/>
    </row>
    <row r="1032" ht="13.5" customHeight="1">
      <c r="A1032" s="8" t="s">
        <v>1088</v>
      </c>
      <c r="B1032" s="8">
        <v>58725.0</v>
      </c>
      <c r="C1032" s="8"/>
      <c r="D1032" s="8"/>
      <c r="E1032" s="8"/>
      <c r="F1032" s="8"/>
    </row>
    <row r="1033" ht="13.5" customHeight="1">
      <c r="A1033" s="8" t="s">
        <v>1089</v>
      </c>
      <c r="B1033" s="8">
        <v>902.0</v>
      </c>
      <c r="C1033" s="8"/>
      <c r="D1033" s="8"/>
      <c r="E1033" s="8"/>
      <c r="F1033" s="8"/>
    </row>
    <row r="1034" ht="13.5" customHeight="1">
      <c r="A1034" s="8" t="s">
        <v>1090</v>
      </c>
      <c r="B1034" s="8">
        <v>2147.0</v>
      </c>
      <c r="C1034" s="8"/>
      <c r="D1034" s="8"/>
      <c r="E1034" s="8"/>
      <c r="F1034" s="8"/>
    </row>
    <row r="1035" ht="13.5" customHeight="1">
      <c r="A1035" s="8" t="s">
        <v>1091</v>
      </c>
      <c r="B1035" s="8">
        <v>2306.0</v>
      </c>
      <c r="C1035" s="8"/>
      <c r="D1035" s="8"/>
      <c r="E1035" s="8"/>
      <c r="F1035" s="8"/>
    </row>
    <row r="1036" ht="13.5" customHeight="1">
      <c r="A1036" s="8" t="s">
        <v>1093</v>
      </c>
      <c r="B1036" s="8">
        <v>2823.0</v>
      </c>
      <c r="C1036" s="8"/>
      <c r="D1036" s="8"/>
      <c r="E1036" s="8"/>
      <c r="F1036" s="8"/>
    </row>
    <row r="1037" ht="13.5" customHeight="1">
      <c r="A1037" s="8" t="s">
        <v>1094</v>
      </c>
      <c r="B1037" s="8">
        <v>3110.0</v>
      </c>
      <c r="C1037" s="8"/>
      <c r="D1037" s="8"/>
      <c r="E1037" s="8"/>
      <c r="F1037" s="8"/>
    </row>
    <row r="1038" ht="13.5" customHeight="1">
      <c r="A1038" s="8" t="s">
        <v>1096</v>
      </c>
      <c r="B1038" s="8">
        <v>3463.0</v>
      </c>
      <c r="C1038" s="8"/>
      <c r="D1038" s="8"/>
      <c r="E1038" s="8"/>
      <c r="F1038" s="8"/>
    </row>
    <row r="1039" ht="13.5" customHeight="1">
      <c r="A1039" s="8" t="s">
        <v>1098</v>
      </c>
      <c r="B1039" s="8">
        <v>4034.0</v>
      </c>
      <c r="C1039" s="8"/>
      <c r="D1039" s="8"/>
      <c r="E1039" s="8"/>
      <c r="F1039" s="8"/>
    </row>
    <row r="1040" ht="13.5" customHeight="1">
      <c r="A1040" s="8" t="s">
        <v>1099</v>
      </c>
      <c r="B1040" s="8">
        <v>4037.0</v>
      </c>
      <c r="C1040" s="8"/>
      <c r="D1040" s="8"/>
      <c r="E1040" s="8"/>
      <c r="F1040" s="8"/>
    </row>
    <row r="1041" ht="13.5" customHeight="1">
      <c r="A1041" s="8" t="s">
        <v>1096</v>
      </c>
      <c r="B1041" s="8">
        <v>5538.0</v>
      </c>
      <c r="C1041" s="8"/>
      <c r="D1041" s="8"/>
      <c r="E1041" s="8"/>
      <c r="F1041" s="8"/>
    </row>
    <row r="1042" ht="13.5" customHeight="1">
      <c r="A1042" s="8" t="s">
        <v>1102</v>
      </c>
      <c r="B1042" s="8">
        <v>5863.0</v>
      </c>
      <c r="C1042" s="8"/>
      <c r="D1042" s="8"/>
      <c r="E1042" s="8"/>
      <c r="F1042" s="8"/>
    </row>
    <row r="1043" ht="13.5" customHeight="1">
      <c r="A1043" s="8" t="s">
        <v>1094</v>
      </c>
      <c r="B1043" s="8">
        <v>7175.0</v>
      </c>
      <c r="C1043" s="8"/>
      <c r="D1043" s="8"/>
      <c r="E1043" s="8"/>
      <c r="F1043" s="8"/>
    </row>
    <row r="1044" ht="13.5" customHeight="1">
      <c r="A1044" s="8" t="s">
        <v>1103</v>
      </c>
      <c r="B1044" s="8">
        <v>7364.0</v>
      </c>
      <c r="C1044" s="8"/>
      <c r="D1044" s="8"/>
      <c r="E1044" s="8"/>
      <c r="F1044" s="8"/>
    </row>
    <row r="1045" ht="13.5" customHeight="1">
      <c r="A1045" s="8" t="s">
        <v>1089</v>
      </c>
      <c r="B1045" s="8">
        <v>7878.0</v>
      </c>
      <c r="C1045" s="8"/>
      <c r="D1045" s="8"/>
      <c r="E1045" s="8"/>
      <c r="F1045" s="8"/>
    </row>
    <row r="1046" ht="13.5" customHeight="1">
      <c r="A1046" s="8" t="s">
        <v>1089</v>
      </c>
      <c r="B1046" s="8">
        <v>8551.0</v>
      </c>
      <c r="C1046" s="8"/>
      <c r="D1046" s="8"/>
      <c r="E1046" s="8"/>
      <c r="F1046" s="8"/>
    </row>
    <row r="1047" ht="13.5" customHeight="1">
      <c r="A1047" s="8" t="s">
        <v>1106</v>
      </c>
      <c r="B1047" s="8">
        <v>8834.0</v>
      </c>
      <c r="C1047" s="8"/>
      <c r="D1047" s="8"/>
      <c r="E1047" s="8"/>
      <c r="F1047" s="8"/>
    </row>
    <row r="1048" ht="13.5" customHeight="1">
      <c r="A1048" s="8" t="s">
        <v>1106</v>
      </c>
      <c r="B1048" s="8">
        <v>9155.0</v>
      </c>
      <c r="C1048" s="8"/>
      <c r="D1048" s="8"/>
      <c r="E1048" s="8"/>
      <c r="F1048" s="8"/>
    </row>
    <row r="1049" ht="13.5" customHeight="1">
      <c r="A1049" s="8" t="s">
        <v>1098</v>
      </c>
      <c r="B1049" s="8">
        <v>9668.0</v>
      </c>
      <c r="C1049" s="8"/>
      <c r="D1049" s="8"/>
      <c r="E1049" s="8"/>
      <c r="F1049" s="8"/>
    </row>
    <row r="1050" ht="13.5" customHeight="1">
      <c r="A1050" s="8" t="s">
        <v>1108</v>
      </c>
      <c r="B1050" s="8">
        <v>10242.0</v>
      </c>
      <c r="C1050" s="8"/>
      <c r="D1050" s="8"/>
      <c r="E1050" s="8"/>
      <c r="F1050" s="8"/>
    </row>
    <row r="1051" ht="13.5" customHeight="1">
      <c r="A1051" s="8" t="s">
        <v>1106</v>
      </c>
      <c r="B1051" s="8">
        <v>12292.0</v>
      </c>
      <c r="C1051" s="8"/>
      <c r="D1051" s="8"/>
      <c r="E1051" s="8"/>
      <c r="F1051" s="8"/>
    </row>
    <row r="1052" ht="13.5" customHeight="1">
      <c r="A1052" s="8" t="s">
        <v>1099</v>
      </c>
      <c r="B1052" s="8">
        <v>14503.0</v>
      </c>
      <c r="C1052" s="8"/>
      <c r="D1052" s="8"/>
      <c r="E1052" s="8"/>
      <c r="F1052" s="8"/>
    </row>
    <row r="1053" ht="13.5" customHeight="1">
      <c r="A1053" s="8" t="s">
        <v>1108</v>
      </c>
      <c r="B1053" s="8">
        <v>15109.0</v>
      </c>
      <c r="C1053" s="8"/>
      <c r="D1053" s="8"/>
      <c r="E1053" s="8"/>
      <c r="F1053" s="8"/>
    </row>
    <row r="1054" ht="13.5" customHeight="1">
      <c r="A1054" s="8" t="s">
        <v>1089</v>
      </c>
      <c r="B1054" s="8">
        <v>15142.0</v>
      </c>
      <c r="C1054" s="8"/>
      <c r="D1054" s="8"/>
      <c r="E1054" s="8"/>
      <c r="F1054" s="8"/>
    </row>
    <row r="1055" ht="13.5" customHeight="1">
      <c r="A1055" s="8" t="s">
        <v>1108</v>
      </c>
      <c r="B1055" s="8">
        <v>15332.0</v>
      </c>
      <c r="C1055" s="8"/>
      <c r="D1055" s="8"/>
      <c r="E1055" s="8"/>
      <c r="F1055" s="8"/>
    </row>
    <row r="1056" ht="13.5" customHeight="1">
      <c r="A1056" s="8" t="s">
        <v>1094</v>
      </c>
      <c r="B1056" s="8">
        <v>15872.0</v>
      </c>
      <c r="C1056" s="8"/>
      <c r="D1056" s="8"/>
      <c r="E1056" s="8"/>
      <c r="F1056" s="8"/>
    </row>
    <row r="1057" ht="13.5" customHeight="1">
      <c r="A1057" s="8" t="s">
        <v>1112</v>
      </c>
      <c r="B1057" s="8">
        <v>16032.0</v>
      </c>
      <c r="C1057" s="8"/>
      <c r="D1057" s="8"/>
      <c r="E1057" s="8"/>
      <c r="F1057" s="8"/>
    </row>
    <row r="1058" ht="13.5" customHeight="1">
      <c r="A1058" s="8" t="s">
        <v>1090</v>
      </c>
      <c r="B1058" s="8">
        <v>16165.0</v>
      </c>
      <c r="C1058" s="8"/>
      <c r="D1058" s="8"/>
      <c r="E1058" s="8"/>
      <c r="F1058" s="8"/>
    </row>
    <row r="1059" ht="13.5" customHeight="1">
      <c r="A1059" s="8" t="s">
        <v>1091</v>
      </c>
      <c r="B1059" s="8">
        <v>17632.0</v>
      </c>
      <c r="C1059" s="8"/>
      <c r="D1059" s="8"/>
      <c r="E1059" s="8"/>
      <c r="F1059" s="8"/>
    </row>
    <row r="1060" ht="13.5" customHeight="1">
      <c r="A1060" s="8" t="s">
        <v>1115</v>
      </c>
      <c r="B1060" s="8">
        <v>19492.0</v>
      </c>
      <c r="C1060" s="8"/>
      <c r="D1060" s="8"/>
      <c r="E1060" s="8"/>
      <c r="F1060" s="8"/>
    </row>
    <row r="1061" ht="13.5" customHeight="1">
      <c r="A1061" s="8" t="s">
        <v>1098</v>
      </c>
      <c r="B1061" s="8">
        <v>20102.0</v>
      </c>
      <c r="C1061" s="8"/>
      <c r="D1061" s="8"/>
      <c r="E1061" s="8"/>
      <c r="F1061" s="8"/>
    </row>
    <row r="1062" ht="13.5" customHeight="1">
      <c r="A1062" s="8" t="s">
        <v>1098</v>
      </c>
      <c r="B1062" s="8">
        <v>21863.0</v>
      </c>
      <c r="C1062" s="8"/>
      <c r="D1062" s="8"/>
      <c r="E1062" s="8"/>
      <c r="F1062" s="8"/>
    </row>
    <row r="1063" ht="13.5" customHeight="1">
      <c r="A1063" s="8" t="s">
        <v>1118</v>
      </c>
      <c r="B1063" s="8">
        <v>21894.0</v>
      </c>
      <c r="C1063" s="8"/>
      <c r="D1063" s="8"/>
      <c r="E1063" s="8"/>
      <c r="F1063" s="8"/>
    </row>
    <row r="1064" ht="13.5" customHeight="1">
      <c r="A1064" s="8" t="s">
        <v>1090</v>
      </c>
      <c r="B1064" s="8">
        <v>22022.0</v>
      </c>
      <c r="C1064" s="8"/>
      <c r="D1064" s="8"/>
      <c r="E1064" s="8"/>
      <c r="F1064" s="8"/>
    </row>
    <row r="1065" ht="13.5" customHeight="1">
      <c r="A1065" s="8" t="s">
        <v>1108</v>
      </c>
      <c r="B1065" s="8">
        <v>22663.0</v>
      </c>
      <c r="C1065" s="8"/>
      <c r="D1065" s="8"/>
      <c r="E1065" s="8"/>
      <c r="F1065" s="8"/>
    </row>
    <row r="1066" ht="13.5" customHeight="1">
      <c r="A1066" s="8" t="s">
        <v>1118</v>
      </c>
      <c r="B1066" s="8">
        <v>23713.0</v>
      </c>
      <c r="C1066" s="8"/>
      <c r="D1066" s="8"/>
      <c r="E1066" s="8"/>
      <c r="F1066" s="8"/>
    </row>
    <row r="1067" ht="13.5" customHeight="1">
      <c r="A1067" s="8" t="s">
        <v>1098</v>
      </c>
      <c r="B1067" s="8">
        <v>24358.0</v>
      </c>
      <c r="C1067" s="8"/>
      <c r="D1067" s="8"/>
      <c r="E1067" s="8"/>
      <c r="F1067" s="8"/>
    </row>
    <row r="1068" ht="13.5" customHeight="1">
      <c r="A1068" s="8" t="s">
        <v>1099</v>
      </c>
      <c r="B1068" s="8">
        <v>24386.0</v>
      </c>
      <c r="C1068" s="8"/>
      <c r="D1068" s="8"/>
      <c r="E1068" s="8"/>
      <c r="F1068" s="8"/>
    </row>
    <row r="1069" ht="13.5" customHeight="1">
      <c r="A1069" s="8" t="s">
        <v>1108</v>
      </c>
      <c r="B1069" s="8">
        <v>24899.0</v>
      </c>
      <c r="C1069" s="8"/>
      <c r="D1069" s="8"/>
      <c r="E1069" s="8"/>
      <c r="F1069" s="8"/>
    </row>
    <row r="1070" ht="13.5" customHeight="1">
      <c r="A1070" s="8" t="s">
        <v>1103</v>
      </c>
      <c r="B1070" s="8">
        <v>25473.0</v>
      </c>
      <c r="C1070" s="8"/>
      <c r="D1070" s="8"/>
      <c r="E1070" s="8"/>
      <c r="F1070" s="8"/>
    </row>
    <row r="1071" ht="13.5" customHeight="1">
      <c r="A1071" s="8" t="s">
        <v>1121</v>
      </c>
      <c r="B1071" s="8">
        <v>25638.0</v>
      </c>
      <c r="C1071" s="8"/>
      <c r="D1071" s="8"/>
      <c r="E1071" s="8"/>
      <c r="F1071" s="8"/>
    </row>
    <row r="1072" ht="13.5" customHeight="1">
      <c r="A1072" s="8" t="s">
        <v>1106</v>
      </c>
      <c r="B1072" s="8">
        <v>26016.0</v>
      </c>
      <c r="C1072" s="8"/>
      <c r="D1072" s="8"/>
      <c r="E1072" s="8"/>
      <c r="F1072" s="8"/>
    </row>
    <row r="1073" ht="13.5" customHeight="1">
      <c r="A1073" s="8" t="s">
        <v>1091</v>
      </c>
      <c r="B1073" s="8">
        <v>26691.0</v>
      </c>
      <c r="C1073" s="8"/>
      <c r="D1073" s="8"/>
      <c r="E1073" s="8"/>
      <c r="F1073" s="8"/>
    </row>
    <row r="1074" ht="13.5" customHeight="1">
      <c r="A1074" s="8" t="s">
        <v>1108</v>
      </c>
      <c r="B1074" s="8">
        <v>27015.0</v>
      </c>
      <c r="C1074" s="8"/>
      <c r="D1074" s="8"/>
      <c r="E1074" s="8"/>
      <c r="F1074" s="8"/>
    </row>
    <row r="1075" ht="13.5" customHeight="1">
      <c r="A1075" s="8" t="s">
        <v>1108</v>
      </c>
      <c r="B1075" s="8">
        <v>27840.0</v>
      </c>
      <c r="C1075" s="8"/>
      <c r="D1075" s="8"/>
      <c r="E1075" s="8"/>
      <c r="F1075" s="8"/>
    </row>
    <row r="1076" ht="13.5" customHeight="1">
      <c r="A1076" s="8" t="s">
        <v>1102</v>
      </c>
      <c r="B1076" s="8">
        <v>28130.0</v>
      </c>
      <c r="C1076" s="8"/>
      <c r="D1076" s="8"/>
      <c r="E1076" s="8"/>
      <c r="F1076" s="8"/>
    </row>
    <row r="1077" ht="13.5" customHeight="1">
      <c r="A1077" s="8" t="s">
        <v>1108</v>
      </c>
      <c r="B1077" s="8">
        <v>28290.0</v>
      </c>
      <c r="C1077" s="8"/>
      <c r="D1077" s="8"/>
      <c r="E1077" s="8"/>
      <c r="F1077" s="8"/>
    </row>
    <row r="1078" ht="13.5" customHeight="1">
      <c r="A1078" s="8" t="s">
        <v>1099</v>
      </c>
      <c r="B1078" s="8">
        <v>29927.0</v>
      </c>
      <c r="C1078" s="8"/>
      <c r="D1078" s="8"/>
      <c r="E1078" s="8"/>
      <c r="F1078" s="8"/>
    </row>
    <row r="1079" ht="13.5" customHeight="1">
      <c r="A1079" s="8" t="s">
        <v>1112</v>
      </c>
      <c r="B1079" s="8">
        <v>29953.0</v>
      </c>
      <c r="C1079" s="8"/>
      <c r="D1079" s="8"/>
      <c r="E1079" s="8"/>
      <c r="F1079" s="8"/>
    </row>
    <row r="1080" ht="13.5" customHeight="1">
      <c r="A1080" s="8" t="s">
        <v>1126</v>
      </c>
      <c r="B1080" s="8">
        <v>31238.0</v>
      </c>
      <c r="C1080" s="8"/>
      <c r="D1080" s="8"/>
      <c r="E1080" s="8"/>
      <c r="F1080" s="8"/>
    </row>
    <row r="1081" ht="13.5" customHeight="1">
      <c r="A1081" s="8" t="s">
        <v>719</v>
      </c>
      <c r="B1081" s="8">
        <v>32067.0</v>
      </c>
      <c r="C1081" s="8"/>
      <c r="D1081" s="8"/>
      <c r="E1081" s="8"/>
      <c r="F1081" s="8"/>
    </row>
    <row r="1082" ht="13.5" customHeight="1">
      <c r="A1082" s="8" t="s">
        <v>1126</v>
      </c>
      <c r="B1082" s="8">
        <v>32198.0</v>
      </c>
      <c r="C1082" s="8"/>
      <c r="D1082" s="8"/>
      <c r="E1082" s="8"/>
      <c r="F1082" s="8"/>
    </row>
    <row r="1083" ht="13.5" customHeight="1">
      <c r="A1083" s="8" t="s">
        <v>1106</v>
      </c>
      <c r="B1083" s="8">
        <v>32231.0</v>
      </c>
      <c r="C1083" s="8"/>
      <c r="D1083" s="8"/>
      <c r="E1083" s="8"/>
      <c r="F1083" s="8"/>
    </row>
    <row r="1084" ht="13.5" customHeight="1">
      <c r="A1084" s="8" t="s">
        <v>1126</v>
      </c>
      <c r="B1084" s="8">
        <v>32452.0</v>
      </c>
      <c r="C1084" s="8"/>
      <c r="D1084" s="8"/>
      <c r="E1084" s="8"/>
      <c r="F1084" s="8"/>
    </row>
    <row r="1085" ht="13.5" customHeight="1">
      <c r="A1085" s="8" t="s">
        <v>1102</v>
      </c>
      <c r="B1085" s="8">
        <v>32998.0</v>
      </c>
      <c r="C1085" s="8"/>
      <c r="D1085" s="8"/>
      <c r="E1085" s="8"/>
      <c r="F1085" s="8"/>
    </row>
    <row r="1086" ht="13.5" customHeight="1">
      <c r="A1086" s="8" t="s">
        <v>1093</v>
      </c>
      <c r="B1086" s="8">
        <v>33091.0</v>
      </c>
      <c r="C1086" s="8"/>
      <c r="D1086" s="8"/>
      <c r="E1086" s="8"/>
      <c r="F1086" s="8"/>
    </row>
    <row r="1087" ht="13.5" customHeight="1">
      <c r="A1087" s="8" t="s">
        <v>1102</v>
      </c>
      <c r="B1087" s="8">
        <v>33250.0</v>
      </c>
      <c r="C1087" s="8"/>
      <c r="D1087" s="8"/>
      <c r="E1087" s="8"/>
      <c r="F1087" s="8"/>
    </row>
    <row r="1088" ht="13.5" customHeight="1">
      <c r="A1088" s="8" t="s">
        <v>1126</v>
      </c>
      <c r="B1088" s="8">
        <v>33378.0</v>
      </c>
      <c r="C1088" s="8"/>
      <c r="D1088" s="8"/>
      <c r="E1088" s="8"/>
      <c r="F1088" s="8"/>
    </row>
    <row r="1089" ht="13.5" customHeight="1">
      <c r="A1089" s="8" t="s">
        <v>719</v>
      </c>
      <c r="B1089" s="8">
        <v>33889.0</v>
      </c>
      <c r="C1089" s="8"/>
      <c r="D1089" s="8"/>
      <c r="E1089" s="8"/>
      <c r="F1089" s="8"/>
    </row>
    <row r="1090" ht="13.5" customHeight="1">
      <c r="A1090" s="8" t="s">
        <v>1118</v>
      </c>
      <c r="B1090" s="8">
        <v>34567.0</v>
      </c>
      <c r="C1090" s="8"/>
      <c r="D1090" s="8"/>
      <c r="E1090" s="8"/>
      <c r="F1090" s="8"/>
    </row>
    <row r="1091" ht="13.5" customHeight="1">
      <c r="A1091" s="8" t="s">
        <v>1089</v>
      </c>
      <c r="B1091" s="8">
        <v>36163.0</v>
      </c>
      <c r="C1091" s="8"/>
      <c r="D1091" s="8"/>
      <c r="E1091" s="8"/>
      <c r="F1091" s="8"/>
    </row>
    <row r="1092" ht="13.5" customHeight="1">
      <c r="A1092" s="8" t="s">
        <v>1099</v>
      </c>
      <c r="B1092" s="8">
        <v>36449.0</v>
      </c>
      <c r="C1092" s="8"/>
      <c r="D1092" s="8"/>
      <c r="E1092" s="8"/>
      <c r="F1092" s="8"/>
    </row>
    <row r="1093" ht="13.5" customHeight="1">
      <c r="A1093" s="8" t="s">
        <v>1098</v>
      </c>
      <c r="B1093" s="8">
        <v>36675.0</v>
      </c>
      <c r="C1093" s="8"/>
      <c r="D1093" s="8"/>
      <c r="E1093" s="8"/>
      <c r="F1093" s="8"/>
    </row>
    <row r="1094" ht="13.5" customHeight="1">
      <c r="A1094" s="8" t="s">
        <v>1102</v>
      </c>
      <c r="B1094" s="8">
        <v>37862.0</v>
      </c>
      <c r="C1094" s="8"/>
      <c r="D1094" s="8"/>
      <c r="E1094" s="8"/>
      <c r="F1094" s="8"/>
    </row>
    <row r="1095" ht="13.5" customHeight="1">
      <c r="A1095" s="8" t="s">
        <v>1106</v>
      </c>
      <c r="B1095" s="8">
        <v>38240.0</v>
      </c>
      <c r="C1095" s="8"/>
      <c r="D1095" s="8"/>
      <c r="E1095" s="8"/>
      <c r="F1095" s="8"/>
    </row>
    <row r="1096" ht="13.5" customHeight="1">
      <c r="A1096" s="8" t="s">
        <v>1131</v>
      </c>
      <c r="B1096" s="8">
        <v>38693.0</v>
      </c>
      <c r="C1096" s="8"/>
      <c r="D1096" s="8"/>
      <c r="E1096" s="8"/>
      <c r="F1096" s="8"/>
    </row>
    <row r="1097" ht="13.5" customHeight="1">
      <c r="A1097" s="8" t="s">
        <v>1126</v>
      </c>
      <c r="B1097" s="8">
        <v>38917.0</v>
      </c>
      <c r="C1097" s="8"/>
      <c r="D1097" s="8"/>
      <c r="E1097" s="8"/>
      <c r="F1097" s="8"/>
    </row>
    <row r="1098" ht="13.5" customHeight="1">
      <c r="A1098" s="8" t="s">
        <v>1131</v>
      </c>
      <c r="B1098" s="8">
        <v>39015.0</v>
      </c>
      <c r="C1098" s="8"/>
      <c r="D1098" s="8"/>
      <c r="E1098" s="8"/>
      <c r="F1098" s="8"/>
    </row>
    <row r="1099" ht="13.5" customHeight="1">
      <c r="A1099" s="8" t="s">
        <v>1133</v>
      </c>
      <c r="B1099" s="8">
        <v>39265.0</v>
      </c>
      <c r="C1099" s="8"/>
      <c r="D1099" s="8"/>
      <c r="E1099" s="8"/>
      <c r="F1099" s="8"/>
    </row>
    <row r="1100" ht="13.5" customHeight="1">
      <c r="A1100" s="8" t="s">
        <v>1103</v>
      </c>
      <c r="B1100" s="8">
        <v>40962.0</v>
      </c>
      <c r="C1100" s="8"/>
      <c r="D1100" s="8"/>
      <c r="E1100" s="8"/>
      <c r="F1100" s="8"/>
    </row>
    <row r="1101" ht="13.5" customHeight="1">
      <c r="A1101" s="8" t="s">
        <v>1131</v>
      </c>
      <c r="B1101" s="8">
        <v>41059.0</v>
      </c>
      <c r="C1101" s="8"/>
      <c r="D1101" s="8"/>
      <c r="E1101" s="8"/>
      <c r="F1101" s="8"/>
    </row>
    <row r="1102" ht="13.5" customHeight="1">
      <c r="A1102" s="8" t="s">
        <v>1137</v>
      </c>
      <c r="B1102" s="8">
        <v>41664.0</v>
      </c>
      <c r="C1102" s="8"/>
      <c r="D1102" s="8"/>
      <c r="E1102" s="8"/>
      <c r="F1102" s="8"/>
    </row>
    <row r="1103" ht="13.5" customHeight="1">
      <c r="A1103" s="8" t="s">
        <v>1091</v>
      </c>
      <c r="B1103" s="8">
        <v>42596.0</v>
      </c>
      <c r="C1103" s="8"/>
      <c r="D1103" s="8"/>
      <c r="E1103" s="8"/>
      <c r="F1103" s="8"/>
    </row>
    <row r="1104" ht="13.5" customHeight="1">
      <c r="A1104" s="8" t="s">
        <v>1108</v>
      </c>
      <c r="B1104" s="8">
        <v>43424.0</v>
      </c>
      <c r="C1104" s="8"/>
      <c r="D1104" s="8"/>
      <c r="E1104" s="8"/>
      <c r="F1104" s="8"/>
    </row>
    <row r="1105" ht="13.5" customHeight="1">
      <c r="A1105" s="8" t="s">
        <v>1098</v>
      </c>
      <c r="B1105" s="8">
        <v>43808.0</v>
      </c>
      <c r="C1105" s="8"/>
      <c r="D1105" s="8"/>
      <c r="E1105" s="8"/>
      <c r="F1105" s="8"/>
    </row>
    <row r="1106" ht="13.5" customHeight="1">
      <c r="A1106" s="8" t="s">
        <v>1093</v>
      </c>
      <c r="B1106" s="8">
        <v>45218.0</v>
      </c>
      <c r="C1106" s="8"/>
      <c r="D1106" s="8"/>
      <c r="E1106" s="8"/>
      <c r="F1106" s="8"/>
    </row>
    <row r="1107" ht="13.5" customHeight="1">
      <c r="A1107" s="8" t="s">
        <v>1142</v>
      </c>
      <c r="B1107" s="8">
        <v>46050.0</v>
      </c>
      <c r="C1107" s="8"/>
      <c r="D1107" s="8"/>
      <c r="E1107" s="8"/>
      <c r="F1107" s="8"/>
    </row>
    <row r="1108" ht="13.5" customHeight="1">
      <c r="A1108" s="8" t="s">
        <v>1108</v>
      </c>
      <c r="B1108" s="8">
        <v>46117.0</v>
      </c>
      <c r="C1108" s="8"/>
      <c r="D1108" s="8"/>
      <c r="E1108" s="8"/>
      <c r="F1108" s="8"/>
    </row>
    <row r="1109" ht="13.5" customHeight="1">
      <c r="A1109" s="8" t="s">
        <v>1108</v>
      </c>
      <c r="B1109" s="8">
        <v>46243.0</v>
      </c>
      <c r="C1109" s="8"/>
      <c r="D1109" s="8"/>
      <c r="E1109" s="8"/>
      <c r="F1109" s="8"/>
    </row>
    <row r="1110" ht="13.5" customHeight="1">
      <c r="A1110" s="8" t="s">
        <v>1145</v>
      </c>
      <c r="B1110" s="8">
        <v>46310.0</v>
      </c>
      <c r="C1110" s="8"/>
      <c r="D1110" s="8"/>
      <c r="E1110" s="8"/>
      <c r="F1110" s="8"/>
    </row>
    <row r="1111" ht="13.5" customHeight="1">
      <c r="A1111" s="8" t="s">
        <v>1089</v>
      </c>
      <c r="B1111" s="8">
        <v>46503.0</v>
      </c>
      <c r="C1111" s="8"/>
      <c r="D1111" s="8"/>
      <c r="E1111" s="8"/>
      <c r="F1111" s="8"/>
    </row>
    <row r="1112" ht="13.5" customHeight="1">
      <c r="A1112" s="8" t="s">
        <v>1089</v>
      </c>
      <c r="B1112" s="8">
        <v>46726.0</v>
      </c>
      <c r="C1112" s="8"/>
      <c r="D1112" s="8"/>
      <c r="E1112" s="8"/>
      <c r="F1112" s="8"/>
    </row>
    <row r="1113" ht="13.5" customHeight="1">
      <c r="A1113" s="8" t="s">
        <v>1108</v>
      </c>
      <c r="B1113" s="8">
        <v>47042.0</v>
      </c>
      <c r="C1113" s="8"/>
      <c r="D1113" s="8"/>
      <c r="E1113" s="8"/>
      <c r="F1113" s="8"/>
    </row>
    <row r="1114" ht="13.5" customHeight="1">
      <c r="A1114" s="8" t="s">
        <v>1108</v>
      </c>
      <c r="B1114" s="8">
        <v>47174.0</v>
      </c>
      <c r="C1114" s="8"/>
      <c r="D1114" s="8"/>
      <c r="E1114" s="8"/>
      <c r="F1114" s="8"/>
    </row>
    <row r="1115" ht="13.5" customHeight="1">
      <c r="A1115" s="8" t="s">
        <v>1093</v>
      </c>
      <c r="B1115" s="8">
        <v>48034.0</v>
      </c>
      <c r="C1115" s="8"/>
      <c r="D1115" s="8"/>
      <c r="E1115" s="8"/>
      <c r="F1115" s="8"/>
    </row>
    <row r="1116" ht="13.5" customHeight="1">
      <c r="A1116" s="8" t="s">
        <v>1098</v>
      </c>
      <c r="B1116" s="8">
        <v>48164.0</v>
      </c>
      <c r="C1116" s="8"/>
      <c r="D1116" s="8"/>
      <c r="E1116" s="8"/>
      <c r="F1116" s="8"/>
    </row>
    <row r="1117" ht="13.5" customHeight="1">
      <c r="A1117" s="8" t="s">
        <v>1112</v>
      </c>
      <c r="B1117" s="8">
        <v>49189.0</v>
      </c>
      <c r="C1117" s="8"/>
      <c r="D1117" s="8"/>
      <c r="E1117" s="8"/>
      <c r="F1117" s="8"/>
    </row>
    <row r="1118" ht="13.5" customHeight="1">
      <c r="A1118" s="8" t="s">
        <v>1126</v>
      </c>
      <c r="B1118" s="8">
        <v>49986.0</v>
      </c>
      <c r="C1118" s="8"/>
      <c r="D1118" s="8"/>
      <c r="E1118" s="8"/>
      <c r="F1118" s="8"/>
    </row>
    <row r="1119" ht="13.5" customHeight="1">
      <c r="A1119" s="8" t="s">
        <v>1126</v>
      </c>
      <c r="B1119" s="8">
        <v>50336.0</v>
      </c>
      <c r="C1119" s="8"/>
      <c r="D1119" s="8"/>
      <c r="E1119" s="8"/>
      <c r="F1119" s="8"/>
    </row>
    <row r="1120" ht="13.5" customHeight="1">
      <c r="A1120" s="8" t="s">
        <v>719</v>
      </c>
      <c r="B1120" s="8">
        <v>50373.0</v>
      </c>
      <c r="C1120" s="8"/>
      <c r="D1120" s="8"/>
      <c r="E1120" s="8"/>
      <c r="F1120" s="8"/>
    </row>
    <row r="1121" ht="13.5" customHeight="1">
      <c r="A1121" s="8" t="s">
        <v>1142</v>
      </c>
      <c r="B1121" s="8">
        <v>50564.0</v>
      </c>
      <c r="C1121" s="8"/>
      <c r="D1121" s="8"/>
      <c r="E1121" s="8"/>
      <c r="F1121" s="8"/>
    </row>
    <row r="1122" ht="13.5" customHeight="1">
      <c r="A1122" s="8" t="s">
        <v>1102</v>
      </c>
      <c r="B1122" s="8">
        <v>50949.0</v>
      </c>
      <c r="C1122" s="8"/>
      <c r="D1122" s="8"/>
      <c r="E1122" s="8"/>
      <c r="F1122" s="8"/>
    </row>
    <row r="1123" ht="13.5" customHeight="1">
      <c r="A1123" s="8" t="s">
        <v>1089</v>
      </c>
      <c r="B1123" s="8">
        <v>51361.0</v>
      </c>
      <c r="C1123" s="8"/>
      <c r="D1123" s="8"/>
      <c r="E1123" s="8"/>
      <c r="F1123" s="8"/>
    </row>
    <row r="1124" ht="13.5" customHeight="1">
      <c r="A1124" s="8" t="s">
        <v>1152</v>
      </c>
      <c r="B1124" s="8">
        <v>51780.0</v>
      </c>
      <c r="C1124" s="8"/>
      <c r="D1124" s="8"/>
      <c r="E1124" s="8"/>
      <c r="F1124" s="8"/>
    </row>
    <row r="1125" ht="13.5" customHeight="1">
      <c r="A1125" s="8" t="s">
        <v>1121</v>
      </c>
      <c r="B1125" s="8">
        <v>51940.0</v>
      </c>
      <c r="C1125" s="8"/>
      <c r="D1125" s="8"/>
      <c r="E1125" s="8"/>
      <c r="F1125" s="8"/>
    </row>
    <row r="1126" ht="13.5" customHeight="1">
      <c r="A1126" s="8" t="s">
        <v>1145</v>
      </c>
      <c r="B1126" s="8">
        <v>52071.0</v>
      </c>
      <c r="C1126" s="8"/>
      <c r="D1126" s="8"/>
      <c r="E1126" s="8"/>
      <c r="F1126" s="8"/>
    </row>
    <row r="1127" ht="13.5" customHeight="1">
      <c r="A1127" s="8" t="s">
        <v>969</v>
      </c>
      <c r="B1127" s="8">
        <v>53152.0</v>
      </c>
      <c r="C1127" s="8"/>
      <c r="D1127" s="8"/>
      <c r="E1127" s="8"/>
      <c r="F1127" s="8"/>
    </row>
    <row r="1128" ht="13.5" customHeight="1">
      <c r="A1128" s="8" t="s">
        <v>1108</v>
      </c>
      <c r="B1128" s="8">
        <v>54177.0</v>
      </c>
      <c r="C1128" s="8"/>
      <c r="D1128" s="8"/>
      <c r="E1128" s="8"/>
      <c r="F1128" s="8"/>
    </row>
    <row r="1129" ht="13.5" customHeight="1">
      <c r="A1129" s="8" t="s">
        <v>1142</v>
      </c>
      <c r="B1129" s="8">
        <v>55107.0</v>
      </c>
      <c r="C1129" s="8"/>
      <c r="D1129" s="8"/>
      <c r="E1129" s="8"/>
      <c r="F1129" s="8"/>
    </row>
    <row r="1130" ht="13.5" customHeight="1">
      <c r="A1130" s="8" t="s">
        <v>1089</v>
      </c>
      <c r="B1130" s="8">
        <v>55461.0</v>
      </c>
      <c r="C1130" s="8"/>
      <c r="D1130" s="8"/>
      <c r="E1130" s="8"/>
      <c r="F1130" s="8"/>
    </row>
    <row r="1131" ht="13.5" customHeight="1">
      <c r="A1131" s="8" t="s">
        <v>1102</v>
      </c>
      <c r="B1131" s="8">
        <v>55526.0</v>
      </c>
      <c r="C1131" s="8"/>
      <c r="D1131" s="8"/>
      <c r="E1131" s="8"/>
      <c r="F1131" s="8"/>
    </row>
    <row r="1132" ht="13.5" customHeight="1">
      <c r="A1132" s="8" t="s">
        <v>1089</v>
      </c>
      <c r="B1132" s="8">
        <v>55969.0</v>
      </c>
      <c r="C1132" s="8"/>
      <c r="D1132" s="8"/>
      <c r="E1132" s="8"/>
      <c r="F1132" s="8"/>
    </row>
    <row r="1133" ht="13.5" customHeight="1">
      <c r="A1133" s="8" t="s">
        <v>1089</v>
      </c>
      <c r="B1133" s="8">
        <v>57153.0</v>
      </c>
      <c r="C1133" s="8"/>
      <c r="D1133" s="8"/>
      <c r="E1133" s="8"/>
      <c r="F1133" s="8"/>
    </row>
    <row r="1134" ht="13.5" customHeight="1">
      <c r="A1134" s="8" t="s">
        <v>719</v>
      </c>
      <c r="B1134" s="8">
        <v>57538.0</v>
      </c>
      <c r="C1134" s="8"/>
      <c r="D1134" s="8"/>
      <c r="E1134" s="8"/>
      <c r="F1134" s="8"/>
    </row>
    <row r="1135" ht="13.5" customHeight="1">
      <c r="A1135" s="8" t="s">
        <v>1156</v>
      </c>
      <c r="B1135" s="8">
        <v>58656.0</v>
      </c>
      <c r="C1135" s="8"/>
      <c r="D1135" s="8"/>
      <c r="E1135" s="8"/>
      <c r="F1135" s="8"/>
    </row>
    <row r="1136" ht="13.5" customHeight="1">
      <c r="A1136" s="8" t="s">
        <v>719</v>
      </c>
      <c r="B1136" s="8">
        <v>58789.0</v>
      </c>
      <c r="C1136" s="8"/>
      <c r="D1136" s="8"/>
      <c r="E1136" s="8"/>
      <c r="F1136" s="8"/>
    </row>
    <row r="1137" ht="13.5" customHeight="1">
      <c r="A1137" s="8" t="s">
        <v>1108</v>
      </c>
      <c r="B1137" s="8">
        <v>59200.0</v>
      </c>
      <c r="C1137" s="8"/>
      <c r="D1137" s="8"/>
      <c r="E1137" s="8"/>
      <c r="F1137" s="8"/>
    </row>
    <row r="1138" ht="13.5" customHeight="1">
      <c r="A1138" s="8" t="s">
        <v>1098</v>
      </c>
      <c r="B1138" s="8">
        <v>59459.0</v>
      </c>
      <c r="C1138" s="8"/>
      <c r="D1138" s="8"/>
      <c r="E1138" s="8"/>
      <c r="F1138" s="8"/>
    </row>
    <row r="1139" ht="13.5" customHeight="1">
      <c r="A1139" s="8" t="s">
        <v>1121</v>
      </c>
      <c r="B1139" s="8">
        <v>59878.0</v>
      </c>
      <c r="C1139" s="8"/>
      <c r="D1139" s="8"/>
      <c r="E1139" s="8"/>
      <c r="F1139" s="8"/>
    </row>
    <row r="1140" ht="13.5" customHeight="1">
      <c r="A1140" s="8" t="s">
        <v>719</v>
      </c>
      <c r="B1140" s="8">
        <v>59909.0</v>
      </c>
      <c r="C1140" s="8"/>
      <c r="D1140" s="8"/>
      <c r="E1140" s="8"/>
      <c r="F1140" s="8"/>
    </row>
    <row r="1141" ht="13.5" customHeight="1">
      <c r="A1141" s="8" t="s">
        <v>1157</v>
      </c>
      <c r="B1141" s="8">
        <v>1218.0</v>
      </c>
      <c r="C1141" s="8"/>
      <c r="D1141" s="8"/>
      <c r="E1141" s="8"/>
      <c r="F1141" s="8"/>
    </row>
    <row r="1142" ht="13.5" customHeight="1">
      <c r="A1142" s="8" t="s">
        <v>1158</v>
      </c>
      <c r="B1142" s="8">
        <v>1600.0</v>
      </c>
      <c r="C1142" s="8"/>
      <c r="D1142" s="8"/>
      <c r="E1142" s="8"/>
      <c r="F1142" s="8"/>
    </row>
    <row r="1143" ht="13.5" customHeight="1">
      <c r="A1143" s="8" t="s">
        <v>1157</v>
      </c>
      <c r="B1143" s="8">
        <v>2373.0</v>
      </c>
      <c r="C1143" s="8"/>
      <c r="D1143" s="8"/>
      <c r="E1143" s="8"/>
      <c r="F1143" s="8"/>
    </row>
    <row r="1144" ht="13.5" customHeight="1">
      <c r="A1144" s="8" t="s">
        <v>1160</v>
      </c>
      <c r="B1144" s="8">
        <v>2626.0</v>
      </c>
      <c r="C1144" s="8"/>
      <c r="D1144" s="8"/>
      <c r="E1144" s="8"/>
      <c r="F1144" s="8"/>
    </row>
    <row r="1145" ht="13.5" customHeight="1">
      <c r="A1145" s="8" t="s">
        <v>1158</v>
      </c>
      <c r="B1145" s="8">
        <v>3109.0</v>
      </c>
      <c r="C1145" s="8"/>
      <c r="D1145" s="8"/>
      <c r="E1145" s="8"/>
      <c r="F1145" s="8"/>
    </row>
    <row r="1146" ht="13.5" customHeight="1">
      <c r="A1146" s="8" t="s">
        <v>1160</v>
      </c>
      <c r="B1146" s="8">
        <v>3777.0</v>
      </c>
      <c r="C1146" s="8"/>
      <c r="D1146" s="8"/>
      <c r="E1146" s="8"/>
      <c r="F1146" s="8"/>
    </row>
    <row r="1147" ht="13.5" customHeight="1">
      <c r="A1147" s="8" t="s">
        <v>1163</v>
      </c>
      <c r="B1147" s="8">
        <v>3973.0</v>
      </c>
      <c r="C1147" s="8"/>
      <c r="D1147" s="8"/>
      <c r="E1147" s="8"/>
      <c r="F1147" s="8"/>
    </row>
    <row r="1148" ht="13.5" customHeight="1">
      <c r="A1148" s="8" t="s">
        <v>1163</v>
      </c>
      <c r="B1148" s="8">
        <v>4932.0</v>
      </c>
      <c r="C1148" s="8"/>
      <c r="D1148" s="8"/>
      <c r="E1148" s="8"/>
      <c r="F1148" s="8"/>
    </row>
    <row r="1149" ht="13.5" customHeight="1">
      <c r="A1149" s="8" t="s">
        <v>1157</v>
      </c>
      <c r="B1149" s="8">
        <v>7239.0</v>
      </c>
      <c r="C1149" s="8"/>
      <c r="D1149" s="8"/>
      <c r="E1149" s="8"/>
      <c r="F1149" s="8"/>
    </row>
    <row r="1150" ht="13.5" customHeight="1">
      <c r="A1150" s="8" t="s">
        <v>1164</v>
      </c>
      <c r="B1150" s="8">
        <v>9088.0</v>
      </c>
      <c r="C1150" s="8"/>
      <c r="D1150" s="8"/>
      <c r="E1150" s="8"/>
      <c r="F1150" s="8"/>
    </row>
    <row r="1151" ht="13.5" customHeight="1">
      <c r="A1151" s="8" t="s">
        <v>1166</v>
      </c>
      <c r="B1151" s="8">
        <v>11428.0</v>
      </c>
      <c r="C1151" s="8"/>
      <c r="D1151" s="8"/>
      <c r="E1151" s="8"/>
      <c r="F1151" s="8"/>
    </row>
    <row r="1152" ht="13.5" customHeight="1">
      <c r="A1152" s="8" t="s">
        <v>1166</v>
      </c>
      <c r="B1152" s="8">
        <v>12452.0</v>
      </c>
      <c r="C1152" s="8"/>
      <c r="D1152" s="8"/>
      <c r="E1152" s="8"/>
      <c r="F1152" s="8"/>
    </row>
    <row r="1153" ht="13.5" customHeight="1">
      <c r="A1153" s="8" t="s">
        <v>1166</v>
      </c>
      <c r="B1153" s="8">
        <v>13345.0</v>
      </c>
      <c r="C1153" s="8"/>
      <c r="D1153" s="8"/>
      <c r="E1153" s="8"/>
      <c r="F1153" s="8"/>
    </row>
    <row r="1154" ht="13.5" customHeight="1">
      <c r="A1154" s="8" t="s">
        <v>1163</v>
      </c>
      <c r="B1154" s="8">
        <v>13410.0</v>
      </c>
      <c r="C1154" s="8"/>
      <c r="D1154" s="8"/>
      <c r="E1154" s="8"/>
      <c r="F1154" s="8"/>
    </row>
    <row r="1155" ht="13.5" customHeight="1">
      <c r="A1155" s="8" t="s">
        <v>1166</v>
      </c>
      <c r="B1155" s="8">
        <v>15808.0</v>
      </c>
      <c r="C1155" s="8"/>
      <c r="D1155" s="8"/>
      <c r="E1155" s="8"/>
      <c r="F1155" s="8"/>
    </row>
    <row r="1156" ht="13.5" customHeight="1">
      <c r="A1156" s="8" t="s">
        <v>1166</v>
      </c>
      <c r="B1156" s="8">
        <v>16326.0</v>
      </c>
      <c r="C1156" s="8"/>
      <c r="D1156" s="8"/>
      <c r="E1156" s="8"/>
      <c r="F1156" s="8"/>
    </row>
    <row r="1157" ht="13.5" customHeight="1">
      <c r="A1157" s="8" t="s">
        <v>1171</v>
      </c>
      <c r="B1157" s="8">
        <v>17985.0</v>
      </c>
      <c r="C1157" s="8"/>
      <c r="D1157" s="8"/>
      <c r="E1157" s="8"/>
      <c r="F1157" s="8"/>
    </row>
    <row r="1158" ht="13.5" customHeight="1">
      <c r="A1158" s="8" t="s">
        <v>1158</v>
      </c>
      <c r="B1158" s="8">
        <v>20480.0</v>
      </c>
      <c r="C1158" s="8"/>
      <c r="D1158" s="8"/>
      <c r="E1158" s="8"/>
      <c r="F1158" s="8"/>
    </row>
    <row r="1159" ht="13.5" customHeight="1">
      <c r="A1159" s="8" t="s">
        <v>1166</v>
      </c>
      <c r="B1159" s="8">
        <v>21091.0</v>
      </c>
      <c r="C1159" s="8"/>
      <c r="D1159" s="8"/>
      <c r="E1159" s="8"/>
      <c r="F1159" s="8"/>
    </row>
    <row r="1160" ht="13.5" customHeight="1">
      <c r="A1160" s="8" t="s">
        <v>1163</v>
      </c>
      <c r="B1160" s="8">
        <v>26759.0</v>
      </c>
      <c r="C1160" s="8"/>
      <c r="D1160" s="8"/>
      <c r="E1160" s="8"/>
      <c r="F1160" s="8"/>
    </row>
    <row r="1161" ht="13.5" customHeight="1">
      <c r="A1161" s="8" t="s">
        <v>1164</v>
      </c>
      <c r="B1161" s="8">
        <v>26853.0</v>
      </c>
      <c r="C1161" s="8"/>
      <c r="D1161" s="8"/>
      <c r="E1161" s="8"/>
      <c r="F1161" s="8"/>
    </row>
    <row r="1162" ht="13.5" customHeight="1">
      <c r="A1162" s="8" t="s">
        <v>1164</v>
      </c>
      <c r="B1162" s="8">
        <v>26918.0</v>
      </c>
      <c r="C1162" s="8"/>
      <c r="D1162" s="8"/>
      <c r="E1162" s="8"/>
      <c r="F1162" s="8"/>
    </row>
    <row r="1163" ht="13.5" customHeight="1">
      <c r="A1163" s="8" t="s">
        <v>1171</v>
      </c>
      <c r="B1163" s="8">
        <v>27456.0</v>
      </c>
      <c r="C1163" s="8"/>
      <c r="D1163" s="8"/>
      <c r="E1163" s="8"/>
      <c r="F1163" s="8"/>
    </row>
    <row r="1164" ht="13.5" customHeight="1">
      <c r="A1164" s="8" t="s">
        <v>1166</v>
      </c>
      <c r="B1164" s="8">
        <v>28420.0</v>
      </c>
      <c r="C1164" s="8"/>
      <c r="D1164" s="8"/>
      <c r="E1164" s="8"/>
      <c r="F1164" s="8"/>
    </row>
    <row r="1165" ht="13.5" customHeight="1">
      <c r="A1165" s="8" t="s">
        <v>1163</v>
      </c>
      <c r="B1165" s="8">
        <v>29318.0</v>
      </c>
      <c r="C1165" s="8"/>
      <c r="D1165" s="8"/>
      <c r="E1165" s="8"/>
      <c r="F1165" s="8"/>
    </row>
    <row r="1166" ht="13.5" customHeight="1">
      <c r="A1166" s="8" t="s">
        <v>1166</v>
      </c>
      <c r="B1166" s="8">
        <v>30016.0</v>
      </c>
      <c r="C1166" s="8"/>
      <c r="D1166" s="8"/>
      <c r="E1166" s="8"/>
      <c r="F1166" s="8"/>
    </row>
    <row r="1167" ht="13.5" customHeight="1">
      <c r="A1167" s="8" t="s">
        <v>1164</v>
      </c>
      <c r="B1167" s="8">
        <v>33255.0</v>
      </c>
      <c r="C1167" s="8"/>
      <c r="D1167" s="8"/>
      <c r="E1167" s="8"/>
      <c r="F1167" s="8"/>
    </row>
    <row r="1168" ht="13.5" customHeight="1">
      <c r="A1168" s="8" t="s">
        <v>1166</v>
      </c>
      <c r="B1168" s="8">
        <v>35104.0</v>
      </c>
      <c r="C1168" s="8"/>
      <c r="D1168" s="8"/>
      <c r="E1168" s="8"/>
      <c r="F1168" s="8"/>
    </row>
    <row r="1169" ht="13.5" customHeight="1">
      <c r="A1169" s="8" t="s">
        <v>1088</v>
      </c>
      <c r="B1169" s="8">
        <v>35142.0</v>
      </c>
      <c r="C1169" s="8"/>
      <c r="D1169" s="8"/>
      <c r="E1169" s="8"/>
      <c r="F1169" s="8"/>
    </row>
    <row r="1170" ht="13.5" customHeight="1">
      <c r="A1170" s="8" t="s">
        <v>1088</v>
      </c>
      <c r="B1170" s="8">
        <v>35584.0</v>
      </c>
      <c r="C1170" s="8"/>
      <c r="D1170" s="8"/>
      <c r="E1170" s="8"/>
      <c r="F1170" s="8"/>
    </row>
    <row r="1171" ht="13.5" customHeight="1">
      <c r="A1171" s="8" t="s">
        <v>120</v>
      </c>
      <c r="B1171" s="8">
        <v>35908.0</v>
      </c>
      <c r="C1171" s="8"/>
      <c r="D1171" s="8"/>
      <c r="E1171" s="8"/>
      <c r="F1171" s="8"/>
    </row>
    <row r="1172" ht="13.5" customHeight="1">
      <c r="A1172" s="8" t="s">
        <v>120</v>
      </c>
      <c r="B1172" s="8">
        <v>36706.0</v>
      </c>
      <c r="C1172" s="8"/>
      <c r="D1172" s="8"/>
      <c r="E1172" s="8"/>
      <c r="F1172" s="8"/>
    </row>
    <row r="1173" ht="13.5" customHeight="1">
      <c r="A1173" s="8" t="s">
        <v>1166</v>
      </c>
      <c r="B1173" s="8">
        <v>37121.0</v>
      </c>
      <c r="C1173" s="8"/>
      <c r="D1173" s="8"/>
      <c r="E1173" s="8"/>
      <c r="F1173" s="8"/>
    </row>
    <row r="1174" ht="13.5" customHeight="1">
      <c r="A1174" s="8" t="s">
        <v>1164</v>
      </c>
      <c r="B1174" s="8">
        <v>38528.0</v>
      </c>
      <c r="C1174" s="8"/>
      <c r="D1174" s="8"/>
      <c r="E1174" s="8"/>
      <c r="F1174" s="8"/>
    </row>
    <row r="1175" ht="13.5" customHeight="1">
      <c r="A1175" s="8" t="s">
        <v>1171</v>
      </c>
      <c r="B1175" s="8">
        <v>38853.0</v>
      </c>
      <c r="C1175" s="8"/>
      <c r="D1175" s="8"/>
      <c r="E1175" s="8"/>
      <c r="F1175" s="8"/>
    </row>
    <row r="1176" ht="13.5" customHeight="1">
      <c r="A1176" s="8" t="s">
        <v>1115</v>
      </c>
      <c r="B1176" s="8">
        <v>39590.0</v>
      </c>
      <c r="C1176" s="8"/>
      <c r="D1176" s="8"/>
      <c r="E1176" s="8"/>
      <c r="F1176" s="8"/>
    </row>
    <row r="1177" ht="13.5" customHeight="1">
      <c r="A1177" s="8" t="s">
        <v>1180</v>
      </c>
      <c r="B1177" s="8">
        <v>40707.0</v>
      </c>
      <c r="C1177" s="8"/>
      <c r="D1177" s="8"/>
      <c r="E1177" s="8"/>
      <c r="F1177" s="8"/>
    </row>
    <row r="1178" ht="13.5" customHeight="1">
      <c r="A1178" s="8" t="s">
        <v>1166</v>
      </c>
      <c r="B1178" s="8">
        <v>40961.0</v>
      </c>
      <c r="C1178" s="8"/>
      <c r="D1178" s="8"/>
      <c r="E1178" s="8"/>
      <c r="F1178" s="8"/>
    </row>
    <row r="1179" ht="13.5" customHeight="1">
      <c r="A1179" s="8" t="s">
        <v>1171</v>
      </c>
      <c r="B1179" s="8">
        <v>41026.0</v>
      </c>
      <c r="C1179" s="8"/>
      <c r="D1179" s="8"/>
      <c r="E1179" s="8"/>
      <c r="F1179" s="8"/>
    </row>
    <row r="1180" ht="13.5" customHeight="1">
      <c r="A1180" s="8" t="s">
        <v>1166</v>
      </c>
      <c r="B1180" s="8">
        <v>41543.0</v>
      </c>
      <c r="C1180" s="8"/>
      <c r="D1180" s="8"/>
      <c r="E1180" s="8"/>
      <c r="F1180" s="8"/>
    </row>
    <row r="1181" ht="13.5" customHeight="1">
      <c r="A1181" s="8" t="s">
        <v>120</v>
      </c>
      <c r="B1181" s="8">
        <v>41606.0</v>
      </c>
      <c r="C1181" s="8"/>
      <c r="D1181" s="8"/>
      <c r="E1181" s="8"/>
      <c r="F1181" s="8"/>
    </row>
    <row r="1182" ht="13.5" customHeight="1">
      <c r="A1182" s="8" t="s">
        <v>1180</v>
      </c>
      <c r="B1182" s="8">
        <v>41926.0</v>
      </c>
      <c r="C1182" s="8"/>
      <c r="D1182" s="8"/>
      <c r="E1182" s="8"/>
      <c r="F1182" s="8"/>
    </row>
    <row r="1183" ht="13.5" customHeight="1">
      <c r="A1183" s="8" t="s">
        <v>1185</v>
      </c>
      <c r="B1183" s="8">
        <v>50533.0</v>
      </c>
      <c r="C1183" s="8"/>
      <c r="D1183" s="8"/>
      <c r="E1183" s="8"/>
      <c r="F1183" s="8"/>
    </row>
    <row r="1184" ht="13.5" customHeight="1">
      <c r="A1184" s="8" t="s">
        <v>1180</v>
      </c>
      <c r="B1184" s="8">
        <v>51747.0</v>
      </c>
      <c r="C1184" s="8"/>
      <c r="D1184" s="8"/>
      <c r="E1184" s="8"/>
      <c r="F1184" s="8"/>
    </row>
    <row r="1185" ht="13.5" customHeight="1">
      <c r="A1185" s="8" t="s">
        <v>1187</v>
      </c>
      <c r="B1185" s="8">
        <v>53314.0</v>
      </c>
      <c r="C1185" s="8"/>
      <c r="D1185" s="8"/>
      <c r="E1185" s="8"/>
      <c r="F1185" s="8"/>
    </row>
    <row r="1186" ht="13.5" customHeight="1">
      <c r="A1186" s="8" t="s">
        <v>833</v>
      </c>
      <c r="B1186" s="8">
        <v>54791.0</v>
      </c>
      <c r="C1186" s="8"/>
      <c r="D1186" s="8"/>
      <c r="E1186" s="8"/>
      <c r="F1186" s="8"/>
    </row>
    <row r="1187" ht="13.5" customHeight="1">
      <c r="A1187" s="8" t="s">
        <v>1180</v>
      </c>
      <c r="B1187" s="8">
        <v>54912.0</v>
      </c>
      <c r="C1187" s="8"/>
      <c r="D1187" s="8"/>
      <c r="E1187" s="8"/>
      <c r="F1187" s="8"/>
    </row>
    <row r="1188" ht="13.5" customHeight="1">
      <c r="A1188" s="8" t="s">
        <v>1185</v>
      </c>
      <c r="B1188" s="8">
        <v>55269.0</v>
      </c>
      <c r="C1188" s="8"/>
      <c r="D1188" s="8"/>
      <c r="E1188" s="8"/>
      <c r="F1188" s="8"/>
    </row>
    <row r="1189" ht="13.5" customHeight="1">
      <c r="A1189" s="8" t="s">
        <v>1166</v>
      </c>
      <c r="B1189" s="8">
        <v>56101.0</v>
      </c>
      <c r="C1189" s="8"/>
      <c r="D1189" s="8"/>
      <c r="E1189" s="8"/>
      <c r="F1189" s="8"/>
    </row>
    <row r="1190" ht="13.5" customHeight="1">
      <c r="A1190" s="8" t="s">
        <v>1180</v>
      </c>
      <c r="B1190" s="8">
        <v>56582.0</v>
      </c>
      <c r="C1190" s="8"/>
      <c r="D1190" s="8"/>
      <c r="E1190" s="8"/>
      <c r="F1190" s="8"/>
    </row>
    <row r="1191" ht="13.5" customHeight="1">
      <c r="A1191" s="8" t="s">
        <v>347</v>
      </c>
      <c r="B1191" s="8">
        <v>56677.0</v>
      </c>
      <c r="C1191" s="8"/>
      <c r="D1191" s="8"/>
      <c r="E1191" s="8"/>
      <c r="F1191" s="8"/>
    </row>
    <row r="1192" ht="13.5" customHeight="1">
      <c r="A1192" s="8" t="s">
        <v>1166</v>
      </c>
      <c r="B1192" s="8">
        <v>59683.0</v>
      </c>
      <c r="C1192" s="8"/>
      <c r="D1192" s="8"/>
      <c r="E1192" s="8"/>
      <c r="F1192" s="8"/>
    </row>
    <row r="1193" ht="13.5" customHeight="1">
      <c r="A1193" s="8" t="s">
        <v>1189</v>
      </c>
      <c r="B1193" s="8">
        <v>837.0</v>
      </c>
      <c r="C1193" s="8"/>
      <c r="D1193" s="8"/>
      <c r="E1193" s="8"/>
      <c r="F1193" s="8"/>
    </row>
    <row r="1194" ht="13.5" customHeight="1">
      <c r="A1194" s="8" t="s">
        <v>1189</v>
      </c>
      <c r="B1194" s="8">
        <v>1059.0</v>
      </c>
      <c r="C1194" s="8"/>
      <c r="D1194" s="8"/>
      <c r="E1194" s="8"/>
      <c r="F1194" s="8"/>
    </row>
    <row r="1195" ht="13.5" customHeight="1">
      <c r="A1195" s="8" t="s">
        <v>381</v>
      </c>
      <c r="B1195" s="8">
        <v>1826.0</v>
      </c>
      <c r="C1195" s="8"/>
      <c r="D1195" s="8"/>
      <c r="E1195" s="8"/>
      <c r="F1195" s="8"/>
    </row>
    <row r="1196" ht="13.5" customHeight="1">
      <c r="A1196" s="8" t="s">
        <v>1190</v>
      </c>
      <c r="B1196" s="8">
        <v>2020.0</v>
      </c>
      <c r="C1196" s="8"/>
      <c r="D1196" s="8"/>
      <c r="E1196" s="8"/>
      <c r="F1196" s="8"/>
    </row>
    <row r="1197" ht="13.5" customHeight="1">
      <c r="A1197" s="8" t="s">
        <v>1190</v>
      </c>
      <c r="B1197" s="8">
        <v>10340.0</v>
      </c>
      <c r="C1197" s="8"/>
      <c r="D1197" s="8"/>
      <c r="E1197" s="8"/>
      <c r="F1197" s="8"/>
    </row>
    <row r="1198" ht="13.5" customHeight="1">
      <c r="A1198" s="8" t="s">
        <v>1190</v>
      </c>
      <c r="B1198" s="8">
        <v>11044.0</v>
      </c>
      <c r="C1198" s="8"/>
      <c r="D1198" s="8"/>
      <c r="E1198" s="8"/>
      <c r="F1198" s="8"/>
    </row>
    <row r="1199" ht="13.5" customHeight="1">
      <c r="A1199" s="8" t="s">
        <v>1189</v>
      </c>
      <c r="B1199" s="8">
        <v>15718.0</v>
      </c>
      <c r="C1199" s="8"/>
      <c r="D1199" s="8"/>
      <c r="E1199" s="8"/>
      <c r="F1199" s="8"/>
    </row>
    <row r="1200" ht="13.5" customHeight="1">
      <c r="A1200" s="8" t="s">
        <v>381</v>
      </c>
      <c r="B1200" s="8">
        <v>17506.0</v>
      </c>
      <c r="C1200" s="8"/>
      <c r="D1200" s="8"/>
      <c r="E1200" s="8"/>
      <c r="F1200" s="8"/>
    </row>
    <row r="1201" ht="13.5" customHeight="1">
      <c r="A1201" s="8" t="s">
        <v>1193</v>
      </c>
      <c r="B1201" s="8">
        <v>20003.0</v>
      </c>
      <c r="C1201" s="8"/>
      <c r="D1201" s="8"/>
      <c r="E1201" s="8"/>
      <c r="F1201" s="8"/>
    </row>
    <row r="1202" ht="13.5" customHeight="1">
      <c r="A1202" s="8" t="s">
        <v>1190</v>
      </c>
      <c r="B1202" s="8">
        <v>20805.0</v>
      </c>
      <c r="C1202" s="8"/>
      <c r="D1202" s="8"/>
      <c r="E1202" s="8"/>
      <c r="F1202" s="8"/>
    </row>
    <row r="1203" ht="13.5" customHeight="1">
      <c r="A1203" s="8" t="s">
        <v>1190</v>
      </c>
      <c r="B1203" s="8">
        <v>23524.0</v>
      </c>
      <c r="C1203" s="8"/>
      <c r="D1203" s="8"/>
      <c r="E1203" s="8"/>
      <c r="F1203" s="8"/>
    </row>
    <row r="1204" ht="13.5" customHeight="1">
      <c r="A1204" s="8" t="s">
        <v>147</v>
      </c>
      <c r="B1204" s="8">
        <v>29860.0</v>
      </c>
      <c r="C1204" s="8"/>
      <c r="D1204" s="8"/>
      <c r="E1204" s="8"/>
      <c r="F1204" s="8"/>
    </row>
    <row r="1205" ht="13.5" customHeight="1">
      <c r="A1205" s="8" t="s">
        <v>1190</v>
      </c>
      <c r="B1205" s="8">
        <v>30787.0</v>
      </c>
      <c r="C1205" s="8"/>
      <c r="D1205" s="8"/>
      <c r="E1205" s="8"/>
      <c r="F1205" s="8"/>
    </row>
    <row r="1206" ht="13.5" customHeight="1">
      <c r="A1206" s="8" t="s">
        <v>1196</v>
      </c>
      <c r="B1206" s="8">
        <v>37440.0</v>
      </c>
      <c r="C1206" s="8"/>
      <c r="D1206" s="8"/>
      <c r="E1206" s="8"/>
      <c r="F1206" s="8"/>
    </row>
    <row r="1207" ht="13.5" customHeight="1">
      <c r="A1207" s="8" t="s">
        <v>1190</v>
      </c>
      <c r="B1207" s="8">
        <v>39872.0</v>
      </c>
      <c r="C1207" s="8"/>
      <c r="D1207" s="8"/>
      <c r="E1207" s="8"/>
      <c r="F1207" s="8"/>
    </row>
    <row r="1208" ht="13.5" customHeight="1">
      <c r="A1208" s="8" t="s">
        <v>1196</v>
      </c>
      <c r="B1208" s="8">
        <v>39943.0</v>
      </c>
      <c r="C1208" s="8"/>
      <c r="D1208" s="8"/>
      <c r="E1208" s="8"/>
      <c r="F1208" s="8"/>
    </row>
    <row r="1209" ht="13.5" customHeight="1">
      <c r="A1209" s="8" t="s">
        <v>147</v>
      </c>
      <c r="B1209" s="8">
        <v>42405.0</v>
      </c>
      <c r="C1209" s="8"/>
      <c r="D1209" s="8"/>
      <c r="E1209" s="8"/>
      <c r="F1209" s="8"/>
    </row>
    <row r="1210" ht="13.5" customHeight="1">
      <c r="A1210" s="8" t="s">
        <v>1190</v>
      </c>
      <c r="B1210" s="8">
        <v>47171.0</v>
      </c>
      <c r="C1210" s="8"/>
      <c r="D1210" s="8"/>
      <c r="E1210" s="8"/>
      <c r="F1210" s="8"/>
    </row>
    <row r="1211" ht="13.5" customHeight="1">
      <c r="A1211" s="8" t="s">
        <v>1190</v>
      </c>
      <c r="B1211" s="8">
        <v>48576.0</v>
      </c>
      <c r="C1211" s="8"/>
      <c r="D1211" s="8"/>
      <c r="E1211" s="8"/>
      <c r="F1211" s="8"/>
    </row>
    <row r="1212" ht="13.5" customHeight="1">
      <c r="A1212" s="8" t="s">
        <v>1196</v>
      </c>
      <c r="B1212" s="8">
        <v>53984.0</v>
      </c>
      <c r="C1212" s="8"/>
      <c r="D1212" s="8"/>
      <c r="E1212" s="8"/>
      <c r="F1212" s="8"/>
    </row>
    <row r="1213" ht="13.5" customHeight="1">
      <c r="A1213" s="8" t="s">
        <v>1200</v>
      </c>
      <c r="B1213" s="8">
        <v>129.0</v>
      </c>
      <c r="C1213" s="8"/>
      <c r="D1213" s="8"/>
      <c r="E1213" s="8"/>
      <c r="F1213" s="8"/>
    </row>
    <row r="1214" ht="13.5" customHeight="1">
      <c r="A1214" s="8" t="s">
        <v>1201</v>
      </c>
      <c r="B1214" s="8">
        <v>388.0</v>
      </c>
      <c r="C1214" s="8"/>
      <c r="D1214" s="8"/>
      <c r="E1214" s="8"/>
      <c r="F1214" s="8"/>
    </row>
    <row r="1215" ht="13.5" customHeight="1">
      <c r="A1215" s="8" t="s">
        <v>1203</v>
      </c>
      <c r="B1215" s="8">
        <v>1345.0</v>
      </c>
      <c r="C1215" s="8"/>
      <c r="D1215" s="8"/>
      <c r="E1215" s="8"/>
      <c r="F1215" s="8"/>
    </row>
    <row r="1216" ht="13.5" customHeight="1">
      <c r="A1216" s="8" t="s">
        <v>1204</v>
      </c>
      <c r="B1216" s="8">
        <v>1793.0</v>
      </c>
      <c r="C1216" s="8"/>
      <c r="D1216" s="8"/>
      <c r="E1216" s="8"/>
      <c r="F1216" s="8"/>
    </row>
    <row r="1217" ht="13.5" customHeight="1">
      <c r="A1217" s="8" t="s">
        <v>1206</v>
      </c>
      <c r="B1217" s="8">
        <v>2209.0</v>
      </c>
      <c r="C1217" s="8"/>
      <c r="D1217" s="8"/>
      <c r="E1217" s="8"/>
      <c r="F1217" s="8"/>
    </row>
    <row r="1218" ht="13.5" customHeight="1">
      <c r="A1218" s="8" t="s">
        <v>1206</v>
      </c>
      <c r="B1218" s="8">
        <v>2947.0</v>
      </c>
      <c r="C1218" s="8"/>
      <c r="D1218" s="8"/>
      <c r="E1218" s="8"/>
      <c r="F1218" s="8"/>
    </row>
    <row r="1219" ht="13.5" customHeight="1">
      <c r="A1219" s="8" t="s">
        <v>1204</v>
      </c>
      <c r="B1219" s="8">
        <v>3271.0</v>
      </c>
      <c r="C1219" s="8"/>
      <c r="D1219" s="8"/>
      <c r="E1219" s="8"/>
      <c r="F1219" s="8"/>
    </row>
    <row r="1220" ht="13.5" customHeight="1">
      <c r="A1220" s="8" t="s">
        <v>1200</v>
      </c>
      <c r="B1220" s="8">
        <v>4321.0</v>
      </c>
      <c r="C1220" s="8"/>
      <c r="D1220" s="8"/>
      <c r="E1220" s="8"/>
      <c r="F1220" s="8"/>
    </row>
    <row r="1221" ht="13.5" customHeight="1">
      <c r="A1221" s="8" t="s">
        <v>1200</v>
      </c>
      <c r="B1221" s="8">
        <v>4545.0</v>
      </c>
      <c r="C1221" s="8"/>
      <c r="D1221" s="8"/>
      <c r="E1221" s="8"/>
      <c r="F1221" s="8"/>
    </row>
    <row r="1222" ht="13.5" customHeight="1">
      <c r="A1222" s="8" t="s">
        <v>1211</v>
      </c>
      <c r="B1222" s="8">
        <v>5572.0</v>
      </c>
      <c r="C1222" s="8"/>
      <c r="D1222" s="8"/>
      <c r="E1222" s="8"/>
      <c r="F1222" s="8"/>
    </row>
    <row r="1223" ht="13.5" customHeight="1">
      <c r="A1223" s="8" t="s">
        <v>1204</v>
      </c>
      <c r="B1223" s="8">
        <v>5703.0</v>
      </c>
      <c r="C1223" s="8"/>
      <c r="D1223" s="8"/>
      <c r="E1223" s="8"/>
      <c r="F1223" s="8"/>
    </row>
    <row r="1224" ht="13.5" customHeight="1">
      <c r="A1224" s="8" t="s">
        <v>1212</v>
      </c>
      <c r="B1224" s="8">
        <v>5920.0</v>
      </c>
      <c r="C1224" s="8"/>
      <c r="D1224" s="8"/>
      <c r="E1224" s="8"/>
      <c r="F1224" s="8"/>
    </row>
    <row r="1225" ht="13.5" customHeight="1">
      <c r="A1225" s="8" t="s">
        <v>1211</v>
      </c>
      <c r="B1225" s="8">
        <v>6311.0</v>
      </c>
      <c r="C1225" s="8"/>
      <c r="D1225" s="8"/>
      <c r="E1225" s="8"/>
      <c r="F1225" s="8"/>
    </row>
    <row r="1226" ht="13.5" customHeight="1">
      <c r="A1226" s="8" t="s">
        <v>1200</v>
      </c>
      <c r="B1226" s="8">
        <v>8231.0</v>
      </c>
      <c r="C1226" s="8"/>
      <c r="D1226" s="8"/>
      <c r="E1226" s="8"/>
      <c r="F1226" s="8"/>
    </row>
    <row r="1227" ht="13.5" customHeight="1">
      <c r="A1227" s="8" t="s">
        <v>1214</v>
      </c>
      <c r="B1227" s="8">
        <v>8709.0</v>
      </c>
      <c r="C1227" s="8"/>
      <c r="D1227" s="8"/>
      <c r="E1227" s="8"/>
      <c r="F1227" s="8"/>
    </row>
    <row r="1228" ht="13.5" customHeight="1">
      <c r="A1228" s="8" t="s">
        <v>1214</v>
      </c>
      <c r="B1228" s="8">
        <v>9765.0</v>
      </c>
      <c r="C1228" s="8"/>
      <c r="D1228" s="8"/>
      <c r="E1228" s="8"/>
      <c r="F1228" s="8"/>
    </row>
    <row r="1229" ht="13.5" customHeight="1">
      <c r="A1229" s="8" t="s">
        <v>1201</v>
      </c>
      <c r="B1229" s="8">
        <v>10147.0</v>
      </c>
      <c r="C1229" s="8"/>
      <c r="D1229" s="8"/>
      <c r="E1229" s="8"/>
      <c r="F1229" s="8"/>
    </row>
    <row r="1230" ht="13.5" customHeight="1">
      <c r="A1230" s="8" t="s">
        <v>1204</v>
      </c>
      <c r="B1230" s="8">
        <v>11876.0</v>
      </c>
      <c r="C1230" s="8"/>
      <c r="D1230" s="8"/>
      <c r="E1230" s="8"/>
      <c r="F1230" s="8"/>
    </row>
    <row r="1231" ht="13.5" customHeight="1">
      <c r="A1231" s="8" t="s">
        <v>1204</v>
      </c>
      <c r="B1231" s="8">
        <v>12224.0</v>
      </c>
      <c r="C1231" s="8"/>
      <c r="D1231" s="8"/>
      <c r="E1231" s="8"/>
      <c r="F1231" s="8"/>
    </row>
    <row r="1232" ht="13.5" customHeight="1">
      <c r="A1232" s="8" t="s">
        <v>1204</v>
      </c>
      <c r="B1232" s="8">
        <v>12256.0</v>
      </c>
      <c r="C1232" s="8"/>
      <c r="D1232" s="8"/>
      <c r="E1232" s="8"/>
      <c r="F1232" s="8"/>
    </row>
    <row r="1233" ht="13.5" customHeight="1">
      <c r="A1233" s="8" t="s">
        <v>1203</v>
      </c>
      <c r="B1233" s="8">
        <v>12261.0</v>
      </c>
      <c r="C1233" s="8"/>
      <c r="D1233" s="8"/>
      <c r="E1233" s="8"/>
      <c r="F1233" s="8"/>
    </row>
    <row r="1234" ht="13.5" customHeight="1">
      <c r="A1234" s="8" t="s">
        <v>1204</v>
      </c>
      <c r="B1234" s="8">
        <v>13408.0</v>
      </c>
      <c r="C1234" s="8"/>
      <c r="D1234" s="8"/>
      <c r="E1234" s="8"/>
      <c r="F1234" s="8"/>
    </row>
    <row r="1235" ht="13.5" customHeight="1">
      <c r="A1235" s="8" t="s">
        <v>1206</v>
      </c>
      <c r="B1235" s="8">
        <v>13444.0</v>
      </c>
      <c r="C1235" s="8"/>
      <c r="D1235" s="8"/>
      <c r="E1235" s="8"/>
      <c r="F1235" s="8"/>
    </row>
    <row r="1236" ht="13.5" customHeight="1">
      <c r="A1236" s="8" t="s">
        <v>1204</v>
      </c>
      <c r="B1236" s="8">
        <v>13601.0</v>
      </c>
      <c r="C1236" s="8"/>
      <c r="D1236" s="8"/>
      <c r="E1236" s="8"/>
      <c r="F1236" s="8"/>
    </row>
    <row r="1237" ht="13.5" customHeight="1">
      <c r="A1237" s="8" t="s">
        <v>1214</v>
      </c>
      <c r="B1237" s="8">
        <v>13894.0</v>
      </c>
      <c r="C1237" s="8"/>
      <c r="D1237" s="8"/>
      <c r="E1237" s="8"/>
      <c r="F1237" s="8"/>
    </row>
    <row r="1238" ht="13.5" customHeight="1">
      <c r="A1238" s="8" t="s">
        <v>1212</v>
      </c>
      <c r="B1238" s="8">
        <v>16480.0</v>
      </c>
      <c r="C1238" s="8"/>
      <c r="D1238" s="8"/>
      <c r="E1238" s="8"/>
      <c r="F1238" s="8"/>
    </row>
    <row r="1239" ht="13.5" customHeight="1">
      <c r="A1239" s="8" t="s">
        <v>264</v>
      </c>
      <c r="B1239" s="8">
        <v>17858.0</v>
      </c>
      <c r="C1239" s="8"/>
      <c r="D1239" s="8"/>
      <c r="E1239" s="8"/>
      <c r="F1239" s="8"/>
    </row>
    <row r="1240" ht="13.5" customHeight="1">
      <c r="A1240" s="8" t="s">
        <v>1204</v>
      </c>
      <c r="B1240" s="8">
        <v>18561.0</v>
      </c>
      <c r="C1240" s="8"/>
      <c r="D1240" s="8"/>
      <c r="E1240" s="8"/>
      <c r="F1240" s="8"/>
    </row>
    <row r="1241" ht="13.5" customHeight="1">
      <c r="A1241" s="8" t="s">
        <v>1200</v>
      </c>
      <c r="B1241" s="8">
        <v>19777.0</v>
      </c>
      <c r="C1241" s="8"/>
      <c r="D1241" s="8"/>
      <c r="E1241" s="8"/>
      <c r="F1241" s="8"/>
    </row>
    <row r="1242" ht="13.5" customHeight="1">
      <c r="A1242" s="8" t="s">
        <v>1212</v>
      </c>
      <c r="B1242" s="8">
        <v>21601.0</v>
      </c>
      <c r="C1242" s="8"/>
      <c r="D1242" s="8"/>
      <c r="E1242" s="8"/>
      <c r="F1242" s="8"/>
    </row>
    <row r="1243" ht="13.5" customHeight="1">
      <c r="A1243" s="8" t="s">
        <v>1204</v>
      </c>
      <c r="B1243" s="8">
        <v>21670.0</v>
      </c>
      <c r="C1243" s="8"/>
      <c r="D1243" s="8"/>
      <c r="E1243" s="8"/>
      <c r="F1243" s="8"/>
    </row>
    <row r="1244" ht="13.5" customHeight="1">
      <c r="A1244" s="8" t="s">
        <v>1203</v>
      </c>
      <c r="B1244" s="8">
        <v>23489.0</v>
      </c>
      <c r="C1244" s="8"/>
      <c r="D1244" s="8"/>
      <c r="E1244" s="8"/>
      <c r="F1244" s="8"/>
    </row>
    <row r="1245" ht="13.5" customHeight="1">
      <c r="A1245" s="8" t="s">
        <v>1206</v>
      </c>
      <c r="B1245" s="8">
        <v>24486.0</v>
      </c>
      <c r="C1245" s="8"/>
      <c r="D1245" s="8"/>
      <c r="E1245" s="8"/>
      <c r="F1245" s="8"/>
    </row>
    <row r="1246" ht="13.5" customHeight="1">
      <c r="A1246" s="8" t="s">
        <v>1212</v>
      </c>
      <c r="B1246" s="8">
        <v>24869.0</v>
      </c>
      <c r="C1246" s="8"/>
      <c r="D1246" s="8"/>
      <c r="E1246" s="8"/>
      <c r="F1246" s="8"/>
    </row>
    <row r="1247" ht="13.5" customHeight="1">
      <c r="A1247" s="8" t="s">
        <v>1204</v>
      </c>
      <c r="B1247" s="8">
        <v>25697.0</v>
      </c>
      <c r="C1247" s="8"/>
      <c r="D1247" s="8"/>
      <c r="E1247" s="8"/>
      <c r="F1247" s="8"/>
    </row>
    <row r="1248" ht="13.5" customHeight="1">
      <c r="A1248" s="8" t="s">
        <v>1222</v>
      </c>
      <c r="B1248" s="8">
        <v>27490.0</v>
      </c>
      <c r="C1248" s="8"/>
      <c r="D1248" s="8"/>
      <c r="E1248" s="8"/>
      <c r="F1248" s="8"/>
    </row>
    <row r="1249" ht="13.5" customHeight="1">
      <c r="A1249" s="8" t="s">
        <v>1214</v>
      </c>
      <c r="B1249" s="8">
        <v>27844.0</v>
      </c>
      <c r="C1249" s="8"/>
      <c r="D1249" s="8"/>
      <c r="E1249" s="8"/>
      <c r="F1249" s="8"/>
    </row>
    <row r="1250" ht="13.5" customHeight="1">
      <c r="A1250" s="8" t="s">
        <v>1200</v>
      </c>
      <c r="B1250" s="8">
        <v>28451.0</v>
      </c>
      <c r="C1250" s="8"/>
      <c r="D1250" s="8"/>
      <c r="E1250" s="8"/>
      <c r="F1250" s="8"/>
    </row>
    <row r="1251" ht="13.5" customHeight="1">
      <c r="A1251" s="8" t="s">
        <v>1201</v>
      </c>
      <c r="B1251" s="8">
        <v>28482.0</v>
      </c>
      <c r="C1251" s="8"/>
      <c r="D1251" s="8"/>
      <c r="E1251" s="8"/>
      <c r="F1251" s="8"/>
    </row>
    <row r="1252" ht="13.5" customHeight="1">
      <c r="A1252" s="8" t="s">
        <v>1200</v>
      </c>
      <c r="B1252" s="8">
        <v>28642.0</v>
      </c>
      <c r="C1252" s="8"/>
      <c r="D1252" s="8"/>
      <c r="E1252" s="8"/>
      <c r="F1252" s="8"/>
    </row>
    <row r="1253" ht="13.5" customHeight="1">
      <c r="A1253" s="8" t="s">
        <v>1211</v>
      </c>
      <c r="B1253" s="8">
        <v>29380.0</v>
      </c>
      <c r="C1253" s="8"/>
      <c r="D1253" s="8"/>
      <c r="E1253" s="8"/>
      <c r="F1253" s="8"/>
    </row>
    <row r="1254" ht="13.5" customHeight="1">
      <c r="A1254" s="8" t="s">
        <v>1200</v>
      </c>
      <c r="B1254" s="8">
        <v>32036.0</v>
      </c>
      <c r="C1254" s="8"/>
      <c r="D1254" s="8"/>
      <c r="E1254" s="8"/>
      <c r="F1254" s="8"/>
    </row>
    <row r="1255" ht="13.5" customHeight="1">
      <c r="A1255" s="8" t="s">
        <v>1200</v>
      </c>
      <c r="B1255" s="8">
        <v>32295.0</v>
      </c>
      <c r="C1255" s="8"/>
      <c r="D1255" s="8"/>
      <c r="E1255" s="8"/>
      <c r="F1255" s="8"/>
    </row>
    <row r="1256" ht="13.5" customHeight="1">
      <c r="A1256" s="8" t="s">
        <v>1206</v>
      </c>
      <c r="B1256" s="8">
        <v>33505.0</v>
      </c>
      <c r="C1256" s="8"/>
      <c r="D1256" s="8"/>
      <c r="E1256" s="8"/>
      <c r="F1256" s="8"/>
    </row>
    <row r="1257" ht="13.5" customHeight="1">
      <c r="A1257" s="8" t="s">
        <v>1212</v>
      </c>
      <c r="B1257" s="8">
        <v>34086.0</v>
      </c>
      <c r="C1257" s="8"/>
      <c r="D1257" s="8"/>
      <c r="E1257" s="8"/>
      <c r="F1257" s="8"/>
    </row>
    <row r="1258" ht="13.5" customHeight="1">
      <c r="A1258" s="8" t="s">
        <v>1203</v>
      </c>
      <c r="B1258" s="8">
        <v>34209.0</v>
      </c>
      <c r="C1258" s="8"/>
      <c r="D1258" s="8"/>
      <c r="E1258" s="8"/>
      <c r="F1258" s="8"/>
    </row>
    <row r="1259" ht="13.5" customHeight="1">
      <c r="A1259" s="8" t="s">
        <v>1222</v>
      </c>
      <c r="B1259" s="8">
        <v>36807.0</v>
      </c>
      <c r="C1259" s="8"/>
      <c r="D1259" s="8"/>
      <c r="E1259" s="8"/>
      <c r="F1259" s="8"/>
    </row>
    <row r="1260" ht="13.5" customHeight="1">
      <c r="A1260" s="8" t="s">
        <v>1212</v>
      </c>
      <c r="B1260" s="8">
        <v>37318.0</v>
      </c>
      <c r="C1260" s="8"/>
      <c r="D1260" s="8"/>
      <c r="E1260" s="8"/>
      <c r="F1260" s="8"/>
    </row>
    <row r="1261" ht="13.5" customHeight="1">
      <c r="A1261" s="8" t="s">
        <v>1200</v>
      </c>
      <c r="B1261" s="8">
        <v>38496.0</v>
      </c>
      <c r="C1261" s="8"/>
      <c r="D1261" s="8"/>
      <c r="E1261" s="8"/>
      <c r="F1261" s="8"/>
    </row>
    <row r="1262" ht="13.5" customHeight="1">
      <c r="A1262" s="8" t="s">
        <v>1227</v>
      </c>
      <c r="B1262" s="8">
        <v>41702.0</v>
      </c>
      <c r="C1262" s="8"/>
      <c r="D1262" s="8"/>
      <c r="E1262" s="8"/>
      <c r="F1262" s="8"/>
    </row>
    <row r="1263" ht="13.5" customHeight="1">
      <c r="A1263" s="8" t="s">
        <v>1203</v>
      </c>
      <c r="B1263" s="8">
        <v>44706.0</v>
      </c>
      <c r="C1263" s="8"/>
      <c r="D1263" s="8"/>
      <c r="E1263" s="8"/>
      <c r="F1263" s="8"/>
    </row>
    <row r="1264" ht="13.5" customHeight="1">
      <c r="A1264" s="8" t="s">
        <v>1203</v>
      </c>
      <c r="B1264" s="8">
        <v>45347.0</v>
      </c>
      <c r="C1264" s="8"/>
      <c r="D1264" s="8"/>
      <c r="E1264" s="8"/>
      <c r="F1264" s="8"/>
    </row>
    <row r="1265" ht="13.5" customHeight="1">
      <c r="A1265" s="8" t="s">
        <v>1228</v>
      </c>
      <c r="B1265" s="8">
        <v>46627.0</v>
      </c>
      <c r="C1265" s="8"/>
      <c r="D1265" s="8"/>
      <c r="E1265" s="8"/>
      <c r="F1265" s="8"/>
    </row>
    <row r="1266" ht="13.5" customHeight="1">
      <c r="A1266" s="8" t="s">
        <v>1227</v>
      </c>
      <c r="B1266" s="8">
        <v>47168.0</v>
      </c>
      <c r="C1266" s="8"/>
      <c r="D1266" s="8"/>
      <c r="E1266" s="8"/>
      <c r="F1266" s="8"/>
    </row>
    <row r="1267" ht="13.5" customHeight="1">
      <c r="A1267" s="8" t="s">
        <v>1229</v>
      </c>
      <c r="B1267" s="8">
        <v>50051.0</v>
      </c>
      <c r="C1267" s="8"/>
      <c r="D1267" s="8"/>
      <c r="E1267" s="8"/>
      <c r="F1267" s="8"/>
    </row>
    <row r="1268" ht="13.5" customHeight="1">
      <c r="A1268" s="8" t="s">
        <v>1201</v>
      </c>
      <c r="B1268" s="8">
        <v>50433.0</v>
      </c>
      <c r="C1268" s="8"/>
      <c r="D1268" s="8"/>
      <c r="E1268" s="8"/>
      <c r="F1268" s="8"/>
    </row>
    <row r="1269" ht="13.5" customHeight="1">
      <c r="A1269" s="8" t="s">
        <v>1201</v>
      </c>
      <c r="B1269" s="8">
        <v>50721.0</v>
      </c>
      <c r="C1269" s="8"/>
      <c r="D1269" s="8"/>
      <c r="E1269" s="8"/>
      <c r="F1269" s="8"/>
    </row>
    <row r="1270" ht="13.5" customHeight="1">
      <c r="A1270" s="8" t="s">
        <v>1203</v>
      </c>
      <c r="B1270" s="8">
        <v>50758.0</v>
      </c>
      <c r="C1270" s="8"/>
      <c r="D1270" s="8"/>
      <c r="E1270" s="8"/>
      <c r="F1270" s="8"/>
    </row>
    <row r="1271" ht="13.5" customHeight="1">
      <c r="A1271" s="8" t="s">
        <v>1200</v>
      </c>
      <c r="B1271" s="8">
        <v>50883.0</v>
      </c>
      <c r="C1271" s="8"/>
      <c r="D1271" s="8"/>
      <c r="E1271" s="8"/>
      <c r="F1271" s="8"/>
    </row>
    <row r="1272" ht="13.5" customHeight="1">
      <c r="A1272" s="8" t="s">
        <v>1200</v>
      </c>
      <c r="B1272" s="8">
        <v>51524.0</v>
      </c>
      <c r="C1272" s="8"/>
      <c r="D1272" s="8"/>
      <c r="E1272" s="8"/>
      <c r="F1272" s="8"/>
    </row>
    <row r="1273" ht="13.5" customHeight="1">
      <c r="A1273" s="8" t="s">
        <v>1204</v>
      </c>
      <c r="B1273" s="8">
        <v>52322.0</v>
      </c>
      <c r="C1273" s="8"/>
      <c r="D1273" s="8"/>
      <c r="E1273" s="8"/>
      <c r="F1273" s="8"/>
    </row>
    <row r="1274" ht="13.5" customHeight="1">
      <c r="A1274" s="8" t="s">
        <v>1204</v>
      </c>
      <c r="B1274" s="8">
        <v>52932.0</v>
      </c>
      <c r="C1274" s="8"/>
      <c r="D1274" s="8"/>
      <c r="E1274" s="8"/>
      <c r="F1274" s="8"/>
    </row>
    <row r="1275" ht="13.5" customHeight="1">
      <c r="A1275" s="8" t="s">
        <v>1212</v>
      </c>
      <c r="B1275" s="8">
        <v>52995.0</v>
      </c>
      <c r="C1275" s="8"/>
      <c r="D1275" s="8"/>
      <c r="E1275" s="8"/>
      <c r="F1275" s="8"/>
    </row>
    <row r="1276" ht="13.5" customHeight="1">
      <c r="A1276" s="8" t="s">
        <v>1203</v>
      </c>
      <c r="B1276" s="8">
        <v>53024.0</v>
      </c>
      <c r="C1276" s="8"/>
      <c r="D1276" s="8"/>
      <c r="E1276" s="8"/>
      <c r="F1276" s="8"/>
    </row>
    <row r="1277" ht="13.5" customHeight="1">
      <c r="A1277" s="8" t="s">
        <v>1204</v>
      </c>
      <c r="B1277" s="8">
        <v>54145.0</v>
      </c>
      <c r="C1277" s="8"/>
      <c r="D1277" s="8"/>
      <c r="E1277" s="8"/>
      <c r="F1277" s="8"/>
    </row>
    <row r="1278" ht="13.5" customHeight="1">
      <c r="A1278" s="8" t="s">
        <v>1229</v>
      </c>
      <c r="B1278" s="8">
        <v>55840.0</v>
      </c>
      <c r="C1278" s="8"/>
      <c r="D1278" s="8"/>
      <c r="E1278" s="8"/>
      <c r="F1278" s="8"/>
    </row>
    <row r="1279" ht="13.5" customHeight="1">
      <c r="A1279" s="8" t="s">
        <v>1228</v>
      </c>
      <c r="B1279" s="8">
        <v>56930.0</v>
      </c>
      <c r="C1279" s="8"/>
      <c r="D1279" s="8"/>
      <c r="E1279" s="8"/>
      <c r="F1279" s="8"/>
    </row>
    <row r="1280" ht="13.5" customHeight="1">
      <c r="A1280" s="8" t="s">
        <v>1222</v>
      </c>
      <c r="B1280" s="8">
        <v>57570.0</v>
      </c>
      <c r="C1280" s="8"/>
      <c r="D1280" s="8"/>
      <c r="E1280" s="8"/>
      <c r="F1280" s="8"/>
    </row>
    <row r="1281" ht="13.5" customHeight="1">
      <c r="A1281" s="8" t="s">
        <v>1200</v>
      </c>
      <c r="B1281" s="8">
        <v>58051.0</v>
      </c>
      <c r="C1281" s="8"/>
      <c r="D1281" s="8"/>
      <c r="E1281" s="8"/>
      <c r="F1281" s="8"/>
    </row>
    <row r="1282" ht="13.5" customHeight="1">
      <c r="A1282" s="8" t="s">
        <v>1200</v>
      </c>
      <c r="B1282" s="8">
        <v>59392.0</v>
      </c>
      <c r="C1282" s="8"/>
      <c r="D1282" s="8"/>
      <c r="E1282" s="8"/>
      <c r="F1282" s="8"/>
    </row>
    <row r="1283" ht="13.5" customHeight="1">
      <c r="A1283" s="8" t="s">
        <v>1233</v>
      </c>
      <c r="B1283" s="8">
        <v>3136.0</v>
      </c>
      <c r="C1283" s="8"/>
      <c r="D1283" s="8"/>
      <c r="E1283" s="8"/>
      <c r="F1283" s="8"/>
    </row>
    <row r="1284" ht="13.5" customHeight="1">
      <c r="A1284" s="8" t="s">
        <v>622</v>
      </c>
      <c r="B1284" s="8">
        <v>3648.0</v>
      </c>
      <c r="C1284" s="8"/>
      <c r="D1284" s="8"/>
      <c r="E1284" s="8"/>
      <c r="F1284" s="8"/>
    </row>
    <row r="1285" ht="13.5" customHeight="1">
      <c r="A1285" s="8" t="s">
        <v>622</v>
      </c>
      <c r="B1285" s="8">
        <v>6246.0</v>
      </c>
      <c r="C1285" s="8"/>
      <c r="D1285" s="8"/>
      <c r="E1285" s="8"/>
      <c r="F1285" s="8"/>
    </row>
    <row r="1286" ht="13.5" customHeight="1">
      <c r="A1286" s="8" t="s">
        <v>1236</v>
      </c>
      <c r="B1286" s="8">
        <v>9028.0</v>
      </c>
      <c r="C1286" s="8"/>
      <c r="D1286" s="8"/>
      <c r="E1286" s="8"/>
      <c r="F1286" s="8"/>
    </row>
    <row r="1287" ht="13.5" customHeight="1">
      <c r="A1287" s="8" t="s">
        <v>622</v>
      </c>
      <c r="B1287" s="8">
        <v>9478.0</v>
      </c>
      <c r="C1287" s="8"/>
      <c r="D1287" s="8"/>
      <c r="E1287" s="8"/>
      <c r="F1287" s="8"/>
    </row>
    <row r="1288" ht="13.5" customHeight="1">
      <c r="A1288" s="8" t="s">
        <v>833</v>
      </c>
      <c r="B1288" s="8">
        <v>12323.0</v>
      </c>
      <c r="C1288" s="8"/>
      <c r="D1288" s="8"/>
      <c r="E1288" s="8"/>
      <c r="F1288" s="8"/>
    </row>
    <row r="1289" ht="13.5" customHeight="1">
      <c r="A1289" s="8" t="s">
        <v>1236</v>
      </c>
      <c r="B1289" s="8">
        <v>13830.0</v>
      </c>
      <c r="C1289" s="8"/>
      <c r="D1289" s="8"/>
      <c r="E1289" s="8"/>
      <c r="F1289" s="8"/>
    </row>
    <row r="1290" ht="13.5" customHeight="1">
      <c r="A1290" s="8" t="s">
        <v>833</v>
      </c>
      <c r="B1290" s="8">
        <v>14791.0</v>
      </c>
      <c r="C1290" s="8"/>
      <c r="D1290" s="8"/>
      <c r="E1290" s="8"/>
      <c r="F1290" s="8"/>
    </row>
    <row r="1291" ht="13.5" customHeight="1">
      <c r="A1291" s="8" t="s">
        <v>833</v>
      </c>
      <c r="B1291" s="8">
        <v>18085.0</v>
      </c>
      <c r="C1291" s="8"/>
      <c r="D1291" s="8"/>
      <c r="E1291" s="8"/>
      <c r="F1291" s="8"/>
    </row>
    <row r="1292" ht="13.5" customHeight="1">
      <c r="A1292" s="8" t="s">
        <v>622</v>
      </c>
      <c r="B1292" s="8">
        <v>20674.0</v>
      </c>
      <c r="C1292" s="8"/>
      <c r="D1292" s="8"/>
      <c r="E1292" s="8"/>
      <c r="F1292" s="8"/>
    </row>
    <row r="1293" ht="13.5" customHeight="1">
      <c r="A1293" s="8" t="s">
        <v>1233</v>
      </c>
      <c r="B1293" s="8">
        <v>24903.0</v>
      </c>
      <c r="C1293" s="8"/>
      <c r="D1293" s="8"/>
      <c r="E1293" s="8"/>
      <c r="F1293" s="8"/>
    </row>
    <row r="1294" ht="13.5" customHeight="1">
      <c r="A1294" s="8" t="s">
        <v>833</v>
      </c>
      <c r="B1294" s="8">
        <v>25735.0</v>
      </c>
      <c r="C1294" s="8"/>
      <c r="D1294" s="8"/>
      <c r="E1294" s="8"/>
      <c r="F1294" s="8"/>
    </row>
    <row r="1295" ht="13.5" customHeight="1">
      <c r="A1295" s="8" t="s">
        <v>833</v>
      </c>
      <c r="B1295" s="8">
        <v>29856.0</v>
      </c>
      <c r="C1295" s="8"/>
      <c r="D1295" s="8"/>
      <c r="E1295" s="8"/>
      <c r="F1295" s="8"/>
    </row>
    <row r="1296" ht="13.5" customHeight="1">
      <c r="A1296" s="8" t="s">
        <v>993</v>
      </c>
      <c r="B1296" s="8">
        <v>32580.0</v>
      </c>
      <c r="C1296" s="8"/>
      <c r="D1296" s="8"/>
      <c r="E1296" s="8"/>
      <c r="F1296" s="8"/>
    </row>
    <row r="1297" ht="13.5" customHeight="1">
      <c r="A1297" s="8" t="s">
        <v>1233</v>
      </c>
      <c r="B1297" s="8">
        <v>34017.0</v>
      </c>
      <c r="C1297" s="8"/>
      <c r="D1297" s="8"/>
      <c r="E1297" s="8"/>
      <c r="F1297" s="8"/>
    </row>
    <row r="1298" ht="13.5" customHeight="1">
      <c r="A1298" s="8" t="s">
        <v>1233</v>
      </c>
      <c r="B1298" s="8">
        <v>42597.0</v>
      </c>
      <c r="C1298" s="8"/>
      <c r="D1298" s="8"/>
      <c r="E1298" s="8"/>
      <c r="F1298" s="8"/>
    </row>
    <row r="1299" ht="13.5" customHeight="1">
      <c r="A1299" s="8" t="s">
        <v>1233</v>
      </c>
      <c r="B1299" s="8">
        <v>46884.0</v>
      </c>
      <c r="C1299" s="8"/>
      <c r="D1299" s="8"/>
      <c r="E1299" s="8"/>
      <c r="F1299" s="8"/>
    </row>
    <row r="1300" ht="13.5" customHeight="1">
      <c r="A1300" s="8" t="s">
        <v>993</v>
      </c>
      <c r="B1300" s="8">
        <v>52325.0</v>
      </c>
      <c r="C1300" s="8"/>
      <c r="D1300" s="8"/>
      <c r="E1300" s="8"/>
      <c r="F1300" s="8"/>
    </row>
    <row r="1301" ht="13.5" customHeight="1">
      <c r="A1301" s="8" t="s">
        <v>993</v>
      </c>
      <c r="B1301" s="8">
        <v>53382.0</v>
      </c>
      <c r="C1301" s="8"/>
      <c r="D1301" s="8"/>
      <c r="E1301" s="8"/>
      <c r="F1301" s="8"/>
    </row>
    <row r="1302" ht="13.5" customHeight="1">
      <c r="A1302" s="8" t="s">
        <v>993</v>
      </c>
      <c r="B1302" s="8">
        <v>53728.0</v>
      </c>
      <c r="C1302" s="8"/>
      <c r="D1302" s="8"/>
      <c r="E1302" s="8"/>
      <c r="F1302" s="8"/>
    </row>
    <row r="1303" ht="13.5" customHeight="1">
      <c r="A1303" s="8" t="s">
        <v>1242</v>
      </c>
      <c r="B1303" s="8">
        <v>65.0</v>
      </c>
      <c r="C1303" s="8"/>
      <c r="D1303" s="8"/>
      <c r="E1303" s="8"/>
      <c r="F1303" s="8"/>
    </row>
    <row r="1304" ht="13.5" customHeight="1">
      <c r="A1304" s="8" t="s">
        <v>1243</v>
      </c>
      <c r="B1304" s="8">
        <v>230.0</v>
      </c>
      <c r="C1304" s="8"/>
      <c r="D1304" s="8"/>
      <c r="E1304" s="8"/>
      <c r="F1304" s="8"/>
    </row>
    <row r="1305" ht="13.5" customHeight="1">
      <c r="A1305" s="8" t="s">
        <v>1244</v>
      </c>
      <c r="B1305" s="8">
        <v>355.0</v>
      </c>
      <c r="C1305" s="8"/>
      <c r="D1305" s="8"/>
      <c r="E1305" s="8"/>
      <c r="F1305" s="8"/>
    </row>
    <row r="1306" ht="13.5" customHeight="1">
      <c r="A1306" s="8" t="s">
        <v>1245</v>
      </c>
      <c r="B1306" s="8">
        <v>449.0</v>
      </c>
      <c r="C1306" s="8"/>
      <c r="D1306" s="8"/>
      <c r="E1306" s="8"/>
      <c r="F1306" s="8"/>
    </row>
    <row r="1307" ht="13.5" customHeight="1">
      <c r="A1307" s="8" t="s">
        <v>1246</v>
      </c>
      <c r="B1307" s="8">
        <v>640.0</v>
      </c>
      <c r="C1307" s="8"/>
      <c r="D1307" s="8"/>
      <c r="E1307" s="8"/>
      <c r="F1307" s="8"/>
    </row>
    <row r="1308" ht="13.5" customHeight="1">
      <c r="A1308" s="8" t="s">
        <v>1248</v>
      </c>
      <c r="B1308" s="8">
        <v>646.0</v>
      </c>
      <c r="C1308" s="8"/>
      <c r="D1308" s="8"/>
      <c r="E1308" s="8"/>
      <c r="F1308" s="8"/>
    </row>
    <row r="1309" ht="13.5" customHeight="1">
      <c r="A1309" s="8" t="s">
        <v>1248</v>
      </c>
      <c r="B1309" s="8">
        <v>835.0</v>
      </c>
      <c r="C1309" s="8"/>
      <c r="D1309" s="8"/>
      <c r="E1309" s="8"/>
      <c r="F1309" s="8"/>
    </row>
    <row r="1310" ht="13.5" customHeight="1">
      <c r="A1310" s="8" t="s">
        <v>1250</v>
      </c>
      <c r="B1310" s="8">
        <v>896.0</v>
      </c>
      <c r="C1310" s="8"/>
      <c r="D1310" s="8"/>
      <c r="E1310" s="8"/>
      <c r="F1310" s="8"/>
    </row>
    <row r="1311" ht="13.5" customHeight="1">
      <c r="A1311" s="8" t="s">
        <v>1251</v>
      </c>
      <c r="B1311" s="8">
        <v>994.0</v>
      </c>
      <c r="C1311" s="8"/>
      <c r="D1311" s="8"/>
      <c r="E1311" s="8"/>
      <c r="F1311" s="8"/>
    </row>
    <row r="1312" ht="13.5" customHeight="1">
      <c r="A1312" s="8" t="s">
        <v>1252</v>
      </c>
      <c r="B1312" s="8">
        <v>1057.0</v>
      </c>
      <c r="C1312" s="8"/>
      <c r="D1312" s="8"/>
      <c r="E1312" s="8"/>
      <c r="F1312" s="8"/>
    </row>
    <row r="1313" ht="13.5" customHeight="1">
      <c r="A1313" s="8" t="s">
        <v>1253</v>
      </c>
      <c r="B1313" s="8">
        <v>1538.0</v>
      </c>
      <c r="C1313" s="8"/>
      <c r="D1313" s="8"/>
      <c r="E1313" s="8"/>
      <c r="F1313" s="8"/>
    </row>
    <row r="1314" ht="13.5" customHeight="1">
      <c r="A1314" s="8" t="s">
        <v>1255</v>
      </c>
      <c r="B1314" s="8">
        <v>1701.0</v>
      </c>
      <c r="C1314" s="8"/>
      <c r="D1314" s="8"/>
      <c r="E1314" s="8"/>
      <c r="F1314" s="8"/>
    </row>
    <row r="1315" ht="13.5" customHeight="1">
      <c r="A1315" s="8" t="s">
        <v>1256</v>
      </c>
      <c r="B1315" s="8">
        <v>1891.0</v>
      </c>
      <c r="C1315" s="8"/>
      <c r="D1315" s="8"/>
      <c r="E1315" s="8"/>
      <c r="F1315" s="8"/>
    </row>
    <row r="1316" ht="13.5" customHeight="1">
      <c r="A1316" s="8" t="s">
        <v>1257</v>
      </c>
      <c r="B1316" s="8">
        <v>2022.0</v>
      </c>
      <c r="C1316" s="8"/>
      <c r="D1316" s="8"/>
      <c r="E1316" s="8"/>
      <c r="F1316" s="8"/>
    </row>
    <row r="1317" ht="13.5" customHeight="1">
      <c r="A1317" s="8" t="s">
        <v>1251</v>
      </c>
      <c r="B1317" s="8">
        <v>2181.0</v>
      </c>
      <c r="C1317" s="8"/>
      <c r="D1317" s="8"/>
      <c r="E1317" s="8"/>
      <c r="F1317" s="8"/>
    </row>
    <row r="1318" ht="13.5" customHeight="1">
      <c r="A1318" s="8" t="s">
        <v>1259</v>
      </c>
      <c r="B1318" s="8">
        <v>2628.0</v>
      </c>
      <c r="C1318" s="8"/>
      <c r="D1318" s="8"/>
      <c r="E1318" s="8"/>
      <c r="F1318" s="8"/>
    </row>
    <row r="1319" ht="13.5" customHeight="1">
      <c r="A1319" s="8" t="s">
        <v>1253</v>
      </c>
      <c r="B1319" s="8">
        <v>2691.0</v>
      </c>
      <c r="C1319" s="8"/>
      <c r="D1319" s="8"/>
      <c r="E1319" s="8"/>
      <c r="F1319" s="8"/>
    </row>
    <row r="1320" ht="13.5" customHeight="1">
      <c r="A1320" s="8" t="s">
        <v>1242</v>
      </c>
      <c r="B1320" s="8">
        <v>2912.0</v>
      </c>
      <c r="C1320" s="8"/>
      <c r="D1320" s="8"/>
      <c r="E1320" s="8"/>
      <c r="F1320" s="8"/>
    </row>
    <row r="1321" ht="13.5" customHeight="1">
      <c r="A1321" s="8" t="s">
        <v>1261</v>
      </c>
      <c r="B1321" s="8">
        <v>3235.0</v>
      </c>
      <c r="C1321" s="8"/>
      <c r="D1321" s="8"/>
      <c r="E1321" s="8"/>
      <c r="F1321" s="8"/>
    </row>
    <row r="1322" ht="13.5" customHeight="1">
      <c r="A1322" s="8" t="s">
        <v>1262</v>
      </c>
      <c r="B1322" s="8">
        <v>3266.0</v>
      </c>
      <c r="C1322" s="8"/>
      <c r="D1322" s="8"/>
      <c r="E1322" s="8"/>
      <c r="F1322" s="8"/>
    </row>
    <row r="1323" ht="13.5" customHeight="1">
      <c r="A1323" s="8" t="s">
        <v>1263</v>
      </c>
      <c r="B1323" s="8">
        <v>3363.0</v>
      </c>
      <c r="C1323" s="8"/>
      <c r="D1323" s="8"/>
      <c r="E1323" s="8"/>
      <c r="F1323" s="8"/>
    </row>
    <row r="1324" ht="13.5" customHeight="1">
      <c r="A1324" s="8" t="s">
        <v>1264</v>
      </c>
      <c r="B1324" s="8">
        <v>3585.0</v>
      </c>
      <c r="C1324" s="8"/>
      <c r="D1324" s="8"/>
      <c r="E1324" s="8"/>
      <c r="F1324" s="8"/>
    </row>
    <row r="1325" ht="13.5" customHeight="1">
      <c r="A1325" s="8" t="s">
        <v>1265</v>
      </c>
      <c r="B1325" s="8">
        <v>3745.0</v>
      </c>
      <c r="C1325" s="8"/>
      <c r="D1325" s="8"/>
      <c r="E1325" s="8"/>
      <c r="F1325" s="8"/>
    </row>
    <row r="1326" ht="13.5" customHeight="1">
      <c r="A1326" s="8" t="s">
        <v>1266</v>
      </c>
      <c r="B1326" s="8">
        <v>4128.0</v>
      </c>
      <c r="C1326" s="8"/>
      <c r="D1326" s="8"/>
      <c r="E1326" s="8"/>
      <c r="F1326" s="8"/>
    </row>
    <row r="1327" ht="13.5" customHeight="1">
      <c r="A1327" s="8" t="s">
        <v>1243</v>
      </c>
      <c r="B1327" s="8">
        <v>4354.0</v>
      </c>
      <c r="C1327" s="8"/>
      <c r="D1327" s="8"/>
      <c r="E1327" s="8"/>
      <c r="F1327" s="8"/>
    </row>
    <row r="1328" ht="13.5" customHeight="1">
      <c r="A1328" s="8" t="s">
        <v>1263</v>
      </c>
      <c r="B1328" s="8">
        <v>4550.0</v>
      </c>
      <c r="C1328" s="8"/>
      <c r="D1328" s="8"/>
      <c r="E1328" s="8"/>
      <c r="F1328" s="8"/>
    </row>
    <row r="1329" ht="13.5" customHeight="1">
      <c r="A1329" s="8" t="s">
        <v>1263</v>
      </c>
      <c r="B1329" s="8">
        <v>4743.0</v>
      </c>
      <c r="C1329" s="8"/>
      <c r="D1329" s="8"/>
      <c r="E1329" s="8"/>
      <c r="F1329" s="8"/>
    </row>
    <row r="1330" ht="13.5" customHeight="1">
      <c r="A1330" s="8" t="s">
        <v>1242</v>
      </c>
      <c r="B1330" s="8">
        <v>5251.0</v>
      </c>
      <c r="C1330" s="8"/>
      <c r="D1330" s="8"/>
      <c r="E1330" s="8"/>
      <c r="F1330" s="8"/>
    </row>
    <row r="1331" ht="13.5" customHeight="1">
      <c r="A1331" s="8" t="s">
        <v>1263</v>
      </c>
      <c r="B1331" s="8">
        <v>5283.0</v>
      </c>
      <c r="C1331" s="8"/>
      <c r="D1331" s="8"/>
      <c r="E1331" s="8"/>
      <c r="F1331" s="8"/>
    </row>
    <row r="1332" ht="13.5" customHeight="1">
      <c r="A1332" s="8" t="s">
        <v>1250</v>
      </c>
      <c r="B1332" s="8">
        <v>5381.0</v>
      </c>
      <c r="C1332" s="8"/>
      <c r="D1332" s="8"/>
      <c r="E1332" s="8"/>
      <c r="F1332" s="8"/>
    </row>
    <row r="1333" ht="13.5" customHeight="1">
      <c r="A1333" s="8" t="s">
        <v>1272</v>
      </c>
      <c r="B1333" s="8">
        <v>5444.0</v>
      </c>
      <c r="C1333" s="8"/>
      <c r="D1333" s="8"/>
      <c r="E1333" s="8"/>
      <c r="F1333" s="8"/>
    </row>
    <row r="1334" ht="13.5" customHeight="1">
      <c r="A1334" s="8" t="s">
        <v>1273</v>
      </c>
      <c r="B1334" s="8">
        <v>5601.0</v>
      </c>
      <c r="C1334" s="8"/>
      <c r="D1334" s="8"/>
      <c r="E1334" s="8"/>
      <c r="F1334" s="8"/>
    </row>
    <row r="1335" ht="13.5" customHeight="1">
      <c r="A1335" s="8" t="s">
        <v>1274</v>
      </c>
      <c r="B1335" s="8">
        <v>5760.0</v>
      </c>
      <c r="C1335" s="8"/>
      <c r="D1335" s="8"/>
      <c r="E1335" s="8"/>
      <c r="F1335" s="8"/>
    </row>
    <row r="1336" ht="13.5" customHeight="1">
      <c r="A1336" s="8" t="s">
        <v>1276</v>
      </c>
      <c r="B1336" s="8">
        <v>6438.0</v>
      </c>
      <c r="C1336" s="8"/>
      <c r="D1336" s="8"/>
      <c r="E1336" s="8"/>
      <c r="F1336" s="8"/>
    </row>
    <row r="1337" ht="13.5" customHeight="1">
      <c r="A1337" s="8" t="s">
        <v>1246</v>
      </c>
      <c r="B1337" s="8">
        <v>6592.0</v>
      </c>
      <c r="C1337" s="8"/>
      <c r="D1337" s="8"/>
      <c r="E1337" s="8"/>
      <c r="F1337" s="8"/>
    </row>
    <row r="1338" ht="13.5" customHeight="1">
      <c r="A1338" s="8" t="s">
        <v>1251</v>
      </c>
      <c r="B1338" s="8">
        <v>6755.0</v>
      </c>
      <c r="C1338" s="8"/>
      <c r="D1338" s="8"/>
      <c r="E1338" s="8"/>
      <c r="F1338" s="8"/>
    </row>
    <row r="1339" ht="13.5" customHeight="1">
      <c r="A1339" s="8" t="s">
        <v>1277</v>
      </c>
      <c r="B1339" s="8">
        <v>6918.0</v>
      </c>
      <c r="C1339" s="8"/>
      <c r="D1339" s="8"/>
      <c r="E1339" s="8"/>
      <c r="F1339" s="8"/>
    </row>
    <row r="1340" ht="13.5" customHeight="1">
      <c r="A1340" s="8" t="s">
        <v>1278</v>
      </c>
      <c r="B1340" s="8">
        <v>7841.0</v>
      </c>
      <c r="C1340" s="8"/>
      <c r="D1340" s="8"/>
      <c r="E1340" s="8"/>
      <c r="F1340" s="8"/>
    </row>
    <row r="1341" ht="13.5" customHeight="1">
      <c r="A1341" s="8" t="s">
        <v>1280</v>
      </c>
      <c r="B1341" s="8">
        <v>8103.0</v>
      </c>
      <c r="C1341" s="8"/>
      <c r="D1341" s="8"/>
      <c r="E1341" s="8"/>
      <c r="F1341" s="8"/>
    </row>
    <row r="1342" ht="13.5" customHeight="1">
      <c r="A1342" s="8" t="s">
        <v>1261</v>
      </c>
      <c r="B1342" s="8">
        <v>8258.0</v>
      </c>
      <c r="C1342" s="8"/>
      <c r="D1342" s="8"/>
      <c r="E1342" s="8"/>
      <c r="F1342" s="8"/>
    </row>
    <row r="1343" ht="13.5" customHeight="1">
      <c r="A1343" s="8" t="s">
        <v>1282</v>
      </c>
      <c r="B1343" s="8">
        <v>8454.0</v>
      </c>
      <c r="C1343" s="8"/>
      <c r="D1343" s="8"/>
      <c r="E1343" s="8"/>
      <c r="F1343" s="8"/>
    </row>
    <row r="1344" ht="13.5" customHeight="1">
      <c r="A1344" s="8" t="s">
        <v>1242</v>
      </c>
      <c r="B1344" s="8">
        <v>8710.0</v>
      </c>
      <c r="C1344" s="8"/>
      <c r="D1344" s="8"/>
      <c r="E1344" s="8"/>
      <c r="F1344" s="8"/>
    </row>
    <row r="1345" ht="13.5" customHeight="1">
      <c r="A1345" s="8" t="s">
        <v>1261</v>
      </c>
      <c r="B1345" s="8">
        <v>8835.0</v>
      </c>
      <c r="C1345" s="8"/>
      <c r="D1345" s="8"/>
      <c r="E1345" s="8"/>
      <c r="F1345" s="8"/>
    </row>
    <row r="1346" ht="13.5" customHeight="1">
      <c r="A1346" s="8" t="s">
        <v>1282</v>
      </c>
      <c r="B1346" s="8">
        <v>8960.0</v>
      </c>
      <c r="C1346" s="8"/>
      <c r="D1346" s="8"/>
      <c r="E1346" s="8"/>
      <c r="F1346" s="8"/>
    </row>
    <row r="1347" ht="13.5" customHeight="1">
      <c r="A1347" s="8" t="s">
        <v>1257</v>
      </c>
      <c r="B1347" s="8">
        <v>9281.0</v>
      </c>
      <c r="C1347" s="8"/>
      <c r="D1347" s="8"/>
      <c r="E1347" s="8"/>
      <c r="F1347" s="8"/>
    </row>
    <row r="1348" ht="13.5" customHeight="1">
      <c r="A1348" s="8" t="s">
        <v>1278</v>
      </c>
      <c r="B1348" s="8">
        <v>9350.0</v>
      </c>
      <c r="C1348" s="8"/>
      <c r="D1348" s="8"/>
      <c r="E1348" s="8"/>
      <c r="F1348" s="8"/>
    </row>
    <row r="1349" ht="13.5" customHeight="1">
      <c r="A1349" s="8" t="s">
        <v>1285</v>
      </c>
      <c r="B1349" s="8">
        <v>9665.0</v>
      </c>
      <c r="C1349" s="8"/>
      <c r="D1349" s="8"/>
      <c r="E1349" s="8"/>
      <c r="F1349" s="8"/>
    </row>
    <row r="1350" ht="13.5" customHeight="1">
      <c r="A1350" s="8" t="s">
        <v>1250</v>
      </c>
      <c r="B1350" s="8">
        <v>9893.0</v>
      </c>
      <c r="C1350" s="8"/>
      <c r="D1350" s="8"/>
      <c r="E1350" s="8"/>
      <c r="F1350" s="8"/>
    </row>
    <row r="1351" ht="13.5" customHeight="1">
      <c r="A1351" s="8" t="s">
        <v>1278</v>
      </c>
      <c r="B1351" s="8">
        <v>10183.0</v>
      </c>
      <c r="C1351" s="8"/>
      <c r="D1351" s="8"/>
      <c r="E1351" s="8"/>
      <c r="F1351" s="8"/>
    </row>
    <row r="1352" ht="13.5" customHeight="1">
      <c r="A1352" s="8" t="s">
        <v>1262</v>
      </c>
      <c r="B1352" s="8">
        <v>10247.0</v>
      </c>
      <c r="C1352" s="8"/>
      <c r="D1352" s="8"/>
      <c r="E1352" s="8"/>
      <c r="F1352" s="8"/>
    </row>
    <row r="1353" ht="13.5" customHeight="1">
      <c r="A1353" s="8" t="s">
        <v>1286</v>
      </c>
      <c r="B1353" s="8">
        <v>10371.0</v>
      </c>
      <c r="C1353" s="8"/>
      <c r="D1353" s="8"/>
      <c r="E1353" s="8"/>
      <c r="F1353" s="8"/>
    </row>
    <row r="1354" ht="13.5" customHeight="1">
      <c r="A1354" s="8" t="s">
        <v>1288</v>
      </c>
      <c r="B1354" s="8">
        <v>10498.0</v>
      </c>
      <c r="C1354" s="8"/>
      <c r="D1354" s="8"/>
      <c r="E1354" s="8"/>
      <c r="F1354" s="8"/>
    </row>
    <row r="1355" ht="13.5" customHeight="1">
      <c r="A1355" s="8" t="s">
        <v>1289</v>
      </c>
      <c r="B1355" s="8">
        <v>10624.0</v>
      </c>
      <c r="C1355" s="8"/>
      <c r="D1355" s="8"/>
      <c r="E1355" s="8"/>
      <c r="F1355" s="8"/>
    </row>
    <row r="1356" ht="13.5" customHeight="1">
      <c r="A1356" s="8" t="s">
        <v>1290</v>
      </c>
      <c r="B1356" s="8">
        <v>11425.0</v>
      </c>
      <c r="C1356" s="8"/>
      <c r="D1356" s="8"/>
      <c r="E1356" s="8"/>
      <c r="F1356" s="8"/>
    </row>
    <row r="1357" ht="13.5" customHeight="1">
      <c r="A1357" s="8" t="s">
        <v>1278</v>
      </c>
      <c r="B1357" s="8">
        <v>11491.0</v>
      </c>
      <c r="C1357" s="8"/>
      <c r="D1357" s="8"/>
      <c r="E1357" s="8"/>
      <c r="F1357" s="8"/>
    </row>
    <row r="1358" ht="13.5" customHeight="1">
      <c r="A1358" s="8" t="s">
        <v>1286</v>
      </c>
      <c r="B1358" s="8">
        <v>11841.0</v>
      </c>
      <c r="C1358" s="8"/>
      <c r="D1358" s="8"/>
      <c r="E1358" s="8"/>
      <c r="F1358" s="8"/>
    </row>
    <row r="1359" ht="13.5" customHeight="1">
      <c r="A1359" s="8" t="s">
        <v>1288</v>
      </c>
      <c r="B1359" s="8">
        <v>11878.0</v>
      </c>
      <c r="C1359" s="8"/>
      <c r="D1359" s="8"/>
      <c r="E1359" s="8"/>
      <c r="F1359" s="8"/>
    </row>
    <row r="1360" ht="13.5" customHeight="1">
      <c r="A1360" s="8" t="s">
        <v>1291</v>
      </c>
      <c r="B1360" s="8">
        <v>12130.0</v>
      </c>
      <c r="C1360" s="8"/>
      <c r="D1360" s="8"/>
      <c r="E1360" s="8"/>
      <c r="F1360" s="8"/>
    </row>
    <row r="1361" ht="13.5" customHeight="1">
      <c r="A1361" s="8" t="s">
        <v>1278</v>
      </c>
      <c r="B1361" s="8">
        <v>12160.0</v>
      </c>
      <c r="C1361" s="8"/>
      <c r="D1361" s="8"/>
      <c r="E1361" s="8"/>
      <c r="F1361" s="8"/>
    </row>
    <row r="1362" ht="13.5" customHeight="1">
      <c r="A1362" s="8" t="s">
        <v>1251</v>
      </c>
      <c r="B1362" s="8">
        <v>12258.0</v>
      </c>
      <c r="C1362" s="8"/>
      <c r="D1362" s="8"/>
      <c r="E1362" s="8"/>
      <c r="F1362" s="8"/>
    </row>
    <row r="1363" ht="13.5" customHeight="1">
      <c r="A1363" s="8" t="s">
        <v>1293</v>
      </c>
      <c r="B1363" s="8">
        <v>12263.0</v>
      </c>
      <c r="C1363" s="8"/>
      <c r="D1363" s="8"/>
      <c r="E1363" s="8"/>
      <c r="F1363" s="8"/>
    </row>
    <row r="1364" ht="13.5" customHeight="1">
      <c r="A1364" s="8" t="s">
        <v>1295</v>
      </c>
      <c r="B1364" s="8">
        <v>12551.0</v>
      </c>
      <c r="C1364" s="8"/>
      <c r="D1364" s="8"/>
      <c r="E1364" s="8"/>
      <c r="F1364" s="8"/>
    </row>
    <row r="1365" ht="13.5" customHeight="1">
      <c r="A1365" s="8" t="s">
        <v>1244</v>
      </c>
      <c r="B1365" s="8">
        <v>12736.0</v>
      </c>
      <c r="C1365" s="8"/>
      <c r="D1365" s="8"/>
      <c r="E1365" s="8"/>
      <c r="F1365" s="8"/>
    </row>
    <row r="1366" ht="13.5" customHeight="1">
      <c r="A1366" s="8" t="s">
        <v>1251</v>
      </c>
      <c r="B1366" s="8">
        <v>12768.0</v>
      </c>
      <c r="C1366" s="8"/>
      <c r="D1366" s="8"/>
      <c r="E1366" s="8"/>
      <c r="F1366" s="8"/>
    </row>
    <row r="1367" ht="13.5" customHeight="1">
      <c r="A1367" s="8" t="s">
        <v>1296</v>
      </c>
      <c r="B1367" s="8">
        <v>12837.0</v>
      </c>
      <c r="C1367" s="8"/>
      <c r="D1367" s="8"/>
      <c r="E1367" s="8"/>
      <c r="F1367" s="8"/>
    </row>
    <row r="1368" ht="13.5" customHeight="1">
      <c r="A1368" s="8" t="s">
        <v>1262</v>
      </c>
      <c r="B1368" s="8">
        <v>12897.0</v>
      </c>
      <c r="C1368" s="8"/>
      <c r="D1368" s="8"/>
      <c r="E1368" s="8"/>
      <c r="F1368" s="8"/>
    </row>
    <row r="1369" ht="13.5" customHeight="1">
      <c r="A1369" s="8" t="s">
        <v>1274</v>
      </c>
      <c r="B1369" s="8">
        <v>13030.0</v>
      </c>
      <c r="C1369" s="8"/>
      <c r="D1369" s="8"/>
      <c r="E1369" s="8"/>
      <c r="F1369" s="8"/>
    </row>
    <row r="1370" ht="13.5" customHeight="1">
      <c r="A1370" s="8" t="s">
        <v>1298</v>
      </c>
      <c r="B1370" s="8">
        <v>13091.0</v>
      </c>
      <c r="C1370" s="8"/>
      <c r="D1370" s="8"/>
      <c r="E1370" s="8"/>
      <c r="F1370" s="8"/>
    </row>
    <row r="1371" ht="13.5" customHeight="1">
      <c r="A1371" s="8" t="s">
        <v>1248</v>
      </c>
      <c r="B1371" s="8">
        <v>13383.0</v>
      </c>
      <c r="C1371" s="8"/>
      <c r="D1371" s="8"/>
      <c r="E1371" s="8"/>
      <c r="F1371" s="8"/>
    </row>
    <row r="1372" ht="13.5" customHeight="1">
      <c r="A1372" s="8" t="s">
        <v>1299</v>
      </c>
      <c r="B1372" s="8">
        <v>13440.0</v>
      </c>
      <c r="C1372" s="8"/>
      <c r="D1372" s="8"/>
      <c r="E1372" s="8"/>
      <c r="F1372" s="8"/>
    </row>
    <row r="1373" ht="13.5" customHeight="1">
      <c r="A1373" s="8" t="s">
        <v>1277</v>
      </c>
      <c r="B1373" s="8">
        <v>13479.0</v>
      </c>
      <c r="C1373" s="8"/>
      <c r="D1373" s="8"/>
      <c r="E1373" s="8"/>
      <c r="F1373" s="8"/>
    </row>
    <row r="1374" ht="13.5" customHeight="1">
      <c r="A1374" s="8" t="s">
        <v>1257</v>
      </c>
      <c r="B1374" s="8">
        <v>13633.0</v>
      </c>
      <c r="C1374" s="8"/>
      <c r="D1374" s="8"/>
      <c r="E1374" s="8"/>
      <c r="F1374" s="8"/>
    </row>
    <row r="1375" ht="13.5" customHeight="1">
      <c r="A1375" s="8" t="s">
        <v>1262</v>
      </c>
      <c r="B1375" s="8">
        <v>13735.0</v>
      </c>
      <c r="C1375" s="8"/>
      <c r="D1375" s="8"/>
      <c r="E1375" s="8"/>
      <c r="F1375" s="8"/>
    </row>
    <row r="1376" ht="13.5" customHeight="1">
      <c r="A1376" s="8" t="s">
        <v>1301</v>
      </c>
      <c r="B1376" s="8">
        <v>13861.0</v>
      </c>
      <c r="C1376" s="8"/>
      <c r="D1376" s="8"/>
      <c r="E1376" s="8"/>
      <c r="F1376" s="8"/>
    </row>
    <row r="1377" ht="13.5" customHeight="1">
      <c r="A1377" s="8" t="s">
        <v>1302</v>
      </c>
      <c r="B1377" s="8">
        <v>13892.0</v>
      </c>
      <c r="C1377" s="8"/>
      <c r="D1377" s="8"/>
      <c r="E1377" s="8"/>
      <c r="F1377" s="8"/>
    </row>
    <row r="1378" ht="13.5" customHeight="1">
      <c r="A1378" s="8" t="s">
        <v>1262</v>
      </c>
      <c r="B1378" s="8">
        <v>14023.0</v>
      </c>
      <c r="C1378" s="8"/>
      <c r="D1378" s="8"/>
      <c r="E1378" s="8"/>
      <c r="F1378" s="8"/>
    </row>
    <row r="1379" ht="13.5" customHeight="1">
      <c r="A1379" s="8" t="s">
        <v>1299</v>
      </c>
      <c r="B1379" s="8">
        <v>14115.0</v>
      </c>
      <c r="C1379" s="8"/>
      <c r="D1379" s="8"/>
      <c r="E1379" s="8"/>
      <c r="F1379" s="8"/>
    </row>
    <row r="1380" ht="13.5" customHeight="1">
      <c r="A1380" s="8" t="s">
        <v>1304</v>
      </c>
      <c r="B1380" s="8">
        <v>14147.0</v>
      </c>
      <c r="C1380" s="8"/>
      <c r="D1380" s="8"/>
      <c r="E1380" s="8"/>
      <c r="F1380" s="8"/>
    </row>
    <row r="1381" ht="13.5" customHeight="1">
      <c r="A1381" s="8" t="s">
        <v>1302</v>
      </c>
      <c r="B1381" s="8">
        <v>14211.0</v>
      </c>
      <c r="C1381" s="8"/>
      <c r="D1381" s="8"/>
      <c r="E1381" s="8"/>
      <c r="F1381" s="8"/>
    </row>
    <row r="1382" ht="13.5" customHeight="1">
      <c r="A1382" s="8" t="s">
        <v>1025</v>
      </c>
      <c r="B1382" s="8">
        <v>14368.0</v>
      </c>
      <c r="C1382" s="8"/>
      <c r="D1382" s="8"/>
      <c r="E1382" s="8"/>
      <c r="F1382" s="8"/>
    </row>
    <row r="1383" ht="13.5" customHeight="1">
      <c r="A1383" s="8" t="s">
        <v>1289</v>
      </c>
      <c r="B1383" s="8">
        <v>14596.0</v>
      </c>
      <c r="C1383" s="8"/>
      <c r="D1383" s="8"/>
      <c r="E1383" s="8"/>
      <c r="F1383" s="8"/>
    </row>
    <row r="1384" ht="13.5" customHeight="1">
      <c r="A1384" s="8" t="s">
        <v>1289</v>
      </c>
      <c r="B1384" s="8">
        <v>14693.0</v>
      </c>
      <c r="C1384" s="8"/>
      <c r="D1384" s="8"/>
      <c r="E1384" s="8"/>
      <c r="F1384" s="8"/>
    </row>
    <row r="1385" ht="13.5" customHeight="1">
      <c r="A1385" s="8" t="s">
        <v>1252</v>
      </c>
      <c r="B1385" s="8">
        <v>14695.0</v>
      </c>
      <c r="C1385" s="8"/>
      <c r="D1385" s="8"/>
      <c r="E1385" s="8"/>
      <c r="F1385" s="8"/>
    </row>
    <row r="1386" ht="13.5" customHeight="1">
      <c r="A1386" s="8" t="s">
        <v>1308</v>
      </c>
      <c r="B1386" s="8">
        <v>14823.0</v>
      </c>
      <c r="C1386" s="8"/>
      <c r="D1386" s="8"/>
      <c r="E1386" s="8"/>
      <c r="F1386" s="8"/>
    </row>
    <row r="1387" ht="13.5" customHeight="1">
      <c r="A1387" s="8" t="s">
        <v>1253</v>
      </c>
      <c r="B1387" s="8">
        <v>15014.0</v>
      </c>
      <c r="C1387" s="8"/>
      <c r="D1387" s="8"/>
      <c r="E1387" s="8"/>
      <c r="F1387" s="8"/>
    </row>
    <row r="1388" ht="13.5" customHeight="1">
      <c r="A1388" s="8" t="s">
        <v>1309</v>
      </c>
      <c r="B1388" s="8">
        <v>15972.0</v>
      </c>
      <c r="C1388" s="8"/>
      <c r="D1388" s="8"/>
      <c r="E1388" s="8"/>
      <c r="F1388" s="8"/>
    </row>
    <row r="1389" ht="13.5" customHeight="1">
      <c r="A1389" s="8" t="s">
        <v>1311</v>
      </c>
      <c r="B1389" s="8">
        <v>16065.0</v>
      </c>
      <c r="C1389" s="8"/>
      <c r="D1389" s="8"/>
      <c r="E1389" s="8"/>
      <c r="F1389" s="8"/>
    </row>
    <row r="1390" ht="13.5" customHeight="1">
      <c r="A1390" s="8" t="s">
        <v>532</v>
      </c>
      <c r="B1390" s="8">
        <v>16096.0</v>
      </c>
      <c r="C1390" s="8"/>
      <c r="D1390" s="8"/>
      <c r="E1390" s="8"/>
      <c r="F1390" s="8"/>
    </row>
    <row r="1391" ht="13.5" customHeight="1">
      <c r="A1391" s="8" t="s">
        <v>1312</v>
      </c>
      <c r="B1391" s="8">
        <v>16160.0</v>
      </c>
      <c r="C1391" s="8"/>
      <c r="D1391" s="8"/>
      <c r="E1391" s="8"/>
      <c r="F1391" s="8"/>
    </row>
    <row r="1392" ht="13.5" customHeight="1">
      <c r="A1392" s="8" t="s">
        <v>1313</v>
      </c>
      <c r="B1392" s="8">
        <v>16196.0</v>
      </c>
      <c r="C1392" s="8"/>
      <c r="D1392" s="8"/>
      <c r="E1392" s="8"/>
      <c r="F1392" s="8"/>
    </row>
    <row r="1393" ht="13.5" customHeight="1">
      <c r="A1393" s="8" t="s">
        <v>1273</v>
      </c>
      <c r="B1393" s="8">
        <v>16291.0</v>
      </c>
      <c r="C1393" s="8"/>
      <c r="D1393" s="8"/>
      <c r="E1393" s="8"/>
      <c r="F1393" s="8"/>
    </row>
    <row r="1394" ht="13.5" customHeight="1">
      <c r="A1394" s="8" t="s">
        <v>1257</v>
      </c>
      <c r="B1394" s="8">
        <v>16519.0</v>
      </c>
      <c r="C1394" s="8"/>
      <c r="D1394" s="8"/>
      <c r="E1394" s="8"/>
      <c r="F1394" s="8"/>
    </row>
    <row r="1395" ht="13.5" customHeight="1">
      <c r="A1395" s="8" t="s">
        <v>1278</v>
      </c>
      <c r="B1395" s="8">
        <v>16548.0</v>
      </c>
      <c r="C1395" s="8"/>
      <c r="D1395" s="8"/>
      <c r="E1395" s="8"/>
      <c r="F1395" s="8"/>
    </row>
    <row r="1396" ht="13.5" customHeight="1">
      <c r="A1396" s="8" t="s">
        <v>1274</v>
      </c>
      <c r="B1396" s="8">
        <v>16613.0</v>
      </c>
      <c r="C1396" s="8"/>
      <c r="D1396" s="8"/>
      <c r="E1396" s="8"/>
      <c r="F1396" s="8"/>
    </row>
    <row r="1397" ht="13.5" customHeight="1">
      <c r="A1397" s="8" t="s">
        <v>1293</v>
      </c>
      <c r="B1397" s="8">
        <v>16771.0</v>
      </c>
      <c r="C1397" s="8"/>
      <c r="D1397" s="8"/>
      <c r="E1397" s="8"/>
      <c r="F1397" s="8"/>
    </row>
    <row r="1398" ht="13.5" customHeight="1">
      <c r="A1398" s="8" t="s">
        <v>1255</v>
      </c>
      <c r="B1398" s="8">
        <v>16804.0</v>
      </c>
      <c r="C1398" s="8"/>
      <c r="D1398" s="8"/>
      <c r="E1398" s="8"/>
      <c r="F1398" s="8"/>
    </row>
    <row r="1399" ht="13.5" customHeight="1">
      <c r="A1399" s="8" t="s">
        <v>1242</v>
      </c>
      <c r="B1399" s="8">
        <v>17024.0</v>
      </c>
      <c r="C1399" s="8"/>
      <c r="D1399" s="8"/>
      <c r="E1399" s="8"/>
      <c r="F1399" s="8"/>
    </row>
    <row r="1400" ht="13.5" customHeight="1">
      <c r="A1400" s="8" t="s">
        <v>1025</v>
      </c>
      <c r="B1400" s="8">
        <v>17061.0</v>
      </c>
      <c r="C1400" s="8"/>
      <c r="D1400" s="8"/>
      <c r="E1400" s="8"/>
      <c r="F1400" s="8"/>
    </row>
    <row r="1401" ht="13.5" customHeight="1">
      <c r="A1401" s="8" t="s">
        <v>1296</v>
      </c>
      <c r="B1401" s="8">
        <v>17152.0</v>
      </c>
      <c r="C1401" s="8"/>
      <c r="D1401" s="8"/>
      <c r="E1401" s="8"/>
      <c r="F1401" s="8"/>
    </row>
    <row r="1402" ht="13.5" customHeight="1">
      <c r="A1402" s="8" t="s">
        <v>1280</v>
      </c>
      <c r="B1402" s="8">
        <v>17187.0</v>
      </c>
      <c r="C1402" s="8"/>
      <c r="D1402" s="8"/>
      <c r="E1402" s="8"/>
      <c r="F1402" s="8"/>
    </row>
    <row r="1403" ht="13.5" customHeight="1">
      <c r="A1403" s="8" t="s">
        <v>1025</v>
      </c>
      <c r="B1403" s="8">
        <v>17252.0</v>
      </c>
      <c r="C1403" s="8"/>
      <c r="D1403" s="8"/>
      <c r="E1403" s="8"/>
      <c r="F1403" s="8"/>
    </row>
    <row r="1404" ht="13.5" customHeight="1">
      <c r="A1404" s="8" t="s">
        <v>1274</v>
      </c>
      <c r="B1404" s="8">
        <v>17312.0</v>
      </c>
      <c r="C1404" s="8"/>
      <c r="D1404" s="8"/>
      <c r="E1404" s="8"/>
      <c r="F1404" s="8"/>
    </row>
    <row r="1405" ht="13.5" customHeight="1">
      <c r="A1405" s="8" t="s">
        <v>1243</v>
      </c>
      <c r="B1405" s="8">
        <v>17377.0</v>
      </c>
      <c r="C1405" s="8"/>
      <c r="D1405" s="8"/>
      <c r="E1405" s="8"/>
      <c r="F1405" s="8"/>
    </row>
    <row r="1406" ht="13.5" customHeight="1">
      <c r="A1406" s="8" t="s">
        <v>1257</v>
      </c>
      <c r="B1406" s="8">
        <v>17634.0</v>
      </c>
      <c r="C1406" s="8"/>
      <c r="D1406" s="8"/>
      <c r="E1406" s="8"/>
      <c r="F1406" s="8"/>
    </row>
    <row r="1407" ht="13.5" customHeight="1">
      <c r="A1407" s="8" t="s">
        <v>1243</v>
      </c>
      <c r="B1407" s="8">
        <v>17668.0</v>
      </c>
      <c r="C1407" s="8"/>
      <c r="D1407" s="8"/>
      <c r="E1407" s="8"/>
      <c r="F1407" s="8"/>
    </row>
    <row r="1408" ht="13.5" customHeight="1">
      <c r="A1408" s="8" t="s">
        <v>1255</v>
      </c>
      <c r="B1408" s="8">
        <v>17735.0</v>
      </c>
      <c r="C1408" s="8"/>
      <c r="D1408" s="8"/>
      <c r="E1408" s="8"/>
      <c r="F1408" s="8"/>
    </row>
    <row r="1409" ht="13.5" customHeight="1">
      <c r="A1409" s="8" t="s">
        <v>1312</v>
      </c>
      <c r="B1409" s="8">
        <v>17825.0</v>
      </c>
      <c r="C1409" s="8"/>
      <c r="D1409" s="8"/>
      <c r="E1409" s="8"/>
      <c r="F1409" s="8"/>
    </row>
    <row r="1410" ht="13.5" customHeight="1">
      <c r="A1410" s="8" t="s">
        <v>1251</v>
      </c>
      <c r="B1410" s="8">
        <v>17956.0</v>
      </c>
      <c r="C1410" s="8"/>
      <c r="D1410" s="8"/>
      <c r="E1410" s="8"/>
      <c r="F1410" s="8"/>
    </row>
    <row r="1411" ht="13.5" customHeight="1">
      <c r="A1411" s="8" t="s">
        <v>1295</v>
      </c>
      <c r="B1411" s="8">
        <v>17986.0</v>
      </c>
      <c r="C1411" s="8"/>
      <c r="D1411" s="8"/>
      <c r="E1411" s="8"/>
      <c r="F1411" s="8"/>
    </row>
    <row r="1412" ht="13.5" customHeight="1">
      <c r="A1412" s="8" t="s">
        <v>1244</v>
      </c>
      <c r="B1412" s="8">
        <v>18112.0</v>
      </c>
      <c r="C1412" s="8"/>
      <c r="D1412" s="8"/>
      <c r="E1412" s="8"/>
      <c r="F1412" s="8"/>
    </row>
    <row r="1413" ht="13.5" customHeight="1">
      <c r="A1413" s="8" t="s">
        <v>1309</v>
      </c>
      <c r="B1413" s="8">
        <v>18178.0</v>
      </c>
      <c r="C1413" s="8"/>
      <c r="D1413" s="8"/>
      <c r="E1413" s="8"/>
      <c r="F1413" s="8"/>
    </row>
    <row r="1414" ht="13.5" customHeight="1">
      <c r="A1414" s="8" t="s">
        <v>1276</v>
      </c>
      <c r="B1414" s="8">
        <v>18182.0</v>
      </c>
      <c r="C1414" s="8"/>
      <c r="D1414" s="8"/>
      <c r="E1414" s="8"/>
      <c r="F1414" s="8"/>
    </row>
    <row r="1415" ht="13.5" customHeight="1">
      <c r="A1415" s="8" t="s">
        <v>1295</v>
      </c>
      <c r="B1415" s="8">
        <v>18405.0</v>
      </c>
      <c r="C1415" s="8"/>
      <c r="D1415" s="8"/>
      <c r="E1415" s="8"/>
      <c r="F1415" s="8"/>
    </row>
    <row r="1416" ht="13.5" customHeight="1">
      <c r="A1416" s="8" t="s">
        <v>1256</v>
      </c>
      <c r="B1416" s="8">
        <v>18531.0</v>
      </c>
      <c r="C1416" s="8"/>
      <c r="D1416" s="8"/>
      <c r="E1416" s="8"/>
      <c r="F1416" s="8"/>
    </row>
    <row r="1417" ht="13.5" customHeight="1">
      <c r="A1417" s="8" t="s">
        <v>1312</v>
      </c>
      <c r="B1417" s="8">
        <v>18533.0</v>
      </c>
      <c r="C1417" s="8"/>
      <c r="D1417" s="8"/>
      <c r="E1417" s="8"/>
      <c r="F1417" s="8"/>
    </row>
    <row r="1418" ht="13.5" customHeight="1">
      <c r="A1418" s="8" t="s">
        <v>1243</v>
      </c>
      <c r="B1418" s="8">
        <v>18661.0</v>
      </c>
      <c r="C1418" s="8"/>
      <c r="D1418" s="8"/>
      <c r="E1418" s="8"/>
      <c r="F1418" s="8"/>
    </row>
    <row r="1419" ht="13.5" customHeight="1">
      <c r="A1419" s="8" t="s">
        <v>1322</v>
      </c>
      <c r="B1419" s="8">
        <v>18723.0</v>
      </c>
      <c r="C1419" s="8"/>
      <c r="D1419" s="8"/>
      <c r="E1419" s="8"/>
      <c r="F1419" s="8"/>
    </row>
    <row r="1420" ht="13.5" customHeight="1">
      <c r="A1420" s="8" t="s">
        <v>1243</v>
      </c>
      <c r="B1420" s="8">
        <v>18753.0</v>
      </c>
      <c r="C1420" s="8"/>
      <c r="D1420" s="8"/>
      <c r="E1420" s="8"/>
      <c r="F1420" s="8"/>
    </row>
    <row r="1421" ht="13.5" customHeight="1">
      <c r="A1421" s="8" t="s">
        <v>1324</v>
      </c>
      <c r="B1421" s="8">
        <v>19204.0</v>
      </c>
      <c r="C1421" s="8"/>
      <c r="D1421" s="8"/>
      <c r="E1421" s="8"/>
      <c r="F1421" s="8"/>
    </row>
    <row r="1422" ht="13.5" customHeight="1">
      <c r="A1422" s="8" t="s">
        <v>1289</v>
      </c>
      <c r="B1422" s="8">
        <v>19394.0</v>
      </c>
      <c r="C1422" s="8"/>
      <c r="D1422" s="8"/>
      <c r="E1422" s="8"/>
      <c r="F1422" s="8"/>
    </row>
    <row r="1423" ht="13.5" customHeight="1">
      <c r="A1423" s="8" t="s">
        <v>1250</v>
      </c>
      <c r="B1423" s="8">
        <v>19653.0</v>
      </c>
      <c r="C1423" s="8"/>
      <c r="D1423" s="8"/>
      <c r="E1423" s="8"/>
      <c r="F1423" s="8"/>
    </row>
    <row r="1424" ht="13.5" customHeight="1">
      <c r="A1424" s="8" t="s">
        <v>1295</v>
      </c>
      <c r="B1424" s="8">
        <v>19687.0</v>
      </c>
      <c r="C1424" s="8"/>
      <c r="D1424" s="8"/>
      <c r="E1424" s="8"/>
      <c r="F1424" s="8"/>
    </row>
    <row r="1425" ht="13.5" customHeight="1">
      <c r="A1425" s="8" t="s">
        <v>1326</v>
      </c>
      <c r="B1425" s="8">
        <v>19716.0</v>
      </c>
      <c r="C1425" s="8"/>
      <c r="D1425" s="8"/>
      <c r="E1425" s="8"/>
      <c r="F1425" s="8"/>
    </row>
    <row r="1426" ht="13.5" customHeight="1">
      <c r="A1426" s="8" t="s">
        <v>1277</v>
      </c>
      <c r="B1426" s="8">
        <v>19782.0</v>
      </c>
      <c r="C1426" s="8"/>
      <c r="D1426" s="8"/>
      <c r="E1426" s="8"/>
      <c r="F1426" s="8"/>
    </row>
    <row r="1427" ht="13.5" customHeight="1">
      <c r="A1427" s="8" t="s">
        <v>1261</v>
      </c>
      <c r="B1427" s="8">
        <v>20134.0</v>
      </c>
      <c r="C1427" s="8"/>
      <c r="D1427" s="8"/>
      <c r="E1427" s="8"/>
      <c r="F1427" s="8"/>
    </row>
    <row r="1428" ht="13.5" customHeight="1">
      <c r="A1428" s="8" t="s">
        <v>1276</v>
      </c>
      <c r="B1428" s="8">
        <v>20259.0</v>
      </c>
      <c r="C1428" s="8"/>
      <c r="D1428" s="8"/>
      <c r="E1428" s="8"/>
      <c r="F1428" s="8"/>
    </row>
    <row r="1429" ht="13.5" customHeight="1">
      <c r="A1429" s="8" t="s">
        <v>1248</v>
      </c>
      <c r="B1429" s="8">
        <v>20261.0</v>
      </c>
      <c r="C1429" s="8"/>
      <c r="D1429" s="8"/>
      <c r="E1429" s="8"/>
      <c r="F1429" s="8"/>
    </row>
    <row r="1430" ht="13.5" customHeight="1">
      <c r="A1430" s="8" t="s">
        <v>1313</v>
      </c>
      <c r="B1430" s="8">
        <v>20453.0</v>
      </c>
      <c r="C1430" s="8"/>
      <c r="D1430" s="8"/>
      <c r="E1430" s="8"/>
      <c r="F1430" s="8"/>
    </row>
    <row r="1431" ht="13.5" customHeight="1">
      <c r="A1431" s="8" t="s">
        <v>1298</v>
      </c>
      <c r="B1431" s="8">
        <v>20614.0</v>
      </c>
      <c r="C1431" s="8"/>
      <c r="D1431" s="8"/>
      <c r="E1431" s="8"/>
      <c r="F1431" s="8"/>
    </row>
    <row r="1432" ht="13.5" customHeight="1">
      <c r="A1432" s="8" t="s">
        <v>1327</v>
      </c>
      <c r="B1432" s="8">
        <v>20709.0</v>
      </c>
      <c r="C1432" s="8"/>
      <c r="D1432" s="8"/>
      <c r="E1432" s="8"/>
      <c r="F1432" s="8"/>
    </row>
    <row r="1433" ht="13.5" customHeight="1">
      <c r="A1433" s="8" t="s">
        <v>1295</v>
      </c>
      <c r="B1433" s="8">
        <v>21025.0</v>
      </c>
      <c r="C1433" s="8"/>
      <c r="D1433" s="8"/>
      <c r="E1433" s="8"/>
      <c r="F1433" s="8"/>
    </row>
    <row r="1434" ht="13.5" customHeight="1">
      <c r="A1434" s="8" t="s">
        <v>1327</v>
      </c>
      <c r="B1434" s="8">
        <v>21028.0</v>
      </c>
      <c r="C1434" s="8"/>
      <c r="D1434" s="8"/>
      <c r="E1434" s="8"/>
      <c r="F1434" s="8"/>
    </row>
    <row r="1435" ht="13.5" customHeight="1">
      <c r="A1435" s="8" t="s">
        <v>1328</v>
      </c>
      <c r="B1435" s="8">
        <v>21125.0</v>
      </c>
      <c r="C1435" s="8"/>
      <c r="D1435" s="8"/>
      <c r="E1435" s="8"/>
      <c r="F1435" s="8"/>
    </row>
    <row r="1436" ht="13.5" customHeight="1">
      <c r="A1436" s="8" t="s">
        <v>1329</v>
      </c>
      <c r="B1436" s="8">
        <v>21382.0</v>
      </c>
      <c r="C1436" s="8"/>
      <c r="D1436" s="8"/>
      <c r="E1436" s="8"/>
      <c r="F1436" s="8"/>
    </row>
    <row r="1437" ht="13.5" customHeight="1">
      <c r="A1437" s="8" t="s">
        <v>1313</v>
      </c>
      <c r="B1437" s="8">
        <v>21604.0</v>
      </c>
      <c r="C1437" s="8"/>
      <c r="D1437" s="8"/>
      <c r="E1437" s="8"/>
      <c r="F1437" s="8"/>
    </row>
    <row r="1438" ht="13.5" customHeight="1">
      <c r="A1438" s="8" t="s">
        <v>1296</v>
      </c>
      <c r="B1438" s="8">
        <v>21824.0</v>
      </c>
      <c r="C1438" s="8"/>
      <c r="D1438" s="8"/>
      <c r="E1438" s="8"/>
      <c r="F1438" s="8"/>
    </row>
    <row r="1439" ht="13.5" customHeight="1">
      <c r="A1439" s="8" t="s">
        <v>1263</v>
      </c>
      <c r="B1439" s="8">
        <v>21893.0</v>
      </c>
      <c r="C1439" s="8"/>
      <c r="D1439" s="8"/>
      <c r="E1439" s="8"/>
      <c r="F1439" s="8"/>
    </row>
    <row r="1440" ht="13.5" customHeight="1">
      <c r="A1440" s="8" t="s">
        <v>1245</v>
      </c>
      <c r="B1440" s="8">
        <v>22054.0</v>
      </c>
      <c r="C1440" s="8"/>
      <c r="D1440" s="8"/>
      <c r="E1440" s="8"/>
      <c r="F1440" s="8"/>
    </row>
    <row r="1441" ht="13.5" customHeight="1">
      <c r="A1441" s="8" t="s">
        <v>1257</v>
      </c>
      <c r="B1441" s="8">
        <v>22181.0</v>
      </c>
      <c r="C1441" s="8"/>
      <c r="D1441" s="8"/>
      <c r="E1441" s="8"/>
      <c r="F1441" s="8"/>
    </row>
    <row r="1442" ht="13.5" customHeight="1">
      <c r="A1442" s="8" t="s">
        <v>1250</v>
      </c>
      <c r="B1442" s="8">
        <v>22272.0</v>
      </c>
      <c r="C1442" s="8"/>
      <c r="D1442" s="8"/>
      <c r="E1442" s="8"/>
      <c r="F1442" s="8"/>
    </row>
    <row r="1443" ht="13.5" customHeight="1">
      <c r="A1443" s="8" t="s">
        <v>1245</v>
      </c>
      <c r="B1443" s="8">
        <v>22373.0</v>
      </c>
      <c r="C1443" s="8"/>
      <c r="D1443" s="8"/>
      <c r="E1443" s="8"/>
      <c r="F1443" s="8"/>
    </row>
    <row r="1444" ht="13.5" customHeight="1">
      <c r="A1444" s="8" t="s">
        <v>1266</v>
      </c>
      <c r="B1444" s="8">
        <v>22434.0</v>
      </c>
      <c r="C1444" s="8"/>
      <c r="D1444" s="8"/>
      <c r="E1444" s="8"/>
      <c r="F1444" s="8"/>
    </row>
    <row r="1445" ht="13.5" customHeight="1">
      <c r="A1445" s="8" t="s">
        <v>1243</v>
      </c>
      <c r="B1445" s="8">
        <v>22849.0</v>
      </c>
      <c r="C1445" s="8"/>
      <c r="D1445" s="8"/>
      <c r="E1445" s="8"/>
      <c r="F1445" s="8"/>
    </row>
    <row r="1446" ht="13.5" customHeight="1">
      <c r="A1446" s="8" t="s">
        <v>1286</v>
      </c>
      <c r="B1446" s="8">
        <v>22881.0</v>
      </c>
      <c r="C1446" s="8"/>
      <c r="D1446" s="8"/>
      <c r="E1446" s="8"/>
      <c r="F1446" s="8"/>
    </row>
    <row r="1447" ht="13.5" customHeight="1">
      <c r="A1447" s="8" t="s">
        <v>1334</v>
      </c>
      <c r="B1447" s="8">
        <v>22950.0</v>
      </c>
      <c r="C1447" s="8"/>
      <c r="D1447" s="8"/>
      <c r="E1447" s="8"/>
      <c r="F1447" s="8"/>
    </row>
    <row r="1448" ht="13.5" customHeight="1">
      <c r="A1448" s="8" t="s">
        <v>1277</v>
      </c>
      <c r="B1448" s="8">
        <v>23008.0</v>
      </c>
      <c r="C1448" s="8"/>
      <c r="D1448" s="8"/>
      <c r="E1448" s="8"/>
      <c r="F1448" s="8"/>
    </row>
    <row r="1449" ht="13.5" customHeight="1">
      <c r="A1449" s="8" t="s">
        <v>1309</v>
      </c>
      <c r="B1449" s="8">
        <v>23202.0</v>
      </c>
      <c r="C1449" s="8"/>
      <c r="D1449" s="8"/>
      <c r="E1449" s="8"/>
      <c r="F1449" s="8"/>
    </row>
    <row r="1450" ht="13.5" customHeight="1">
      <c r="A1450" s="8" t="s">
        <v>1277</v>
      </c>
      <c r="B1450" s="8">
        <v>23426.0</v>
      </c>
      <c r="C1450" s="8"/>
      <c r="D1450" s="8"/>
      <c r="E1450" s="8"/>
      <c r="F1450" s="8"/>
    </row>
    <row r="1451" ht="13.5" customHeight="1">
      <c r="A1451" s="8" t="s">
        <v>1298</v>
      </c>
      <c r="B1451" s="8">
        <v>23649.0</v>
      </c>
      <c r="C1451" s="8"/>
      <c r="D1451" s="8"/>
      <c r="E1451" s="8"/>
      <c r="F1451" s="8"/>
    </row>
    <row r="1452" ht="13.5" customHeight="1">
      <c r="A1452" s="8" t="s">
        <v>1309</v>
      </c>
      <c r="B1452" s="8">
        <v>23748.0</v>
      </c>
      <c r="C1452" s="8"/>
      <c r="D1452" s="8"/>
      <c r="E1452" s="8"/>
      <c r="F1452" s="8"/>
    </row>
    <row r="1453" ht="13.5" customHeight="1">
      <c r="A1453" s="8" t="s">
        <v>1278</v>
      </c>
      <c r="B1453" s="8">
        <v>23847.0</v>
      </c>
      <c r="C1453" s="8"/>
      <c r="D1453" s="8"/>
      <c r="E1453" s="8"/>
      <c r="F1453" s="8"/>
    </row>
    <row r="1454" ht="13.5" customHeight="1">
      <c r="A1454" s="8" t="s">
        <v>1337</v>
      </c>
      <c r="B1454" s="8">
        <v>23971.0</v>
      </c>
      <c r="C1454" s="8"/>
      <c r="D1454" s="8"/>
      <c r="E1454" s="8"/>
      <c r="F1454" s="8"/>
    </row>
    <row r="1455" ht="13.5" customHeight="1">
      <c r="A1455" s="8" t="s">
        <v>1255</v>
      </c>
      <c r="B1455" s="8">
        <v>24135.0</v>
      </c>
      <c r="C1455" s="8"/>
      <c r="D1455" s="8"/>
      <c r="E1455" s="8"/>
      <c r="F1455" s="8"/>
    </row>
    <row r="1456" ht="13.5" customHeight="1">
      <c r="A1456" s="8" t="s">
        <v>1326</v>
      </c>
      <c r="B1456" s="8">
        <v>24196.0</v>
      </c>
      <c r="C1456" s="8"/>
      <c r="D1456" s="8"/>
      <c r="E1456" s="8"/>
      <c r="F1456" s="8"/>
    </row>
    <row r="1457" ht="13.5" customHeight="1">
      <c r="A1457" s="8" t="s">
        <v>1308</v>
      </c>
      <c r="B1457" s="8">
        <v>24197.0</v>
      </c>
      <c r="C1457" s="8"/>
      <c r="D1457" s="8"/>
      <c r="E1457" s="8"/>
      <c r="F1457" s="8"/>
    </row>
    <row r="1458" ht="13.5" customHeight="1">
      <c r="A1458" s="8" t="s">
        <v>1248</v>
      </c>
      <c r="B1458" s="8">
        <v>24519.0</v>
      </c>
      <c r="C1458" s="8"/>
      <c r="D1458" s="8"/>
      <c r="E1458" s="8"/>
      <c r="F1458" s="8"/>
    </row>
    <row r="1459" ht="13.5" customHeight="1">
      <c r="A1459" s="8" t="s">
        <v>1250</v>
      </c>
      <c r="B1459" s="8">
        <v>24546.0</v>
      </c>
      <c r="C1459" s="8"/>
      <c r="D1459" s="8"/>
      <c r="E1459" s="8"/>
      <c r="F1459" s="8"/>
    </row>
    <row r="1460" ht="13.5" customHeight="1">
      <c r="A1460" s="8" t="s">
        <v>1250</v>
      </c>
      <c r="B1460" s="8">
        <v>24579.0</v>
      </c>
      <c r="C1460" s="8"/>
      <c r="D1460" s="8"/>
      <c r="E1460" s="8"/>
      <c r="F1460" s="8"/>
    </row>
    <row r="1461" ht="13.5" customHeight="1">
      <c r="A1461" s="8" t="s">
        <v>1295</v>
      </c>
      <c r="B1461" s="8">
        <v>24581.0</v>
      </c>
      <c r="C1461" s="8"/>
      <c r="D1461" s="8"/>
      <c r="E1461" s="8"/>
      <c r="F1461" s="8"/>
    </row>
    <row r="1462" ht="13.5" customHeight="1">
      <c r="A1462" s="8" t="s">
        <v>1322</v>
      </c>
      <c r="B1462" s="8">
        <v>24710.0</v>
      </c>
      <c r="C1462" s="8"/>
      <c r="D1462" s="8"/>
      <c r="E1462" s="8"/>
      <c r="F1462" s="8"/>
    </row>
    <row r="1463" ht="13.5" customHeight="1">
      <c r="A1463" s="8" t="s">
        <v>1337</v>
      </c>
      <c r="B1463" s="8">
        <v>24960.0</v>
      </c>
      <c r="C1463" s="8"/>
      <c r="D1463" s="8"/>
      <c r="E1463" s="8"/>
      <c r="F1463" s="8"/>
    </row>
    <row r="1464" ht="13.5" customHeight="1">
      <c r="A1464" s="8" t="s">
        <v>671</v>
      </c>
      <c r="B1464" s="8">
        <v>25061.0</v>
      </c>
      <c r="C1464" s="8"/>
      <c r="D1464" s="8"/>
      <c r="E1464" s="8"/>
      <c r="F1464" s="8"/>
    </row>
    <row r="1465" ht="13.5" customHeight="1">
      <c r="A1465" s="8" t="s">
        <v>1341</v>
      </c>
      <c r="B1465" s="8">
        <v>25095.0</v>
      </c>
      <c r="C1465" s="8"/>
      <c r="D1465" s="8"/>
      <c r="E1465" s="8"/>
      <c r="F1465" s="8"/>
    </row>
    <row r="1466" ht="13.5" customHeight="1">
      <c r="A1466" s="8" t="s">
        <v>1282</v>
      </c>
      <c r="B1466" s="8">
        <v>25254.0</v>
      </c>
      <c r="C1466" s="8"/>
      <c r="D1466" s="8"/>
      <c r="E1466" s="8"/>
      <c r="F1466" s="8"/>
    </row>
    <row r="1467" ht="13.5" customHeight="1">
      <c r="A1467" s="8" t="s">
        <v>1328</v>
      </c>
      <c r="B1467" s="8">
        <v>25542.0</v>
      </c>
      <c r="C1467" s="8"/>
      <c r="D1467" s="8"/>
      <c r="E1467" s="8"/>
      <c r="F1467" s="8"/>
    </row>
    <row r="1468" ht="13.5" customHeight="1">
      <c r="A1468" s="8" t="s">
        <v>1272</v>
      </c>
      <c r="B1468" s="8">
        <v>25569.0</v>
      </c>
      <c r="C1468" s="8"/>
      <c r="D1468" s="8"/>
      <c r="E1468" s="8"/>
      <c r="F1468" s="8"/>
    </row>
    <row r="1469" ht="13.5" customHeight="1">
      <c r="A1469" s="8" t="s">
        <v>1343</v>
      </c>
      <c r="B1469" s="8">
        <v>25863.0</v>
      </c>
      <c r="C1469" s="8"/>
      <c r="D1469" s="8"/>
      <c r="E1469" s="8"/>
      <c r="F1469" s="8"/>
    </row>
    <row r="1470" ht="13.5" customHeight="1">
      <c r="A1470" s="8" t="s">
        <v>1245</v>
      </c>
      <c r="B1470" s="8">
        <v>25895.0</v>
      </c>
      <c r="C1470" s="8"/>
      <c r="D1470" s="8"/>
      <c r="E1470" s="8"/>
      <c r="F1470" s="8"/>
    </row>
    <row r="1471" ht="13.5" customHeight="1">
      <c r="A1471" s="8" t="s">
        <v>1250</v>
      </c>
      <c r="B1471" s="8">
        <v>26050.0</v>
      </c>
      <c r="C1471" s="8"/>
      <c r="D1471" s="8"/>
      <c r="E1471" s="8"/>
      <c r="F1471" s="8"/>
    </row>
    <row r="1472" ht="13.5" customHeight="1">
      <c r="A1472" s="8" t="s">
        <v>1343</v>
      </c>
      <c r="B1472" s="8">
        <v>26145.0</v>
      </c>
      <c r="C1472" s="8"/>
      <c r="D1472" s="8"/>
      <c r="E1472" s="8"/>
      <c r="F1472" s="8"/>
    </row>
    <row r="1473" ht="13.5" customHeight="1">
      <c r="A1473" s="8" t="s">
        <v>1250</v>
      </c>
      <c r="B1473" s="8">
        <v>26279.0</v>
      </c>
      <c r="C1473" s="8"/>
      <c r="D1473" s="8"/>
      <c r="E1473" s="8"/>
      <c r="F1473" s="8"/>
    </row>
    <row r="1474" ht="13.5" customHeight="1">
      <c r="A1474" s="8" t="s">
        <v>1262</v>
      </c>
      <c r="B1474" s="8">
        <v>26406.0</v>
      </c>
      <c r="C1474" s="8"/>
      <c r="D1474" s="8"/>
      <c r="E1474" s="8"/>
      <c r="F1474" s="8"/>
    </row>
    <row r="1475" ht="13.5" customHeight="1">
      <c r="A1475" s="8" t="s">
        <v>1245</v>
      </c>
      <c r="B1475" s="8">
        <v>26535.0</v>
      </c>
      <c r="C1475" s="8"/>
      <c r="D1475" s="8"/>
      <c r="E1475" s="8"/>
      <c r="F1475" s="8"/>
    </row>
    <row r="1476" ht="13.5" customHeight="1">
      <c r="A1476" s="8" t="s">
        <v>1311</v>
      </c>
      <c r="B1476" s="8">
        <v>26661.0</v>
      </c>
      <c r="C1476" s="8"/>
      <c r="D1476" s="8"/>
      <c r="E1476" s="8"/>
      <c r="F1476" s="8"/>
    </row>
    <row r="1477" ht="13.5" customHeight="1">
      <c r="A1477" s="8" t="s">
        <v>1309</v>
      </c>
      <c r="B1477" s="8">
        <v>26855.0</v>
      </c>
      <c r="C1477" s="8"/>
      <c r="D1477" s="8"/>
      <c r="E1477" s="8"/>
      <c r="F1477" s="8"/>
    </row>
    <row r="1478" ht="13.5" customHeight="1">
      <c r="A1478" s="8" t="s">
        <v>1290</v>
      </c>
      <c r="B1478" s="8">
        <v>27047.0</v>
      </c>
      <c r="C1478" s="8"/>
      <c r="D1478" s="8"/>
      <c r="E1478" s="8"/>
      <c r="F1478" s="8"/>
    </row>
    <row r="1479" ht="13.5" customHeight="1">
      <c r="A1479" s="8" t="s">
        <v>1272</v>
      </c>
      <c r="B1479" s="8">
        <v>27077.0</v>
      </c>
      <c r="C1479" s="8"/>
      <c r="D1479" s="8"/>
      <c r="E1479" s="8"/>
      <c r="F1479" s="8"/>
    </row>
    <row r="1480" ht="13.5" customHeight="1">
      <c r="A1480" s="8" t="s">
        <v>1257</v>
      </c>
      <c r="B1480" s="8">
        <v>27236.0</v>
      </c>
      <c r="C1480" s="8"/>
      <c r="D1480" s="8"/>
      <c r="E1480" s="8"/>
      <c r="F1480" s="8"/>
    </row>
    <row r="1481" ht="13.5" customHeight="1">
      <c r="A1481" s="8" t="s">
        <v>1278</v>
      </c>
      <c r="B1481" s="8">
        <v>27589.0</v>
      </c>
      <c r="C1481" s="8"/>
      <c r="D1481" s="8"/>
      <c r="E1481" s="8"/>
      <c r="F1481" s="8"/>
    </row>
    <row r="1482" ht="13.5" customHeight="1">
      <c r="A1482" s="8" t="s">
        <v>1296</v>
      </c>
      <c r="B1482" s="8">
        <v>27681.0</v>
      </c>
      <c r="C1482" s="8"/>
      <c r="D1482" s="8"/>
      <c r="E1482" s="8"/>
      <c r="F1482" s="8"/>
    </row>
    <row r="1483" ht="13.5" customHeight="1">
      <c r="A1483" s="8" t="s">
        <v>1293</v>
      </c>
      <c r="B1483" s="8">
        <v>28033.0</v>
      </c>
      <c r="C1483" s="8"/>
      <c r="D1483" s="8"/>
      <c r="E1483" s="8"/>
      <c r="F1483" s="8"/>
    </row>
    <row r="1484" ht="13.5" customHeight="1">
      <c r="A1484" s="8" t="s">
        <v>1250</v>
      </c>
      <c r="B1484" s="8">
        <v>28324.0</v>
      </c>
      <c r="C1484" s="8"/>
      <c r="D1484" s="8"/>
      <c r="E1484" s="8"/>
      <c r="F1484" s="8"/>
    </row>
    <row r="1485" ht="13.5" customHeight="1">
      <c r="A1485" s="8" t="s">
        <v>1280</v>
      </c>
      <c r="B1485" s="8">
        <v>28805.0</v>
      </c>
      <c r="C1485" s="8"/>
      <c r="D1485" s="8"/>
      <c r="E1485" s="8"/>
      <c r="F1485" s="8"/>
    </row>
    <row r="1486" ht="13.5" customHeight="1">
      <c r="A1486" s="8" t="s">
        <v>1255</v>
      </c>
      <c r="B1486" s="8">
        <v>28897.0</v>
      </c>
      <c r="C1486" s="8"/>
      <c r="D1486" s="8"/>
      <c r="E1486" s="8"/>
      <c r="F1486" s="8"/>
    </row>
    <row r="1487" ht="13.5" customHeight="1">
      <c r="A1487" s="8" t="s">
        <v>1327</v>
      </c>
      <c r="B1487" s="8">
        <v>28932.0</v>
      </c>
      <c r="C1487" s="8"/>
      <c r="D1487" s="8"/>
      <c r="E1487" s="8"/>
      <c r="F1487" s="8"/>
    </row>
    <row r="1488" ht="13.5" customHeight="1">
      <c r="A1488" s="8" t="s">
        <v>1326</v>
      </c>
      <c r="B1488" s="8">
        <v>29219.0</v>
      </c>
      <c r="C1488" s="8"/>
      <c r="D1488" s="8"/>
      <c r="E1488" s="8"/>
      <c r="F1488" s="8"/>
    </row>
    <row r="1489" ht="13.5" customHeight="1">
      <c r="A1489" s="8" t="s">
        <v>1324</v>
      </c>
      <c r="B1489" s="8">
        <v>29410.0</v>
      </c>
      <c r="C1489" s="8"/>
      <c r="D1489" s="8"/>
      <c r="E1489" s="8"/>
      <c r="F1489" s="8"/>
    </row>
    <row r="1490" ht="13.5" customHeight="1">
      <c r="A1490" s="8" t="s">
        <v>1309</v>
      </c>
      <c r="B1490" s="8">
        <v>29411.0</v>
      </c>
      <c r="C1490" s="8"/>
      <c r="D1490" s="8"/>
      <c r="E1490" s="8"/>
      <c r="F1490" s="8"/>
    </row>
    <row r="1491" ht="13.5" customHeight="1">
      <c r="A1491" s="8" t="s">
        <v>1263</v>
      </c>
      <c r="B1491" s="8">
        <v>29475.0</v>
      </c>
      <c r="C1491" s="8"/>
      <c r="D1491" s="8"/>
      <c r="E1491" s="8"/>
      <c r="F1491" s="8"/>
    </row>
    <row r="1492" ht="13.5" customHeight="1">
      <c r="A1492" s="8" t="s">
        <v>1354</v>
      </c>
      <c r="B1492" s="8">
        <v>29537.0</v>
      </c>
      <c r="C1492" s="8"/>
      <c r="D1492" s="8"/>
      <c r="E1492" s="8"/>
      <c r="F1492" s="8"/>
    </row>
    <row r="1493" ht="13.5" customHeight="1">
      <c r="A1493" s="8" t="s">
        <v>1248</v>
      </c>
      <c r="B1493" s="8">
        <v>29671.0</v>
      </c>
      <c r="C1493" s="8"/>
      <c r="D1493" s="8"/>
      <c r="E1493" s="8"/>
      <c r="F1493" s="8"/>
    </row>
    <row r="1494" ht="13.5" customHeight="1">
      <c r="A1494" s="8" t="s">
        <v>1304</v>
      </c>
      <c r="B1494" s="8">
        <v>29895.0</v>
      </c>
      <c r="C1494" s="8"/>
      <c r="D1494" s="8"/>
      <c r="E1494" s="8"/>
      <c r="F1494" s="8"/>
    </row>
    <row r="1495" ht="13.5" customHeight="1">
      <c r="A1495" s="8" t="s">
        <v>1343</v>
      </c>
      <c r="B1495" s="8">
        <v>30308.0</v>
      </c>
      <c r="C1495" s="8"/>
      <c r="D1495" s="8"/>
      <c r="E1495" s="8"/>
      <c r="F1495" s="8"/>
    </row>
    <row r="1496" ht="13.5" customHeight="1">
      <c r="A1496" s="8" t="s">
        <v>1296</v>
      </c>
      <c r="B1496" s="8">
        <v>30436.0</v>
      </c>
      <c r="C1496" s="8"/>
      <c r="D1496" s="8"/>
      <c r="E1496" s="8"/>
      <c r="F1496" s="8"/>
    </row>
    <row r="1497" ht="13.5" customHeight="1">
      <c r="A1497" s="8" t="s">
        <v>1337</v>
      </c>
      <c r="B1497" s="8">
        <v>30820.0</v>
      </c>
      <c r="C1497" s="8"/>
      <c r="D1497" s="8"/>
      <c r="E1497" s="8"/>
      <c r="F1497" s="8"/>
    </row>
    <row r="1498" ht="13.5" customHeight="1">
      <c r="A1498" s="8" t="s">
        <v>1243</v>
      </c>
      <c r="B1498" s="8">
        <v>31046.0</v>
      </c>
      <c r="C1498" s="8"/>
      <c r="D1498" s="8"/>
      <c r="E1498" s="8"/>
      <c r="F1498" s="8"/>
    </row>
    <row r="1499" ht="13.5" customHeight="1">
      <c r="A1499" s="8" t="s">
        <v>1248</v>
      </c>
      <c r="B1499" s="8">
        <v>31301.0</v>
      </c>
      <c r="C1499" s="8"/>
      <c r="D1499" s="8"/>
      <c r="E1499" s="8"/>
      <c r="F1499" s="8"/>
    </row>
    <row r="1500" ht="13.5" customHeight="1">
      <c r="A1500" s="8" t="s">
        <v>1273</v>
      </c>
      <c r="B1500" s="8">
        <v>31495.0</v>
      </c>
      <c r="C1500" s="8"/>
      <c r="D1500" s="8"/>
      <c r="E1500" s="8"/>
      <c r="F1500" s="8"/>
    </row>
    <row r="1501" ht="13.5" customHeight="1">
      <c r="A1501" s="8" t="s">
        <v>1354</v>
      </c>
      <c r="B1501" s="8">
        <v>31523.0</v>
      </c>
      <c r="C1501" s="8"/>
      <c r="D1501" s="8"/>
      <c r="E1501" s="8"/>
      <c r="F1501" s="8"/>
    </row>
    <row r="1502" ht="13.5" customHeight="1">
      <c r="A1502" s="8" t="s">
        <v>1257</v>
      </c>
      <c r="B1502" s="8">
        <v>31552.0</v>
      </c>
      <c r="C1502" s="8"/>
      <c r="D1502" s="8"/>
      <c r="E1502" s="8"/>
      <c r="F1502" s="8"/>
    </row>
    <row r="1503" ht="13.5" customHeight="1">
      <c r="A1503" s="8" t="s">
        <v>1248</v>
      </c>
      <c r="B1503" s="8">
        <v>31877.0</v>
      </c>
      <c r="C1503" s="8"/>
      <c r="D1503" s="8"/>
      <c r="E1503" s="8"/>
      <c r="F1503" s="8"/>
    </row>
    <row r="1504" ht="13.5" customHeight="1">
      <c r="A1504" s="8" t="s">
        <v>1262</v>
      </c>
      <c r="B1504" s="8">
        <v>32037.0</v>
      </c>
      <c r="C1504" s="8"/>
      <c r="D1504" s="8"/>
      <c r="E1504" s="8"/>
      <c r="F1504" s="8"/>
    </row>
    <row r="1505" ht="13.5" customHeight="1">
      <c r="A1505" s="8" t="s">
        <v>1308</v>
      </c>
      <c r="B1505" s="8">
        <v>32131.0</v>
      </c>
      <c r="C1505" s="8"/>
      <c r="D1505" s="8"/>
      <c r="E1505" s="8"/>
      <c r="F1505" s="8"/>
    </row>
    <row r="1506" ht="13.5" customHeight="1">
      <c r="A1506" s="8" t="s">
        <v>1313</v>
      </c>
      <c r="B1506" s="8">
        <v>32135.0</v>
      </c>
      <c r="C1506" s="8"/>
      <c r="D1506" s="8"/>
      <c r="E1506" s="8"/>
      <c r="F1506" s="8"/>
    </row>
    <row r="1507" ht="13.5" customHeight="1">
      <c r="A1507" s="8" t="s">
        <v>1358</v>
      </c>
      <c r="B1507" s="8">
        <v>32195.0</v>
      </c>
      <c r="C1507" s="8"/>
      <c r="D1507" s="8"/>
      <c r="E1507" s="8"/>
      <c r="F1507" s="8"/>
    </row>
    <row r="1508" ht="13.5" customHeight="1">
      <c r="A1508" s="8" t="s">
        <v>1014</v>
      </c>
      <c r="B1508" s="8">
        <v>32230.0</v>
      </c>
      <c r="C1508" s="8"/>
      <c r="D1508" s="8"/>
      <c r="E1508" s="8"/>
      <c r="F1508" s="8"/>
    </row>
    <row r="1509" ht="13.5" customHeight="1">
      <c r="A1509" s="8" t="s">
        <v>1326</v>
      </c>
      <c r="B1509" s="8">
        <v>32451.0</v>
      </c>
      <c r="C1509" s="8"/>
      <c r="D1509" s="8"/>
      <c r="E1509" s="8"/>
      <c r="F1509" s="8"/>
    </row>
    <row r="1510" ht="13.5" customHeight="1">
      <c r="A1510" s="8" t="s">
        <v>1278</v>
      </c>
      <c r="B1510" s="8">
        <v>32642.0</v>
      </c>
      <c r="C1510" s="8"/>
      <c r="D1510" s="8"/>
      <c r="E1510" s="8"/>
      <c r="F1510" s="8"/>
    </row>
    <row r="1511" ht="13.5" customHeight="1">
      <c r="A1511" s="8" t="s">
        <v>1261</v>
      </c>
      <c r="B1511" s="8">
        <v>32803.0</v>
      </c>
      <c r="C1511" s="8"/>
      <c r="D1511" s="8"/>
      <c r="E1511" s="8"/>
      <c r="F1511" s="8"/>
    </row>
    <row r="1512" ht="13.5" customHeight="1">
      <c r="A1512" s="8" t="s">
        <v>671</v>
      </c>
      <c r="B1512" s="8">
        <v>32834.0</v>
      </c>
      <c r="C1512" s="8"/>
      <c r="D1512" s="8"/>
      <c r="E1512" s="8"/>
      <c r="F1512" s="8"/>
    </row>
    <row r="1513" ht="13.5" customHeight="1">
      <c r="A1513" s="8" t="s">
        <v>1248</v>
      </c>
      <c r="B1513" s="8">
        <v>33219.0</v>
      </c>
      <c r="C1513" s="8"/>
      <c r="D1513" s="8"/>
      <c r="E1513" s="8"/>
      <c r="F1513" s="8"/>
    </row>
    <row r="1514" ht="13.5" customHeight="1">
      <c r="A1514" s="8" t="s">
        <v>1248</v>
      </c>
      <c r="B1514" s="8">
        <v>33477.0</v>
      </c>
      <c r="C1514" s="8"/>
      <c r="D1514" s="8"/>
      <c r="E1514" s="8"/>
      <c r="F1514" s="8"/>
    </row>
    <row r="1515" ht="13.5" customHeight="1">
      <c r="A1515" s="8" t="s">
        <v>1293</v>
      </c>
      <c r="B1515" s="8">
        <v>34082.0</v>
      </c>
      <c r="C1515" s="8"/>
      <c r="D1515" s="8"/>
      <c r="E1515" s="8"/>
      <c r="F1515" s="8"/>
    </row>
    <row r="1516" ht="13.5" customHeight="1">
      <c r="A1516" s="8" t="s">
        <v>1257</v>
      </c>
      <c r="B1516" s="8">
        <v>34211.0</v>
      </c>
      <c r="C1516" s="8"/>
      <c r="D1516" s="8"/>
      <c r="E1516" s="8"/>
      <c r="F1516" s="8"/>
    </row>
    <row r="1517" ht="13.5" customHeight="1">
      <c r="A1517" s="8" t="s">
        <v>1248</v>
      </c>
      <c r="B1517" s="8">
        <v>34244.0</v>
      </c>
      <c r="C1517" s="8"/>
      <c r="D1517" s="8"/>
      <c r="E1517" s="8"/>
      <c r="F1517" s="8"/>
    </row>
    <row r="1518" ht="13.5" customHeight="1">
      <c r="A1518" s="8" t="s">
        <v>1257</v>
      </c>
      <c r="B1518" s="8">
        <v>34658.0</v>
      </c>
      <c r="C1518" s="8"/>
      <c r="D1518" s="8"/>
      <c r="E1518" s="8"/>
      <c r="F1518" s="8"/>
    </row>
    <row r="1519" ht="13.5" customHeight="1">
      <c r="A1519" s="8" t="s">
        <v>1257</v>
      </c>
      <c r="B1519" s="8">
        <v>34788.0</v>
      </c>
      <c r="C1519" s="8"/>
      <c r="D1519" s="8"/>
      <c r="E1519" s="8"/>
      <c r="F1519" s="8"/>
    </row>
    <row r="1520" ht="13.5" customHeight="1">
      <c r="A1520" s="8" t="s">
        <v>1361</v>
      </c>
      <c r="B1520" s="8">
        <v>34918.0</v>
      </c>
      <c r="C1520" s="8"/>
      <c r="D1520" s="8"/>
      <c r="E1520" s="8"/>
      <c r="F1520" s="8"/>
    </row>
    <row r="1521" ht="13.5" customHeight="1">
      <c r="A1521" s="8" t="s">
        <v>1278</v>
      </c>
      <c r="B1521" s="8">
        <v>35079.0</v>
      </c>
      <c r="C1521" s="8"/>
      <c r="D1521" s="8"/>
      <c r="E1521" s="8"/>
      <c r="F1521" s="8"/>
    </row>
    <row r="1522" ht="13.5" customHeight="1">
      <c r="A1522" s="8" t="s">
        <v>1334</v>
      </c>
      <c r="B1522" s="8">
        <v>35110.0</v>
      </c>
      <c r="C1522" s="8"/>
      <c r="D1522" s="8"/>
      <c r="E1522" s="8"/>
      <c r="F1522" s="8"/>
    </row>
    <row r="1523" ht="13.5" customHeight="1">
      <c r="A1523" s="8" t="s">
        <v>1278</v>
      </c>
      <c r="B1523" s="8">
        <v>35554.0</v>
      </c>
      <c r="C1523" s="8"/>
      <c r="D1523" s="8"/>
      <c r="E1523" s="8"/>
      <c r="F1523" s="8"/>
    </row>
    <row r="1524" ht="13.5" customHeight="1">
      <c r="A1524" s="8" t="s">
        <v>1261</v>
      </c>
      <c r="B1524" s="8">
        <v>35555.0</v>
      </c>
      <c r="C1524" s="8"/>
      <c r="D1524" s="8"/>
      <c r="E1524" s="8"/>
      <c r="F1524" s="8"/>
    </row>
    <row r="1525" ht="13.5" customHeight="1">
      <c r="A1525" s="8" t="s">
        <v>1243</v>
      </c>
      <c r="B1525" s="8">
        <v>35877.0</v>
      </c>
      <c r="C1525" s="8"/>
      <c r="D1525" s="8"/>
      <c r="E1525" s="8"/>
      <c r="F1525" s="8"/>
    </row>
    <row r="1526" ht="13.5" customHeight="1">
      <c r="A1526" s="8" t="s">
        <v>1364</v>
      </c>
      <c r="B1526" s="8">
        <v>35878.0</v>
      </c>
      <c r="C1526" s="8"/>
      <c r="D1526" s="8"/>
      <c r="E1526" s="8"/>
      <c r="F1526" s="8"/>
    </row>
    <row r="1527" ht="13.5" customHeight="1">
      <c r="A1527" s="8" t="s">
        <v>1266</v>
      </c>
      <c r="B1527" s="8">
        <v>36448.0</v>
      </c>
      <c r="C1527" s="8"/>
      <c r="D1527" s="8"/>
      <c r="E1527" s="8"/>
      <c r="F1527" s="8"/>
    </row>
    <row r="1528" ht="13.5" customHeight="1">
      <c r="A1528" s="8" t="s">
        <v>1367</v>
      </c>
      <c r="B1528" s="8">
        <v>36452.0</v>
      </c>
      <c r="C1528" s="8"/>
      <c r="D1528" s="8"/>
      <c r="E1528" s="8"/>
      <c r="F1528" s="8"/>
    </row>
    <row r="1529" ht="13.5" customHeight="1">
      <c r="A1529" s="8" t="s">
        <v>1364</v>
      </c>
      <c r="B1529" s="8">
        <v>36484.0</v>
      </c>
      <c r="C1529" s="8"/>
      <c r="D1529" s="8"/>
      <c r="E1529" s="8"/>
      <c r="F1529" s="8"/>
    </row>
    <row r="1530" ht="13.5" customHeight="1">
      <c r="A1530" s="8" t="s">
        <v>1311</v>
      </c>
      <c r="B1530" s="8">
        <v>36643.0</v>
      </c>
      <c r="C1530" s="8"/>
      <c r="D1530" s="8"/>
      <c r="E1530" s="8"/>
      <c r="F1530" s="8"/>
    </row>
    <row r="1531" ht="13.5" customHeight="1">
      <c r="A1531" s="8" t="s">
        <v>1276</v>
      </c>
      <c r="B1531" s="8">
        <v>36679.0</v>
      </c>
      <c r="C1531" s="8"/>
      <c r="D1531" s="8"/>
      <c r="E1531" s="8"/>
      <c r="F1531" s="8"/>
    </row>
    <row r="1532" ht="13.5" customHeight="1">
      <c r="A1532" s="8" t="s">
        <v>1368</v>
      </c>
      <c r="B1532" s="8">
        <v>36741.0</v>
      </c>
      <c r="C1532" s="8"/>
      <c r="D1532" s="8"/>
      <c r="E1532" s="8"/>
      <c r="F1532" s="8"/>
    </row>
    <row r="1533" ht="13.5" customHeight="1">
      <c r="A1533" s="8" t="s">
        <v>1341</v>
      </c>
      <c r="B1533" s="8">
        <v>36866.0</v>
      </c>
      <c r="C1533" s="8"/>
      <c r="D1533" s="8"/>
      <c r="E1533" s="8"/>
      <c r="F1533" s="8"/>
    </row>
    <row r="1534" ht="13.5" customHeight="1">
      <c r="A1534" s="8" t="s">
        <v>1361</v>
      </c>
      <c r="B1534" s="8">
        <v>36929.0</v>
      </c>
      <c r="C1534" s="8"/>
      <c r="D1534" s="8"/>
      <c r="E1534" s="8"/>
      <c r="F1534" s="8"/>
    </row>
    <row r="1535" ht="13.5" customHeight="1">
      <c r="A1535" s="8" t="s">
        <v>1364</v>
      </c>
      <c r="B1535" s="8">
        <v>36999.0</v>
      </c>
      <c r="C1535" s="8"/>
      <c r="D1535" s="8"/>
      <c r="E1535" s="8"/>
      <c r="F1535" s="8"/>
    </row>
    <row r="1536" ht="13.5" customHeight="1">
      <c r="A1536" s="8" t="s">
        <v>1367</v>
      </c>
      <c r="B1536" s="8">
        <v>37216.0</v>
      </c>
      <c r="C1536" s="8"/>
      <c r="D1536" s="8"/>
      <c r="E1536" s="8"/>
      <c r="F1536" s="8"/>
    </row>
    <row r="1537" ht="13.5" customHeight="1">
      <c r="A1537" s="8" t="s">
        <v>1358</v>
      </c>
      <c r="B1537" s="8">
        <v>37314.0</v>
      </c>
      <c r="C1537" s="8"/>
      <c r="D1537" s="8"/>
      <c r="E1537" s="8"/>
      <c r="F1537" s="8"/>
    </row>
    <row r="1538" ht="13.5" customHeight="1">
      <c r="A1538" s="8" t="s">
        <v>1280</v>
      </c>
      <c r="B1538" s="8">
        <v>37349.0</v>
      </c>
      <c r="C1538" s="8"/>
      <c r="D1538" s="8"/>
      <c r="E1538" s="8"/>
      <c r="F1538" s="8"/>
    </row>
    <row r="1539" ht="13.5" customHeight="1">
      <c r="A1539" s="8" t="s">
        <v>1334</v>
      </c>
      <c r="B1539" s="8">
        <v>37828.0</v>
      </c>
      <c r="C1539" s="8"/>
      <c r="D1539" s="8"/>
      <c r="E1539" s="8"/>
      <c r="F1539" s="8"/>
    </row>
    <row r="1540" ht="13.5" customHeight="1">
      <c r="A1540" s="8" t="s">
        <v>1329</v>
      </c>
      <c r="B1540" s="8">
        <v>37920.0</v>
      </c>
      <c r="C1540" s="8"/>
      <c r="D1540" s="8"/>
      <c r="E1540" s="8"/>
      <c r="F1540" s="8"/>
    </row>
    <row r="1541" ht="13.5" customHeight="1">
      <c r="A1541" s="8" t="s">
        <v>1277</v>
      </c>
      <c r="B1541" s="8">
        <v>38052.0</v>
      </c>
      <c r="C1541" s="8"/>
      <c r="D1541" s="8"/>
      <c r="E1541" s="8"/>
      <c r="F1541" s="8"/>
    </row>
    <row r="1542" ht="13.5" customHeight="1">
      <c r="A1542" s="8" t="s">
        <v>1299</v>
      </c>
      <c r="B1542" s="8">
        <v>38080.0</v>
      </c>
      <c r="C1542" s="8"/>
      <c r="D1542" s="8"/>
      <c r="E1542" s="8"/>
      <c r="F1542" s="8"/>
    </row>
    <row r="1543" ht="13.5" customHeight="1">
      <c r="A1543" s="8" t="s">
        <v>1361</v>
      </c>
      <c r="B1543" s="8">
        <v>38145.0</v>
      </c>
      <c r="C1543" s="8"/>
      <c r="D1543" s="8"/>
      <c r="E1543" s="8"/>
      <c r="F1543" s="8"/>
    </row>
    <row r="1544" ht="13.5" customHeight="1">
      <c r="A1544" s="8" t="s">
        <v>1337</v>
      </c>
      <c r="B1544" s="8">
        <v>38437.0</v>
      </c>
      <c r="C1544" s="8"/>
      <c r="D1544" s="8"/>
      <c r="E1544" s="8"/>
      <c r="F1544" s="8"/>
    </row>
    <row r="1545" ht="13.5" customHeight="1">
      <c r="A1545" s="8" t="s">
        <v>1286</v>
      </c>
      <c r="B1545" s="8">
        <v>38503.0</v>
      </c>
      <c r="C1545" s="8"/>
      <c r="D1545" s="8"/>
      <c r="E1545" s="8"/>
      <c r="F1545" s="8"/>
    </row>
    <row r="1546" ht="13.5" customHeight="1">
      <c r="A1546" s="8" t="s">
        <v>1296</v>
      </c>
      <c r="B1546" s="8">
        <v>38530.0</v>
      </c>
      <c r="C1546" s="8"/>
      <c r="D1546" s="8"/>
      <c r="E1546" s="8"/>
      <c r="F1546" s="8"/>
    </row>
    <row r="1547" ht="13.5" customHeight="1">
      <c r="A1547" s="8" t="s">
        <v>1285</v>
      </c>
      <c r="B1547" s="8">
        <v>38726.0</v>
      </c>
      <c r="C1547" s="8"/>
      <c r="D1547" s="8"/>
      <c r="E1547" s="8"/>
      <c r="F1547" s="8"/>
    </row>
    <row r="1548" ht="13.5" customHeight="1">
      <c r="A1548" s="8" t="s">
        <v>1274</v>
      </c>
      <c r="B1548" s="8">
        <v>39172.0</v>
      </c>
      <c r="C1548" s="8"/>
      <c r="D1548" s="8"/>
      <c r="E1548" s="8"/>
      <c r="F1548" s="8"/>
    </row>
    <row r="1549" ht="13.5" customHeight="1">
      <c r="A1549" s="8" t="s">
        <v>1263</v>
      </c>
      <c r="B1549" s="8">
        <v>39269.0</v>
      </c>
      <c r="C1549" s="8"/>
      <c r="D1549" s="8"/>
      <c r="E1549" s="8"/>
      <c r="F1549" s="8"/>
    </row>
    <row r="1550" ht="13.5" customHeight="1">
      <c r="A1550" s="8" t="s">
        <v>1301</v>
      </c>
      <c r="B1550" s="8">
        <v>39330.0</v>
      </c>
      <c r="C1550" s="8"/>
      <c r="D1550" s="8"/>
      <c r="E1550" s="8"/>
      <c r="F1550" s="8"/>
    </row>
    <row r="1551" ht="13.5" customHeight="1">
      <c r="A1551" s="8" t="s">
        <v>1337</v>
      </c>
      <c r="B1551" s="8">
        <v>39365.0</v>
      </c>
      <c r="C1551" s="8"/>
      <c r="D1551" s="8"/>
      <c r="E1551" s="8"/>
      <c r="F1551" s="8"/>
    </row>
    <row r="1552" ht="13.5" customHeight="1">
      <c r="A1552" s="8" t="s">
        <v>1262</v>
      </c>
      <c r="B1552" s="8">
        <v>39430.0</v>
      </c>
      <c r="C1552" s="8"/>
      <c r="D1552" s="8"/>
      <c r="E1552" s="8"/>
      <c r="F1552" s="8"/>
    </row>
    <row r="1553" ht="13.5" customHeight="1">
      <c r="A1553" s="8" t="s">
        <v>1309</v>
      </c>
      <c r="B1553" s="8">
        <v>39555.0</v>
      </c>
      <c r="C1553" s="8"/>
      <c r="D1553" s="8"/>
      <c r="E1553" s="8"/>
      <c r="F1553" s="8"/>
    </row>
    <row r="1554" ht="13.5" customHeight="1">
      <c r="A1554" s="8" t="s">
        <v>1255</v>
      </c>
      <c r="B1554" s="8">
        <v>39749.0</v>
      </c>
      <c r="C1554" s="8"/>
      <c r="D1554" s="8"/>
      <c r="E1554" s="8"/>
      <c r="F1554" s="8"/>
    </row>
    <row r="1555" ht="13.5" customHeight="1">
      <c r="A1555" s="8" t="s">
        <v>532</v>
      </c>
      <c r="B1555" s="8">
        <v>39815.0</v>
      </c>
      <c r="C1555" s="8"/>
      <c r="D1555" s="8"/>
      <c r="E1555" s="8"/>
      <c r="F1555" s="8"/>
    </row>
    <row r="1556" ht="13.5" customHeight="1">
      <c r="A1556" s="8" t="s">
        <v>1376</v>
      </c>
      <c r="B1556" s="8">
        <v>40001.0</v>
      </c>
      <c r="C1556" s="8"/>
      <c r="D1556" s="8"/>
      <c r="E1556" s="8"/>
      <c r="F1556" s="8"/>
    </row>
    <row r="1557" ht="13.5" customHeight="1">
      <c r="A1557" s="8" t="s">
        <v>1288</v>
      </c>
      <c r="B1557" s="8">
        <v>40386.0</v>
      </c>
      <c r="C1557" s="8"/>
      <c r="D1557" s="8"/>
      <c r="E1557" s="8"/>
      <c r="F1557" s="8"/>
    </row>
    <row r="1558" ht="13.5" customHeight="1">
      <c r="A1558" s="8" t="s">
        <v>1309</v>
      </c>
      <c r="B1558" s="8">
        <v>40647.0</v>
      </c>
      <c r="C1558" s="8"/>
      <c r="D1558" s="8"/>
      <c r="E1558" s="8"/>
      <c r="F1558" s="8"/>
    </row>
    <row r="1559" ht="13.5" customHeight="1">
      <c r="A1559" s="8" t="s">
        <v>1278</v>
      </c>
      <c r="B1559" s="8">
        <v>41120.0</v>
      </c>
      <c r="C1559" s="8"/>
      <c r="D1559" s="8"/>
      <c r="E1559" s="8"/>
      <c r="F1559" s="8"/>
    </row>
    <row r="1560" ht="13.5" customHeight="1">
      <c r="A1560" s="8" t="s">
        <v>1278</v>
      </c>
      <c r="B1560" s="8">
        <v>41122.0</v>
      </c>
      <c r="C1560" s="8"/>
      <c r="D1560" s="8"/>
      <c r="E1560" s="8"/>
      <c r="F1560" s="8"/>
    </row>
    <row r="1561" ht="13.5" customHeight="1">
      <c r="A1561" s="8" t="s">
        <v>1250</v>
      </c>
      <c r="B1561" s="8">
        <v>41187.0</v>
      </c>
      <c r="C1561" s="8"/>
      <c r="D1561" s="8"/>
      <c r="E1561" s="8"/>
      <c r="F1561" s="8"/>
    </row>
    <row r="1562" ht="13.5" customHeight="1">
      <c r="A1562" s="8" t="s">
        <v>1285</v>
      </c>
      <c r="B1562" s="8">
        <v>41221.0</v>
      </c>
      <c r="C1562" s="8"/>
      <c r="D1562" s="8"/>
      <c r="E1562" s="8"/>
      <c r="F1562" s="8"/>
    </row>
    <row r="1563" ht="13.5" customHeight="1">
      <c r="A1563" s="8" t="s">
        <v>1259</v>
      </c>
      <c r="B1563" s="8">
        <v>41282.0</v>
      </c>
      <c r="C1563" s="8"/>
      <c r="D1563" s="8"/>
      <c r="E1563" s="8"/>
      <c r="F1563" s="8"/>
    </row>
    <row r="1564" ht="13.5" customHeight="1">
      <c r="A1564" s="8" t="s">
        <v>1322</v>
      </c>
      <c r="B1564" s="8">
        <v>41312.0</v>
      </c>
      <c r="C1564" s="8"/>
      <c r="D1564" s="8"/>
      <c r="E1564" s="8"/>
      <c r="F1564" s="8"/>
    </row>
    <row r="1565" ht="13.5" customHeight="1">
      <c r="A1565" s="8" t="s">
        <v>1341</v>
      </c>
      <c r="B1565" s="8">
        <v>41318.0</v>
      </c>
      <c r="C1565" s="8"/>
      <c r="D1565" s="8"/>
      <c r="E1565" s="8"/>
      <c r="F1565" s="8"/>
    </row>
    <row r="1566" ht="13.5" customHeight="1">
      <c r="A1566" s="8" t="s">
        <v>1313</v>
      </c>
      <c r="B1566" s="8">
        <v>41345.0</v>
      </c>
      <c r="C1566" s="8"/>
      <c r="D1566" s="8"/>
      <c r="E1566" s="8"/>
      <c r="F1566" s="8"/>
    </row>
    <row r="1567" ht="13.5" customHeight="1">
      <c r="A1567" s="8" t="s">
        <v>1262</v>
      </c>
      <c r="B1567" s="8">
        <v>41604.0</v>
      </c>
      <c r="C1567" s="8"/>
      <c r="D1567" s="8"/>
      <c r="E1567" s="8"/>
      <c r="F1567" s="8"/>
    </row>
    <row r="1568" ht="13.5" customHeight="1">
      <c r="A1568" s="8" t="s">
        <v>1242</v>
      </c>
      <c r="B1568" s="8">
        <v>41891.0</v>
      </c>
      <c r="C1568" s="8"/>
      <c r="D1568" s="8"/>
      <c r="E1568" s="8"/>
      <c r="F1568" s="8"/>
    </row>
    <row r="1569" ht="13.5" customHeight="1">
      <c r="A1569" s="8" t="s">
        <v>1285</v>
      </c>
      <c r="B1569" s="8">
        <v>42022.0</v>
      </c>
      <c r="C1569" s="8"/>
      <c r="D1569" s="8"/>
      <c r="E1569" s="8"/>
      <c r="F1569" s="8"/>
    </row>
    <row r="1570" ht="13.5" customHeight="1">
      <c r="A1570" s="8" t="s">
        <v>1282</v>
      </c>
      <c r="B1570" s="8">
        <v>42081.0</v>
      </c>
      <c r="C1570" s="8"/>
      <c r="D1570" s="8"/>
      <c r="E1570" s="8"/>
      <c r="F1570" s="8"/>
    </row>
    <row r="1571" ht="13.5" customHeight="1">
      <c r="A1571" s="8" t="s">
        <v>1265</v>
      </c>
      <c r="B1571" s="8">
        <v>42086.0</v>
      </c>
      <c r="C1571" s="8"/>
      <c r="D1571" s="8"/>
      <c r="E1571" s="8"/>
      <c r="F1571" s="8"/>
    </row>
    <row r="1572" ht="13.5" customHeight="1">
      <c r="A1572" s="8" t="s">
        <v>1253</v>
      </c>
      <c r="B1572" s="8">
        <v>42246.0</v>
      </c>
      <c r="C1572" s="8"/>
      <c r="D1572" s="8"/>
      <c r="E1572" s="8"/>
      <c r="F1572" s="8"/>
    </row>
    <row r="1573" ht="13.5" customHeight="1">
      <c r="A1573" s="8" t="s">
        <v>1242</v>
      </c>
      <c r="B1573" s="8">
        <v>42465.0</v>
      </c>
      <c r="C1573" s="8"/>
      <c r="D1573" s="8"/>
      <c r="E1573" s="8"/>
      <c r="F1573" s="8"/>
    </row>
    <row r="1574" ht="13.5" customHeight="1">
      <c r="A1574" s="8" t="s">
        <v>1259</v>
      </c>
      <c r="B1574" s="8">
        <v>42657.0</v>
      </c>
      <c r="C1574" s="8"/>
      <c r="D1574" s="8"/>
      <c r="E1574" s="8"/>
      <c r="F1574" s="8"/>
    </row>
    <row r="1575" ht="13.5" customHeight="1">
      <c r="A1575" s="8" t="s">
        <v>1253</v>
      </c>
      <c r="B1575" s="8">
        <v>42820.0</v>
      </c>
      <c r="C1575" s="8"/>
      <c r="D1575" s="8"/>
      <c r="E1575" s="8"/>
      <c r="F1575" s="8"/>
    </row>
    <row r="1576" ht="13.5" customHeight="1">
      <c r="A1576" s="8" t="s">
        <v>1014</v>
      </c>
      <c r="B1576" s="8">
        <v>42848.0</v>
      </c>
      <c r="C1576" s="8"/>
      <c r="D1576" s="8"/>
      <c r="E1576" s="8"/>
      <c r="F1576" s="8"/>
    </row>
    <row r="1577" ht="13.5" customHeight="1">
      <c r="A1577" s="8" t="s">
        <v>1261</v>
      </c>
      <c r="B1577" s="8">
        <v>43269.0</v>
      </c>
      <c r="C1577" s="8"/>
      <c r="D1577" s="8"/>
      <c r="E1577" s="8"/>
      <c r="F1577" s="8"/>
    </row>
    <row r="1578" ht="13.5" customHeight="1">
      <c r="A1578" s="8" t="s">
        <v>1380</v>
      </c>
      <c r="B1578" s="8">
        <v>43367.0</v>
      </c>
      <c r="C1578" s="8"/>
      <c r="D1578" s="8"/>
      <c r="E1578" s="8"/>
      <c r="F1578" s="8"/>
    </row>
    <row r="1579" ht="13.5" customHeight="1">
      <c r="A1579" s="8" t="s">
        <v>1364</v>
      </c>
      <c r="B1579" s="8">
        <v>43399.0</v>
      </c>
      <c r="C1579" s="8"/>
      <c r="D1579" s="8"/>
      <c r="E1579" s="8"/>
      <c r="F1579" s="8"/>
    </row>
    <row r="1580" ht="13.5" customHeight="1">
      <c r="A1580" s="8" t="s">
        <v>1286</v>
      </c>
      <c r="B1580" s="8">
        <v>43875.0</v>
      </c>
      <c r="C1580" s="8"/>
      <c r="D1580" s="8"/>
      <c r="E1580" s="8"/>
      <c r="F1580" s="8"/>
    </row>
    <row r="1581" ht="13.5" customHeight="1">
      <c r="A1581" s="8" t="s">
        <v>1337</v>
      </c>
      <c r="B1581" s="8">
        <v>44197.0</v>
      </c>
      <c r="C1581" s="8"/>
      <c r="D1581" s="8"/>
      <c r="E1581" s="8"/>
      <c r="F1581" s="8"/>
    </row>
    <row r="1582" ht="13.5" customHeight="1">
      <c r="A1582" s="8" t="s">
        <v>1265</v>
      </c>
      <c r="B1582" s="8">
        <v>44229.0</v>
      </c>
      <c r="C1582" s="8"/>
      <c r="D1582" s="8"/>
      <c r="E1582" s="8"/>
      <c r="F1582" s="8"/>
    </row>
    <row r="1583" ht="13.5" customHeight="1">
      <c r="A1583" s="8" t="s">
        <v>1382</v>
      </c>
      <c r="B1583" s="8">
        <v>44386.0</v>
      </c>
      <c r="C1583" s="8"/>
      <c r="D1583" s="8"/>
      <c r="E1583" s="8"/>
      <c r="F1583" s="8"/>
    </row>
    <row r="1584" ht="13.5" customHeight="1">
      <c r="A1584" s="8" t="s">
        <v>1383</v>
      </c>
      <c r="B1584" s="8">
        <v>44390.0</v>
      </c>
      <c r="C1584" s="8"/>
      <c r="D1584" s="8"/>
      <c r="E1584" s="8"/>
      <c r="F1584" s="8"/>
    </row>
    <row r="1585" ht="13.5" customHeight="1">
      <c r="A1585" s="8" t="s">
        <v>1384</v>
      </c>
      <c r="B1585" s="8">
        <v>44612.0</v>
      </c>
      <c r="C1585" s="8"/>
      <c r="D1585" s="8"/>
      <c r="E1585" s="8"/>
      <c r="F1585" s="8"/>
    </row>
    <row r="1586" ht="13.5" customHeight="1">
      <c r="A1586" s="8" t="s">
        <v>1343</v>
      </c>
      <c r="B1586" s="8">
        <v>44614.0</v>
      </c>
      <c r="C1586" s="8"/>
      <c r="D1586" s="8"/>
      <c r="E1586" s="8"/>
      <c r="F1586" s="8"/>
    </row>
    <row r="1587" ht="13.5" customHeight="1">
      <c r="A1587" s="8" t="s">
        <v>1262</v>
      </c>
      <c r="B1587" s="8">
        <v>44615.0</v>
      </c>
      <c r="C1587" s="8"/>
      <c r="D1587" s="8"/>
      <c r="E1587" s="8"/>
      <c r="F1587" s="8"/>
    </row>
    <row r="1588" ht="13.5" customHeight="1">
      <c r="A1588" s="8" t="s">
        <v>1385</v>
      </c>
      <c r="B1588" s="8">
        <v>44864.0</v>
      </c>
      <c r="C1588" s="8"/>
      <c r="D1588" s="8"/>
      <c r="E1588" s="8"/>
      <c r="F1588" s="8"/>
    </row>
    <row r="1589" ht="13.5" customHeight="1">
      <c r="A1589" s="8" t="s">
        <v>1354</v>
      </c>
      <c r="B1589" s="8">
        <v>44900.0</v>
      </c>
      <c r="C1589" s="8"/>
      <c r="D1589" s="8"/>
      <c r="E1589" s="8"/>
      <c r="F1589" s="8"/>
    </row>
    <row r="1590" ht="13.5" customHeight="1">
      <c r="A1590" s="8" t="s">
        <v>1246</v>
      </c>
      <c r="B1590" s="8">
        <v>44960.0</v>
      </c>
      <c r="C1590" s="8"/>
      <c r="D1590" s="8"/>
      <c r="E1590" s="8"/>
      <c r="F1590" s="8"/>
    </row>
    <row r="1591" ht="13.5" customHeight="1">
      <c r="A1591" s="8" t="s">
        <v>1252</v>
      </c>
      <c r="B1591" s="8">
        <v>44992.0</v>
      </c>
      <c r="C1591" s="8"/>
      <c r="D1591" s="8"/>
      <c r="E1591" s="8"/>
      <c r="F1591" s="8"/>
    </row>
    <row r="1592" ht="13.5" customHeight="1">
      <c r="A1592" s="8" t="s">
        <v>1265</v>
      </c>
      <c r="B1592" s="8">
        <v>45125.0</v>
      </c>
      <c r="C1592" s="8"/>
      <c r="D1592" s="8"/>
      <c r="E1592" s="8"/>
      <c r="F1592" s="8"/>
    </row>
    <row r="1593" ht="13.5" customHeight="1">
      <c r="A1593" s="8" t="s">
        <v>1295</v>
      </c>
      <c r="B1593" s="8">
        <v>45190.0</v>
      </c>
      <c r="C1593" s="8"/>
      <c r="D1593" s="8"/>
      <c r="E1593" s="8"/>
      <c r="F1593" s="8"/>
    </row>
    <row r="1594" ht="13.5" customHeight="1">
      <c r="A1594" s="8" t="s">
        <v>1295</v>
      </c>
      <c r="B1594" s="8">
        <v>45414.0</v>
      </c>
      <c r="C1594" s="8"/>
      <c r="D1594" s="8"/>
      <c r="E1594" s="8"/>
      <c r="F1594" s="8"/>
    </row>
    <row r="1595" ht="13.5" customHeight="1">
      <c r="A1595" s="8" t="s">
        <v>1326</v>
      </c>
      <c r="B1595" s="8">
        <v>45700.0</v>
      </c>
      <c r="C1595" s="8"/>
      <c r="D1595" s="8"/>
      <c r="E1595" s="8"/>
      <c r="F1595" s="8"/>
    </row>
    <row r="1596" ht="13.5" customHeight="1">
      <c r="A1596" s="8" t="s">
        <v>1248</v>
      </c>
      <c r="B1596" s="8">
        <v>45824.0</v>
      </c>
      <c r="C1596" s="8"/>
      <c r="D1596" s="8"/>
      <c r="E1596" s="8"/>
      <c r="F1596" s="8"/>
    </row>
    <row r="1597" ht="13.5" customHeight="1">
      <c r="A1597" s="8" t="s">
        <v>1295</v>
      </c>
      <c r="B1597" s="8">
        <v>45991.0</v>
      </c>
      <c r="C1597" s="8"/>
      <c r="D1597" s="8"/>
      <c r="E1597" s="8"/>
      <c r="F1597" s="8"/>
    </row>
    <row r="1598" ht="13.5" customHeight="1">
      <c r="A1598" s="8" t="s">
        <v>1322</v>
      </c>
      <c r="B1598" s="8">
        <v>46307.0</v>
      </c>
      <c r="C1598" s="8"/>
      <c r="D1598" s="8"/>
      <c r="E1598" s="8"/>
      <c r="F1598" s="8"/>
    </row>
    <row r="1599" ht="13.5" customHeight="1">
      <c r="A1599" s="8" t="s">
        <v>1014</v>
      </c>
      <c r="B1599" s="8">
        <v>46434.0</v>
      </c>
      <c r="C1599" s="8"/>
      <c r="D1599" s="8"/>
      <c r="E1599" s="8"/>
      <c r="F1599" s="8"/>
    </row>
    <row r="1600" ht="13.5" customHeight="1">
      <c r="A1600" s="8" t="s">
        <v>1328</v>
      </c>
      <c r="B1600" s="8">
        <v>46466.0</v>
      </c>
      <c r="C1600" s="8"/>
      <c r="D1600" s="8"/>
      <c r="E1600" s="8"/>
      <c r="F1600" s="8"/>
    </row>
    <row r="1601" ht="13.5" customHeight="1">
      <c r="A1601" s="8" t="s">
        <v>1250</v>
      </c>
      <c r="B1601" s="8">
        <v>46528.0</v>
      </c>
      <c r="C1601" s="8"/>
      <c r="D1601" s="8"/>
      <c r="E1601" s="8"/>
      <c r="F1601" s="8"/>
    </row>
    <row r="1602" ht="13.5" customHeight="1">
      <c r="A1602" s="8" t="s">
        <v>1313</v>
      </c>
      <c r="B1602" s="8">
        <v>46626.0</v>
      </c>
      <c r="C1602" s="8"/>
      <c r="D1602" s="8"/>
      <c r="E1602" s="8"/>
      <c r="F1602" s="8"/>
    </row>
    <row r="1603" ht="13.5" customHeight="1">
      <c r="A1603" s="8" t="s">
        <v>1367</v>
      </c>
      <c r="B1603" s="8">
        <v>46853.0</v>
      </c>
      <c r="C1603" s="8"/>
      <c r="D1603" s="8"/>
      <c r="E1603" s="8"/>
      <c r="F1603" s="8"/>
    </row>
    <row r="1604" ht="13.5" customHeight="1">
      <c r="A1604" s="8" t="s">
        <v>1278</v>
      </c>
      <c r="B1604" s="8">
        <v>46855.0</v>
      </c>
      <c r="C1604" s="8"/>
      <c r="D1604" s="8"/>
      <c r="E1604" s="8"/>
      <c r="F1604" s="8"/>
    </row>
    <row r="1605" ht="13.5" customHeight="1">
      <c r="A1605" s="8" t="s">
        <v>1288</v>
      </c>
      <c r="B1605" s="8">
        <v>46919.0</v>
      </c>
      <c r="C1605" s="8"/>
      <c r="D1605" s="8"/>
      <c r="E1605" s="8"/>
      <c r="F1605" s="8"/>
    </row>
    <row r="1606" ht="13.5" customHeight="1">
      <c r="A1606" s="8" t="s">
        <v>1266</v>
      </c>
      <c r="B1606" s="8">
        <v>46977.0</v>
      </c>
      <c r="C1606" s="8"/>
      <c r="D1606" s="8"/>
      <c r="E1606" s="8"/>
      <c r="F1606" s="8"/>
    </row>
    <row r="1607" ht="13.5" customHeight="1">
      <c r="A1607" s="8" t="s">
        <v>1337</v>
      </c>
      <c r="B1607" s="8">
        <v>47041.0</v>
      </c>
      <c r="C1607" s="8"/>
      <c r="D1607" s="8"/>
      <c r="E1607" s="8"/>
      <c r="F1607" s="8"/>
    </row>
    <row r="1608" ht="13.5" customHeight="1">
      <c r="A1608" s="8" t="s">
        <v>1259</v>
      </c>
      <c r="B1608" s="8">
        <v>47301.0</v>
      </c>
      <c r="C1608" s="8"/>
      <c r="D1608" s="8"/>
      <c r="E1608" s="8"/>
      <c r="F1608" s="8"/>
    </row>
    <row r="1609" ht="13.5" customHeight="1">
      <c r="A1609" s="8" t="s">
        <v>1278</v>
      </c>
      <c r="B1609" s="8">
        <v>48003.0</v>
      </c>
      <c r="C1609" s="8"/>
      <c r="D1609" s="8"/>
      <c r="E1609" s="8"/>
      <c r="F1609" s="8"/>
    </row>
    <row r="1610" ht="13.5" customHeight="1">
      <c r="A1610" s="8" t="s">
        <v>1311</v>
      </c>
      <c r="B1610" s="8">
        <v>48195.0</v>
      </c>
      <c r="C1610" s="8"/>
      <c r="D1610" s="8"/>
      <c r="E1610" s="8"/>
      <c r="F1610" s="8"/>
    </row>
    <row r="1611" ht="13.5" customHeight="1">
      <c r="A1611" s="8" t="s">
        <v>1259</v>
      </c>
      <c r="B1611" s="8">
        <v>48357.0</v>
      </c>
      <c r="C1611" s="8"/>
      <c r="D1611" s="8"/>
      <c r="E1611" s="8"/>
      <c r="F1611" s="8"/>
    </row>
    <row r="1612" ht="13.5" customHeight="1">
      <c r="A1612" s="8" t="s">
        <v>1343</v>
      </c>
      <c r="B1612" s="8">
        <v>48615.0</v>
      </c>
      <c r="C1612" s="8"/>
      <c r="D1612" s="8"/>
      <c r="E1612" s="8"/>
      <c r="F1612" s="8"/>
    </row>
    <row r="1613" ht="13.5" customHeight="1">
      <c r="A1613" s="8" t="s">
        <v>1396</v>
      </c>
      <c r="B1613" s="8">
        <v>48642.0</v>
      </c>
      <c r="C1613" s="8"/>
      <c r="D1613" s="8"/>
      <c r="E1613" s="8"/>
      <c r="F1613" s="8"/>
    </row>
    <row r="1614" ht="13.5" customHeight="1">
      <c r="A1614" s="8" t="s">
        <v>1337</v>
      </c>
      <c r="B1614" s="8">
        <v>48710.0</v>
      </c>
      <c r="C1614" s="8"/>
      <c r="D1614" s="8"/>
      <c r="E1614" s="8"/>
      <c r="F1614" s="8"/>
    </row>
    <row r="1615" ht="13.5" customHeight="1">
      <c r="A1615" s="8" t="s">
        <v>1341</v>
      </c>
      <c r="B1615" s="8">
        <v>49094.0</v>
      </c>
      <c r="C1615" s="8"/>
      <c r="D1615" s="8"/>
      <c r="E1615" s="8"/>
      <c r="F1615" s="8"/>
    </row>
    <row r="1616" ht="13.5" customHeight="1">
      <c r="A1616" s="8" t="s">
        <v>1262</v>
      </c>
      <c r="B1616" s="8">
        <v>49125.0</v>
      </c>
      <c r="C1616" s="8"/>
      <c r="D1616" s="8"/>
      <c r="E1616" s="8"/>
      <c r="F1616" s="8"/>
    </row>
    <row r="1617" ht="13.5" customHeight="1">
      <c r="A1617" s="8" t="s">
        <v>1278</v>
      </c>
      <c r="B1617" s="8">
        <v>49538.0</v>
      </c>
      <c r="C1617" s="8"/>
      <c r="D1617" s="8"/>
      <c r="E1617" s="8"/>
      <c r="F1617" s="8"/>
    </row>
    <row r="1618" ht="13.5" customHeight="1">
      <c r="A1618" s="8" t="s">
        <v>1296</v>
      </c>
      <c r="B1618" s="8">
        <v>49730.0</v>
      </c>
      <c r="C1618" s="8"/>
      <c r="D1618" s="8"/>
      <c r="E1618" s="8"/>
      <c r="F1618" s="8"/>
    </row>
    <row r="1619" ht="13.5" customHeight="1">
      <c r="A1619" s="8" t="s">
        <v>1250</v>
      </c>
      <c r="B1619" s="8">
        <v>49924.0</v>
      </c>
      <c r="C1619" s="8"/>
      <c r="D1619" s="8"/>
      <c r="E1619" s="8"/>
      <c r="F1619" s="8"/>
    </row>
    <row r="1620" ht="13.5" customHeight="1">
      <c r="A1620" s="8" t="s">
        <v>1380</v>
      </c>
      <c r="B1620" s="8">
        <v>50306.0</v>
      </c>
      <c r="C1620" s="8"/>
      <c r="D1620" s="8"/>
      <c r="E1620" s="8"/>
      <c r="F1620" s="8"/>
    </row>
    <row r="1621" ht="13.5" customHeight="1">
      <c r="A1621" s="8" t="s">
        <v>1293</v>
      </c>
      <c r="B1621" s="8">
        <v>50566.0</v>
      </c>
      <c r="C1621" s="8"/>
      <c r="D1621" s="8"/>
      <c r="E1621" s="8"/>
      <c r="F1621" s="8"/>
    </row>
    <row r="1622" ht="13.5" customHeight="1">
      <c r="A1622" s="8" t="s">
        <v>1274</v>
      </c>
      <c r="B1622" s="8">
        <v>50823.0</v>
      </c>
      <c r="C1622" s="8"/>
      <c r="D1622" s="8"/>
      <c r="E1622" s="8"/>
      <c r="F1622" s="8"/>
    </row>
    <row r="1623" ht="13.5" customHeight="1">
      <c r="A1623" s="8" t="s">
        <v>1293</v>
      </c>
      <c r="B1623" s="8">
        <v>50854.0</v>
      </c>
      <c r="C1623" s="8"/>
      <c r="D1623" s="8"/>
      <c r="E1623" s="8"/>
      <c r="F1623" s="8"/>
    </row>
    <row r="1624" ht="13.5" customHeight="1">
      <c r="A1624" s="8" t="s">
        <v>1304</v>
      </c>
      <c r="B1624" s="8">
        <v>51109.0</v>
      </c>
      <c r="C1624" s="8"/>
      <c r="D1624" s="8"/>
      <c r="E1624" s="8"/>
      <c r="F1624" s="8"/>
    </row>
    <row r="1625" ht="13.5" customHeight="1">
      <c r="A1625" s="8" t="s">
        <v>1385</v>
      </c>
      <c r="B1625" s="8">
        <v>51395.0</v>
      </c>
      <c r="C1625" s="8"/>
      <c r="D1625" s="8"/>
      <c r="E1625" s="8"/>
      <c r="F1625" s="8"/>
    </row>
    <row r="1626" ht="13.5" customHeight="1">
      <c r="A1626" s="8" t="s">
        <v>1014</v>
      </c>
      <c r="B1626" s="8">
        <v>51559.0</v>
      </c>
      <c r="C1626" s="8"/>
      <c r="D1626" s="8"/>
      <c r="E1626" s="8"/>
      <c r="F1626" s="8"/>
    </row>
    <row r="1627" ht="13.5" customHeight="1">
      <c r="A1627" s="8" t="s">
        <v>1385</v>
      </c>
      <c r="B1627" s="8">
        <v>51813.0</v>
      </c>
      <c r="C1627" s="8"/>
      <c r="D1627" s="8"/>
      <c r="E1627" s="8"/>
      <c r="F1627" s="8"/>
    </row>
    <row r="1628" ht="13.5" customHeight="1">
      <c r="A1628" s="8" t="s">
        <v>1261</v>
      </c>
      <c r="B1628" s="8">
        <v>51937.0</v>
      </c>
      <c r="C1628" s="8"/>
      <c r="D1628" s="8"/>
      <c r="E1628" s="8"/>
      <c r="F1628" s="8"/>
    </row>
    <row r="1629" ht="13.5" customHeight="1">
      <c r="A1629" s="8" t="s">
        <v>1278</v>
      </c>
      <c r="B1629" s="8">
        <v>52098.0</v>
      </c>
      <c r="C1629" s="8"/>
      <c r="D1629" s="8"/>
      <c r="E1629" s="8"/>
      <c r="F1629" s="8"/>
    </row>
    <row r="1630" ht="13.5" customHeight="1">
      <c r="A1630" s="8" t="s">
        <v>622</v>
      </c>
      <c r="B1630" s="8">
        <v>52102.0</v>
      </c>
      <c r="C1630" s="8"/>
      <c r="D1630" s="8"/>
      <c r="E1630" s="8"/>
      <c r="F1630" s="8"/>
    </row>
    <row r="1631" ht="13.5" customHeight="1">
      <c r="A1631" s="8" t="s">
        <v>1256</v>
      </c>
      <c r="B1631" s="8">
        <v>52135.0</v>
      </c>
      <c r="C1631" s="8"/>
      <c r="D1631" s="8"/>
      <c r="E1631" s="8"/>
      <c r="F1631" s="8"/>
    </row>
    <row r="1632" ht="13.5" customHeight="1">
      <c r="A1632" s="8" t="s">
        <v>1278</v>
      </c>
      <c r="B1632" s="8">
        <v>52162.0</v>
      </c>
      <c r="C1632" s="8"/>
      <c r="D1632" s="8"/>
      <c r="E1632" s="8"/>
      <c r="F1632" s="8"/>
    </row>
    <row r="1633" ht="13.5" customHeight="1">
      <c r="A1633" s="8" t="s">
        <v>1364</v>
      </c>
      <c r="B1633" s="8">
        <v>52256.0</v>
      </c>
      <c r="C1633" s="8"/>
      <c r="D1633" s="8"/>
      <c r="E1633" s="8"/>
      <c r="F1633" s="8"/>
    </row>
    <row r="1634" ht="13.5" customHeight="1">
      <c r="A1634" s="8" t="s">
        <v>1257</v>
      </c>
      <c r="B1634" s="8">
        <v>52391.0</v>
      </c>
      <c r="C1634" s="8"/>
      <c r="D1634" s="8"/>
      <c r="E1634" s="8"/>
      <c r="F1634" s="8"/>
    </row>
    <row r="1635" ht="13.5" customHeight="1">
      <c r="A1635" s="8" t="s">
        <v>1313</v>
      </c>
      <c r="B1635" s="8">
        <v>52642.0</v>
      </c>
      <c r="C1635" s="8"/>
      <c r="D1635" s="8"/>
      <c r="E1635" s="8"/>
      <c r="F1635" s="8"/>
    </row>
    <row r="1636" ht="13.5" customHeight="1">
      <c r="A1636" s="8" t="s">
        <v>1257</v>
      </c>
      <c r="B1636" s="8">
        <v>52645.0</v>
      </c>
      <c r="C1636" s="8"/>
      <c r="D1636" s="8"/>
      <c r="E1636" s="8"/>
      <c r="F1636" s="8"/>
    </row>
    <row r="1637" ht="13.5" customHeight="1">
      <c r="A1637" s="8" t="s">
        <v>1376</v>
      </c>
      <c r="B1637" s="8">
        <v>52711.0</v>
      </c>
      <c r="C1637" s="8"/>
      <c r="D1637" s="8"/>
      <c r="E1637" s="8"/>
      <c r="F1637" s="8"/>
    </row>
    <row r="1638" ht="13.5" customHeight="1">
      <c r="A1638" s="8" t="s">
        <v>1385</v>
      </c>
      <c r="B1638" s="8">
        <v>52896.0</v>
      </c>
      <c r="C1638" s="8"/>
      <c r="D1638" s="8"/>
      <c r="E1638" s="8"/>
      <c r="F1638" s="8"/>
    </row>
    <row r="1639" ht="13.5" customHeight="1">
      <c r="A1639" s="8" t="s">
        <v>1285</v>
      </c>
      <c r="B1639" s="8">
        <v>52999.0</v>
      </c>
      <c r="C1639" s="8"/>
      <c r="D1639" s="8"/>
      <c r="E1639" s="8"/>
      <c r="F1639" s="8"/>
    </row>
    <row r="1640" ht="13.5" customHeight="1">
      <c r="A1640" s="8" t="s">
        <v>1383</v>
      </c>
      <c r="B1640" s="8">
        <v>53254.0</v>
      </c>
      <c r="C1640" s="8"/>
      <c r="D1640" s="8"/>
      <c r="E1640" s="8"/>
      <c r="F1640" s="8"/>
    </row>
    <row r="1641" ht="13.5" customHeight="1">
      <c r="A1641" s="8" t="s">
        <v>622</v>
      </c>
      <c r="B1641" s="8">
        <v>53281.0</v>
      </c>
      <c r="C1641" s="8"/>
      <c r="D1641" s="8"/>
      <c r="E1641" s="8"/>
      <c r="F1641" s="8"/>
    </row>
    <row r="1642" ht="13.5" customHeight="1">
      <c r="A1642" s="8" t="s">
        <v>1367</v>
      </c>
      <c r="B1642" s="8">
        <v>53285.0</v>
      </c>
      <c r="C1642" s="8"/>
      <c r="D1642" s="8"/>
      <c r="E1642" s="8"/>
      <c r="F1642" s="8"/>
    </row>
    <row r="1643" ht="13.5" customHeight="1">
      <c r="A1643" s="8" t="s">
        <v>1250</v>
      </c>
      <c r="B1643" s="8">
        <v>53312.0</v>
      </c>
      <c r="C1643" s="8"/>
      <c r="D1643" s="8"/>
      <c r="E1643" s="8"/>
      <c r="F1643" s="8"/>
    </row>
    <row r="1644" ht="13.5" customHeight="1">
      <c r="A1644" s="8" t="s">
        <v>1277</v>
      </c>
      <c r="B1644" s="8">
        <v>53637.0</v>
      </c>
      <c r="C1644" s="8"/>
      <c r="D1644" s="8"/>
      <c r="E1644" s="8"/>
      <c r="F1644" s="8"/>
    </row>
    <row r="1645" ht="13.5" customHeight="1">
      <c r="A1645" s="8" t="s">
        <v>1246</v>
      </c>
      <c r="B1645" s="8">
        <v>53698.0</v>
      </c>
      <c r="C1645" s="8"/>
      <c r="D1645" s="8"/>
      <c r="E1645" s="8"/>
      <c r="F1645" s="8"/>
    </row>
    <row r="1646" ht="13.5" customHeight="1">
      <c r="A1646" s="8" t="s">
        <v>1334</v>
      </c>
      <c r="B1646" s="8">
        <v>54183.0</v>
      </c>
      <c r="C1646" s="8"/>
      <c r="D1646" s="8"/>
      <c r="E1646" s="8"/>
      <c r="F1646" s="8"/>
    </row>
    <row r="1647" ht="13.5" customHeight="1">
      <c r="A1647" s="8" t="s">
        <v>1364</v>
      </c>
      <c r="B1647" s="8">
        <v>54245.0</v>
      </c>
      <c r="C1647" s="8"/>
      <c r="D1647" s="8"/>
      <c r="E1647" s="8"/>
      <c r="F1647" s="8"/>
    </row>
    <row r="1648" ht="13.5" customHeight="1">
      <c r="A1648" s="8" t="s">
        <v>1257</v>
      </c>
      <c r="B1648" s="8">
        <v>54339.0</v>
      </c>
      <c r="C1648" s="8"/>
      <c r="D1648" s="8"/>
      <c r="E1648" s="8"/>
      <c r="F1648" s="8"/>
    </row>
    <row r="1649" ht="13.5" customHeight="1">
      <c r="A1649" s="8" t="s">
        <v>1296</v>
      </c>
      <c r="B1649" s="8">
        <v>54401.0</v>
      </c>
      <c r="C1649" s="8"/>
      <c r="D1649" s="8"/>
      <c r="E1649" s="8"/>
      <c r="F1649" s="8"/>
    </row>
    <row r="1650" ht="13.5" customHeight="1">
      <c r="A1650" s="8" t="s">
        <v>1368</v>
      </c>
      <c r="B1650" s="8">
        <v>54563.0</v>
      </c>
      <c r="C1650" s="8"/>
      <c r="D1650" s="8"/>
      <c r="E1650" s="8"/>
      <c r="F1650" s="8"/>
    </row>
    <row r="1651" ht="13.5" customHeight="1">
      <c r="A1651" s="8" t="s">
        <v>1322</v>
      </c>
      <c r="B1651" s="8">
        <v>54694.0</v>
      </c>
      <c r="C1651" s="8"/>
      <c r="D1651" s="8"/>
      <c r="E1651" s="8"/>
      <c r="F1651" s="8"/>
    </row>
    <row r="1652" ht="13.5" customHeight="1">
      <c r="A1652" s="8" t="s">
        <v>1396</v>
      </c>
      <c r="B1652" s="8">
        <v>54755.0</v>
      </c>
      <c r="C1652" s="8"/>
      <c r="D1652" s="8"/>
      <c r="E1652" s="8"/>
      <c r="F1652" s="8"/>
    </row>
    <row r="1653" ht="13.5" customHeight="1">
      <c r="A1653" s="8" t="s">
        <v>1248</v>
      </c>
      <c r="B1653" s="8">
        <v>54914.0</v>
      </c>
      <c r="C1653" s="8"/>
      <c r="D1653" s="8"/>
      <c r="E1653" s="8"/>
      <c r="F1653" s="8"/>
    </row>
    <row r="1654" ht="13.5" customHeight="1">
      <c r="A1654" s="8" t="s">
        <v>1251</v>
      </c>
      <c r="B1654" s="8">
        <v>55073.0</v>
      </c>
      <c r="C1654" s="8"/>
      <c r="D1654" s="8"/>
      <c r="E1654" s="8"/>
      <c r="F1654" s="8"/>
    </row>
    <row r="1655" ht="13.5" customHeight="1">
      <c r="A1655" s="8" t="s">
        <v>1250</v>
      </c>
      <c r="B1655" s="8">
        <v>55270.0</v>
      </c>
      <c r="C1655" s="8"/>
      <c r="D1655" s="8"/>
      <c r="E1655" s="8"/>
      <c r="F1655" s="8"/>
    </row>
    <row r="1656" ht="13.5" customHeight="1">
      <c r="A1656" s="8" t="s">
        <v>622</v>
      </c>
      <c r="B1656" s="8">
        <v>55716.0</v>
      </c>
      <c r="C1656" s="8"/>
      <c r="D1656" s="8"/>
      <c r="E1656" s="8"/>
      <c r="F1656" s="8"/>
    </row>
    <row r="1657" ht="13.5" customHeight="1">
      <c r="A1657" s="8" t="s">
        <v>1384</v>
      </c>
      <c r="B1657" s="8">
        <v>55776.0</v>
      </c>
      <c r="C1657" s="8"/>
      <c r="D1657" s="8"/>
      <c r="E1657" s="8"/>
      <c r="F1657" s="8"/>
    </row>
    <row r="1658" ht="13.5" customHeight="1">
      <c r="A1658" s="8" t="s">
        <v>1403</v>
      </c>
      <c r="B1658" s="8">
        <v>55874.0</v>
      </c>
      <c r="C1658" s="8"/>
      <c r="D1658" s="8"/>
      <c r="E1658" s="8"/>
      <c r="F1658" s="8"/>
    </row>
    <row r="1659" ht="13.5" customHeight="1">
      <c r="A1659" s="8" t="s">
        <v>1296</v>
      </c>
      <c r="B1659" s="8">
        <v>56002.0</v>
      </c>
      <c r="C1659" s="8"/>
      <c r="D1659" s="8"/>
      <c r="E1659" s="8"/>
      <c r="F1659" s="8"/>
    </row>
    <row r="1660" ht="13.5" customHeight="1">
      <c r="A1660" s="8" t="s">
        <v>1403</v>
      </c>
      <c r="B1660" s="8">
        <v>56039.0</v>
      </c>
      <c r="C1660" s="8"/>
      <c r="D1660" s="8"/>
      <c r="E1660" s="8"/>
      <c r="F1660" s="8"/>
    </row>
    <row r="1661" ht="13.5" customHeight="1">
      <c r="A1661" s="8" t="s">
        <v>1299</v>
      </c>
      <c r="B1661" s="8">
        <v>56710.0</v>
      </c>
      <c r="C1661" s="8"/>
      <c r="D1661" s="8"/>
      <c r="E1661" s="8"/>
      <c r="F1661" s="8"/>
    </row>
    <row r="1662" ht="13.5" customHeight="1">
      <c r="A1662" s="8" t="s">
        <v>1014</v>
      </c>
      <c r="B1662" s="8">
        <v>57092.0</v>
      </c>
      <c r="C1662" s="8"/>
      <c r="D1662" s="8"/>
      <c r="E1662" s="8"/>
      <c r="F1662" s="8"/>
    </row>
    <row r="1663" ht="13.5" customHeight="1">
      <c r="A1663" s="8" t="s">
        <v>1278</v>
      </c>
      <c r="B1663" s="8">
        <v>57253.0</v>
      </c>
      <c r="C1663" s="8"/>
      <c r="D1663" s="8"/>
      <c r="E1663" s="8"/>
      <c r="F1663" s="8"/>
    </row>
    <row r="1664" ht="13.5" customHeight="1">
      <c r="A1664" s="8" t="s">
        <v>1295</v>
      </c>
      <c r="B1664" s="8">
        <v>57382.0</v>
      </c>
      <c r="C1664" s="8"/>
      <c r="D1664" s="8"/>
      <c r="E1664" s="8"/>
      <c r="F1664" s="8"/>
    </row>
    <row r="1665" ht="13.5" customHeight="1">
      <c r="A1665" s="8" t="s">
        <v>1246</v>
      </c>
      <c r="B1665" s="8">
        <v>57415.0</v>
      </c>
      <c r="C1665" s="8"/>
      <c r="D1665" s="8"/>
      <c r="E1665" s="8"/>
      <c r="F1665" s="8"/>
    </row>
    <row r="1666" ht="13.5" customHeight="1">
      <c r="A1666" s="8" t="s">
        <v>1278</v>
      </c>
      <c r="B1666" s="8">
        <v>57606.0</v>
      </c>
      <c r="C1666" s="8"/>
      <c r="D1666" s="8"/>
      <c r="E1666" s="8"/>
      <c r="F1666" s="8"/>
    </row>
    <row r="1667" ht="13.5" customHeight="1">
      <c r="A1667" s="8" t="s">
        <v>1262</v>
      </c>
      <c r="B1667" s="8">
        <v>57794.0</v>
      </c>
      <c r="C1667" s="8"/>
      <c r="D1667" s="8"/>
      <c r="E1667" s="8"/>
      <c r="F1667" s="8"/>
    </row>
    <row r="1668" ht="13.5" customHeight="1">
      <c r="A1668" s="8" t="s">
        <v>1014</v>
      </c>
      <c r="B1668" s="8">
        <v>58054.0</v>
      </c>
      <c r="C1668" s="8"/>
      <c r="D1668" s="8"/>
      <c r="E1668" s="8"/>
      <c r="F1668" s="8"/>
    </row>
    <row r="1669" ht="13.5" customHeight="1">
      <c r="A1669" s="8" t="s">
        <v>1380</v>
      </c>
      <c r="B1669" s="8">
        <v>58113.0</v>
      </c>
      <c r="C1669" s="8"/>
      <c r="D1669" s="8"/>
      <c r="E1669" s="8"/>
      <c r="F1669" s="8"/>
    </row>
    <row r="1670" ht="13.5" customHeight="1">
      <c r="A1670" s="8" t="s">
        <v>1406</v>
      </c>
      <c r="B1670" s="8">
        <v>58528.0</v>
      </c>
      <c r="C1670" s="8"/>
      <c r="D1670" s="8"/>
      <c r="E1670" s="8"/>
      <c r="F1670" s="8"/>
    </row>
    <row r="1671" ht="13.5" customHeight="1">
      <c r="A1671" s="8" t="s">
        <v>1250</v>
      </c>
      <c r="B1671" s="8">
        <v>58598.0</v>
      </c>
      <c r="C1671" s="8"/>
      <c r="D1671" s="8"/>
      <c r="E1671" s="8"/>
      <c r="F1671" s="8"/>
    </row>
    <row r="1672" ht="13.5" customHeight="1">
      <c r="A1672" s="8" t="s">
        <v>1257</v>
      </c>
      <c r="B1672" s="8">
        <v>58851.0</v>
      </c>
      <c r="C1672" s="8"/>
      <c r="D1672" s="8"/>
      <c r="E1672" s="8"/>
      <c r="F1672" s="8"/>
    </row>
    <row r="1673" ht="13.5" customHeight="1">
      <c r="A1673" s="8" t="s">
        <v>1285</v>
      </c>
      <c r="B1673" s="8">
        <v>58853.0</v>
      </c>
      <c r="C1673" s="8"/>
      <c r="D1673" s="8"/>
      <c r="E1673" s="8"/>
      <c r="F1673" s="8"/>
    </row>
    <row r="1674" ht="13.5" customHeight="1">
      <c r="A1674" s="8" t="s">
        <v>1408</v>
      </c>
      <c r="B1674" s="8">
        <v>59015.0</v>
      </c>
      <c r="C1674" s="8"/>
      <c r="D1674" s="8"/>
      <c r="E1674" s="8"/>
      <c r="F1674" s="8"/>
    </row>
    <row r="1675" ht="13.5" customHeight="1">
      <c r="A1675" s="8" t="s">
        <v>1308</v>
      </c>
      <c r="B1675" s="8">
        <v>59075.0</v>
      </c>
      <c r="C1675" s="8"/>
      <c r="D1675" s="8"/>
      <c r="E1675" s="8"/>
      <c r="F1675" s="8"/>
    </row>
    <row r="1676" ht="13.5" customHeight="1">
      <c r="A1676" s="8" t="s">
        <v>1262</v>
      </c>
      <c r="B1676" s="8">
        <v>59108.0</v>
      </c>
      <c r="C1676" s="8"/>
      <c r="D1676" s="8"/>
      <c r="E1676" s="8"/>
      <c r="F1676" s="8"/>
    </row>
    <row r="1677" ht="13.5" customHeight="1">
      <c r="A1677" s="8" t="s">
        <v>1313</v>
      </c>
      <c r="B1677" s="8">
        <v>59589.0</v>
      </c>
      <c r="C1677" s="8"/>
      <c r="D1677" s="8"/>
      <c r="E1677" s="8"/>
      <c r="F1677" s="8"/>
    </row>
    <row r="1678" ht="13.5" customHeight="1">
      <c r="A1678" s="8" t="s">
        <v>1299</v>
      </c>
      <c r="B1678" s="8">
        <v>59685.0</v>
      </c>
      <c r="C1678" s="8"/>
      <c r="D1678" s="8"/>
      <c r="E1678" s="8"/>
      <c r="F1678" s="8"/>
    </row>
    <row r="1679" ht="13.5" customHeight="1">
      <c r="A1679" s="8" t="s">
        <v>1255</v>
      </c>
      <c r="B1679" s="8">
        <v>59845.0</v>
      </c>
      <c r="C1679" s="8"/>
      <c r="D1679" s="8"/>
      <c r="E1679" s="8"/>
      <c r="F1679" s="8"/>
    </row>
    <row r="1680" ht="13.5" customHeight="1">
      <c r="A1680" s="8" t="s">
        <v>1410</v>
      </c>
      <c r="B1680" s="8">
        <v>134.0</v>
      </c>
      <c r="C1680" s="8"/>
      <c r="D1680" s="8"/>
      <c r="E1680" s="8"/>
      <c r="F1680" s="8"/>
    </row>
    <row r="1681" ht="13.5" customHeight="1">
      <c r="A1681" s="8" t="s">
        <v>1412</v>
      </c>
      <c r="B1681" s="8">
        <v>740.0</v>
      </c>
      <c r="C1681" s="8"/>
      <c r="D1681" s="8"/>
      <c r="E1681" s="8"/>
      <c r="F1681" s="8"/>
    </row>
    <row r="1682" ht="13.5" customHeight="1">
      <c r="A1682" s="8" t="s">
        <v>1413</v>
      </c>
      <c r="B1682" s="8">
        <v>833.0</v>
      </c>
      <c r="C1682" s="8"/>
      <c r="D1682" s="8"/>
      <c r="E1682" s="8"/>
      <c r="F1682" s="8"/>
    </row>
    <row r="1683" ht="13.5" customHeight="1">
      <c r="A1683" s="8" t="s">
        <v>1415</v>
      </c>
      <c r="B1683" s="8">
        <v>1573.0</v>
      </c>
      <c r="C1683" s="8"/>
      <c r="D1683" s="8"/>
      <c r="E1683" s="8"/>
      <c r="F1683" s="8"/>
    </row>
    <row r="1684" ht="13.5" customHeight="1">
      <c r="A1684" s="8" t="s">
        <v>1417</v>
      </c>
      <c r="B1684" s="8">
        <v>1639.0</v>
      </c>
      <c r="C1684" s="8"/>
      <c r="D1684" s="8"/>
      <c r="E1684" s="8"/>
      <c r="F1684" s="8"/>
    </row>
    <row r="1685" ht="13.5" customHeight="1">
      <c r="A1685" s="8" t="s">
        <v>1418</v>
      </c>
      <c r="B1685" s="8">
        <v>2053.0</v>
      </c>
      <c r="C1685" s="8"/>
      <c r="D1685" s="8"/>
      <c r="E1685" s="8"/>
      <c r="F1685" s="8"/>
    </row>
    <row r="1686" ht="13.5" customHeight="1">
      <c r="A1686" s="8" t="s">
        <v>1418</v>
      </c>
      <c r="B1686" s="8">
        <v>2146.0</v>
      </c>
      <c r="C1686" s="8"/>
      <c r="D1686" s="8"/>
      <c r="E1686" s="8"/>
      <c r="F1686" s="8"/>
    </row>
    <row r="1687" ht="13.5" customHeight="1">
      <c r="A1687" s="8" t="s">
        <v>1418</v>
      </c>
      <c r="B1687" s="8">
        <v>2752.0</v>
      </c>
      <c r="C1687" s="8"/>
      <c r="D1687" s="8"/>
      <c r="E1687" s="8"/>
      <c r="F1687" s="8"/>
    </row>
    <row r="1688" ht="13.5" customHeight="1">
      <c r="A1688" s="8" t="s">
        <v>1410</v>
      </c>
      <c r="B1688" s="8">
        <v>5445.0</v>
      </c>
      <c r="C1688" s="8"/>
      <c r="D1688" s="8"/>
      <c r="E1688" s="8"/>
      <c r="F1688" s="8"/>
    </row>
    <row r="1689" ht="13.5" customHeight="1">
      <c r="A1689" s="8" t="s">
        <v>1420</v>
      </c>
      <c r="B1689" s="8">
        <v>5699.0</v>
      </c>
      <c r="C1689" s="8"/>
      <c r="D1689" s="8"/>
      <c r="E1689" s="8"/>
      <c r="F1689" s="8"/>
    </row>
    <row r="1690" ht="13.5" customHeight="1">
      <c r="A1690" s="8" t="s">
        <v>1418</v>
      </c>
      <c r="B1690" s="8">
        <v>6823.0</v>
      </c>
      <c r="C1690" s="8"/>
      <c r="D1690" s="8"/>
      <c r="E1690" s="8"/>
      <c r="F1690" s="8"/>
    </row>
    <row r="1691" ht="13.5" customHeight="1">
      <c r="A1691" s="8" t="s">
        <v>1421</v>
      </c>
      <c r="B1691" s="8">
        <v>6948.0</v>
      </c>
      <c r="C1691" s="8"/>
      <c r="D1691" s="8"/>
      <c r="E1691" s="8"/>
      <c r="F1691" s="8"/>
    </row>
    <row r="1692" ht="13.5" customHeight="1">
      <c r="A1692" s="8" t="s">
        <v>1415</v>
      </c>
      <c r="B1692" s="8">
        <v>7462.0</v>
      </c>
      <c r="C1692" s="8"/>
      <c r="D1692" s="8"/>
      <c r="E1692" s="8"/>
      <c r="F1692" s="8"/>
    </row>
    <row r="1693" ht="13.5" customHeight="1">
      <c r="A1693" s="8" t="s">
        <v>1418</v>
      </c>
      <c r="B1693" s="8">
        <v>7845.0</v>
      </c>
      <c r="C1693" s="8"/>
      <c r="D1693" s="8"/>
      <c r="E1693" s="8"/>
      <c r="F1693" s="8"/>
    </row>
    <row r="1694" ht="13.5" customHeight="1">
      <c r="A1694" s="8" t="s">
        <v>1423</v>
      </c>
      <c r="B1694" s="8">
        <v>8033.0</v>
      </c>
      <c r="C1694" s="8"/>
      <c r="D1694" s="8"/>
      <c r="E1694" s="8"/>
      <c r="F1694" s="8"/>
    </row>
    <row r="1695" ht="13.5" customHeight="1">
      <c r="A1695" s="8" t="s">
        <v>1413</v>
      </c>
      <c r="B1695" s="8">
        <v>8388.0</v>
      </c>
      <c r="C1695" s="8"/>
      <c r="D1695" s="8"/>
      <c r="E1695" s="8"/>
      <c r="F1695" s="8"/>
    </row>
    <row r="1696" ht="13.5" customHeight="1">
      <c r="A1696" s="8" t="s">
        <v>1418</v>
      </c>
      <c r="B1696" s="8">
        <v>9761.0</v>
      </c>
      <c r="C1696" s="8"/>
      <c r="D1696" s="8"/>
      <c r="E1696" s="8"/>
      <c r="F1696" s="8"/>
    </row>
    <row r="1697" ht="13.5" customHeight="1">
      <c r="A1697" s="8" t="s">
        <v>1417</v>
      </c>
      <c r="B1697" s="8">
        <v>9863.0</v>
      </c>
      <c r="C1697" s="8"/>
      <c r="D1697" s="8"/>
      <c r="E1697" s="8"/>
      <c r="F1697" s="8"/>
    </row>
    <row r="1698" ht="13.5" customHeight="1">
      <c r="A1698" s="8" t="s">
        <v>1423</v>
      </c>
      <c r="B1698" s="8">
        <v>10342.0</v>
      </c>
      <c r="C1698" s="8"/>
      <c r="D1698" s="8"/>
      <c r="E1698" s="8"/>
      <c r="F1698" s="8"/>
    </row>
    <row r="1699" ht="13.5" customHeight="1">
      <c r="A1699" s="8" t="s">
        <v>1423</v>
      </c>
      <c r="B1699" s="8">
        <v>10434.0</v>
      </c>
      <c r="C1699" s="8"/>
      <c r="D1699" s="8"/>
      <c r="E1699" s="8"/>
      <c r="F1699" s="8"/>
    </row>
    <row r="1700" ht="13.5" customHeight="1">
      <c r="A1700" s="8" t="s">
        <v>1427</v>
      </c>
      <c r="B1700" s="8">
        <v>11040.0</v>
      </c>
      <c r="C1700" s="8"/>
      <c r="D1700" s="8"/>
      <c r="E1700" s="8"/>
      <c r="F1700" s="8"/>
    </row>
    <row r="1701" ht="13.5" customHeight="1">
      <c r="A1701" s="8" t="s">
        <v>1428</v>
      </c>
      <c r="B1701" s="8">
        <v>11302.0</v>
      </c>
      <c r="C1701" s="8"/>
      <c r="D1701" s="8"/>
      <c r="E1701" s="8"/>
      <c r="F1701" s="8"/>
    </row>
    <row r="1702" ht="13.5" customHeight="1">
      <c r="A1702" s="8" t="s">
        <v>1429</v>
      </c>
      <c r="B1702" s="8">
        <v>11398.0</v>
      </c>
      <c r="C1702" s="8"/>
      <c r="D1702" s="8"/>
      <c r="E1702" s="8"/>
      <c r="F1702" s="8"/>
    </row>
    <row r="1703" ht="13.5" customHeight="1">
      <c r="A1703" s="8" t="s">
        <v>1420</v>
      </c>
      <c r="B1703" s="8">
        <v>11584.0</v>
      </c>
      <c r="C1703" s="8"/>
      <c r="D1703" s="8"/>
      <c r="E1703" s="8"/>
      <c r="F1703" s="8"/>
    </row>
    <row r="1704" ht="13.5" customHeight="1">
      <c r="A1704" s="8" t="s">
        <v>1413</v>
      </c>
      <c r="B1704" s="8">
        <v>11652.0</v>
      </c>
      <c r="C1704" s="8"/>
      <c r="D1704" s="8"/>
      <c r="E1704" s="8"/>
      <c r="F1704" s="8"/>
    </row>
    <row r="1705" ht="13.5" customHeight="1">
      <c r="A1705" s="8" t="s">
        <v>1410</v>
      </c>
      <c r="B1705" s="8">
        <v>11686.0</v>
      </c>
      <c r="C1705" s="8"/>
      <c r="D1705" s="8"/>
      <c r="E1705" s="8"/>
      <c r="F1705" s="8"/>
    </row>
    <row r="1706" ht="13.5" customHeight="1">
      <c r="A1706" s="8" t="s">
        <v>1423</v>
      </c>
      <c r="B1706" s="8">
        <v>13895.0</v>
      </c>
      <c r="C1706" s="8"/>
      <c r="D1706" s="8"/>
      <c r="E1706" s="8"/>
      <c r="F1706" s="8"/>
    </row>
    <row r="1707" ht="13.5" customHeight="1">
      <c r="A1707" s="8" t="s">
        <v>1410</v>
      </c>
      <c r="B1707" s="8">
        <v>14820.0</v>
      </c>
      <c r="C1707" s="8"/>
      <c r="D1707" s="8"/>
      <c r="E1707" s="8"/>
      <c r="F1707" s="8"/>
    </row>
    <row r="1708" ht="13.5" customHeight="1">
      <c r="A1708" s="8" t="s">
        <v>1412</v>
      </c>
      <c r="B1708" s="8">
        <v>15170.0</v>
      </c>
      <c r="C1708" s="8"/>
      <c r="D1708" s="8"/>
      <c r="E1708" s="8"/>
      <c r="F1708" s="8"/>
    </row>
    <row r="1709" ht="13.5" customHeight="1">
      <c r="A1709" s="8" t="s">
        <v>1412</v>
      </c>
      <c r="B1709" s="8">
        <v>15780.0</v>
      </c>
      <c r="C1709" s="8"/>
      <c r="D1709" s="8"/>
      <c r="E1709" s="8"/>
      <c r="F1709" s="8"/>
    </row>
    <row r="1710" ht="13.5" customHeight="1">
      <c r="A1710" s="8" t="s">
        <v>1432</v>
      </c>
      <c r="B1710" s="8">
        <v>16098.0</v>
      </c>
      <c r="C1710" s="8"/>
      <c r="D1710" s="8"/>
      <c r="E1710" s="8"/>
      <c r="F1710" s="8"/>
    </row>
    <row r="1711" ht="13.5" customHeight="1">
      <c r="A1711" s="8" t="s">
        <v>1433</v>
      </c>
      <c r="B1711" s="8">
        <v>16103.0</v>
      </c>
      <c r="C1711" s="8"/>
      <c r="D1711" s="8"/>
      <c r="E1711" s="8"/>
      <c r="F1711" s="8"/>
    </row>
    <row r="1712" ht="13.5" customHeight="1">
      <c r="A1712" s="8" t="s">
        <v>1412</v>
      </c>
      <c r="B1712" s="8">
        <v>16610.0</v>
      </c>
      <c r="C1712" s="8"/>
      <c r="D1712" s="8"/>
      <c r="E1712" s="8"/>
      <c r="F1712" s="8"/>
    </row>
    <row r="1713" ht="13.5" customHeight="1">
      <c r="A1713" s="8" t="s">
        <v>1435</v>
      </c>
      <c r="B1713" s="8">
        <v>18757.0</v>
      </c>
      <c r="C1713" s="8"/>
      <c r="D1713" s="8"/>
      <c r="E1713" s="8"/>
      <c r="F1713" s="8"/>
    </row>
    <row r="1714" ht="13.5" customHeight="1">
      <c r="A1714" s="8" t="s">
        <v>1429</v>
      </c>
      <c r="B1714" s="8">
        <v>19431.0</v>
      </c>
      <c r="C1714" s="8"/>
      <c r="D1714" s="8"/>
      <c r="E1714" s="8"/>
      <c r="F1714" s="8"/>
    </row>
    <row r="1715" ht="13.5" customHeight="1">
      <c r="A1715" s="8" t="s">
        <v>1433</v>
      </c>
      <c r="B1715" s="8">
        <v>19584.0</v>
      </c>
      <c r="C1715" s="8"/>
      <c r="D1715" s="8"/>
      <c r="E1715" s="8"/>
      <c r="F1715" s="8"/>
    </row>
    <row r="1716" ht="13.5" customHeight="1">
      <c r="A1716" s="8" t="s">
        <v>1438</v>
      </c>
      <c r="B1716" s="8">
        <v>20262.0</v>
      </c>
      <c r="C1716" s="8"/>
      <c r="D1716" s="8"/>
      <c r="E1716" s="8"/>
      <c r="F1716" s="8"/>
    </row>
    <row r="1717" ht="13.5" customHeight="1">
      <c r="A1717" s="8" t="s">
        <v>1420</v>
      </c>
      <c r="B1717" s="8">
        <v>20545.0</v>
      </c>
      <c r="C1717" s="8"/>
      <c r="D1717" s="8"/>
      <c r="E1717" s="8"/>
      <c r="F1717" s="8"/>
    </row>
    <row r="1718" ht="13.5" customHeight="1">
      <c r="A1718" s="8" t="s">
        <v>1438</v>
      </c>
      <c r="B1718" s="8">
        <v>20577.0</v>
      </c>
      <c r="C1718" s="8"/>
      <c r="D1718" s="8"/>
      <c r="E1718" s="8"/>
      <c r="F1718" s="8"/>
    </row>
    <row r="1719" ht="13.5" customHeight="1">
      <c r="A1719" s="8" t="s">
        <v>1420</v>
      </c>
      <c r="B1719" s="8">
        <v>20804.0</v>
      </c>
      <c r="C1719" s="8"/>
      <c r="D1719" s="8"/>
      <c r="E1719" s="8"/>
      <c r="F1719" s="8"/>
    </row>
    <row r="1720" ht="13.5" customHeight="1">
      <c r="A1720" s="8" t="s">
        <v>1439</v>
      </c>
      <c r="B1720" s="8">
        <v>21414.0</v>
      </c>
      <c r="C1720" s="8"/>
      <c r="D1720" s="8"/>
      <c r="E1720" s="8"/>
      <c r="F1720" s="8"/>
    </row>
    <row r="1721" ht="13.5" customHeight="1">
      <c r="A1721" s="8" t="s">
        <v>1417</v>
      </c>
      <c r="B1721" s="8">
        <v>21447.0</v>
      </c>
      <c r="C1721" s="8"/>
      <c r="D1721" s="8"/>
      <c r="E1721" s="8"/>
      <c r="F1721" s="8"/>
    </row>
    <row r="1722" ht="13.5" customHeight="1">
      <c r="A1722" s="8" t="s">
        <v>1438</v>
      </c>
      <c r="B1722" s="8">
        <v>21479.0</v>
      </c>
      <c r="C1722" s="8"/>
      <c r="D1722" s="8"/>
      <c r="E1722" s="8"/>
      <c r="F1722" s="8"/>
    </row>
    <row r="1723" ht="13.5" customHeight="1">
      <c r="A1723" s="8" t="s">
        <v>1417</v>
      </c>
      <c r="B1723" s="8">
        <v>22208.0</v>
      </c>
      <c r="C1723" s="8"/>
      <c r="D1723" s="8"/>
      <c r="E1723" s="8"/>
      <c r="F1723" s="8"/>
    </row>
    <row r="1724" ht="13.5" customHeight="1">
      <c r="A1724" s="8" t="s">
        <v>1415</v>
      </c>
      <c r="B1724" s="8">
        <v>22279.0</v>
      </c>
      <c r="C1724" s="8"/>
      <c r="D1724" s="8"/>
      <c r="E1724" s="8"/>
      <c r="F1724" s="8"/>
    </row>
    <row r="1725" ht="13.5" customHeight="1">
      <c r="A1725" s="8" t="s">
        <v>1439</v>
      </c>
      <c r="B1725" s="8">
        <v>23174.0</v>
      </c>
      <c r="C1725" s="8"/>
      <c r="D1725" s="8"/>
      <c r="E1725" s="8"/>
      <c r="F1725" s="8"/>
    </row>
    <row r="1726" ht="13.5" customHeight="1">
      <c r="A1726" s="8" t="s">
        <v>1410</v>
      </c>
      <c r="B1726" s="8">
        <v>23333.0</v>
      </c>
      <c r="C1726" s="8"/>
      <c r="D1726" s="8"/>
      <c r="E1726" s="8"/>
      <c r="F1726" s="8"/>
    </row>
    <row r="1727" ht="13.5" customHeight="1">
      <c r="A1727" s="8" t="s">
        <v>1438</v>
      </c>
      <c r="B1727" s="8">
        <v>24640.0</v>
      </c>
      <c r="C1727" s="8"/>
      <c r="D1727" s="8"/>
      <c r="E1727" s="8"/>
      <c r="F1727" s="8"/>
    </row>
    <row r="1728" ht="13.5" customHeight="1">
      <c r="A1728" s="8" t="s">
        <v>1421</v>
      </c>
      <c r="B1728" s="8">
        <v>25056.0</v>
      </c>
      <c r="C1728" s="8"/>
      <c r="D1728" s="8"/>
      <c r="E1728" s="8"/>
      <c r="F1728" s="8"/>
    </row>
    <row r="1729" ht="13.5" customHeight="1">
      <c r="A1729" s="8" t="s">
        <v>1410</v>
      </c>
      <c r="B1729" s="8">
        <v>26244.0</v>
      </c>
      <c r="C1729" s="8"/>
      <c r="D1729" s="8"/>
      <c r="E1729" s="8"/>
      <c r="F1729" s="8"/>
    </row>
    <row r="1730" ht="13.5" customHeight="1">
      <c r="A1730" s="8" t="s">
        <v>1427</v>
      </c>
      <c r="B1730" s="8">
        <v>27201.0</v>
      </c>
      <c r="C1730" s="8"/>
      <c r="D1730" s="8"/>
      <c r="E1730" s="8"/>
      <c r="F1730" s="8"/>
    </row>
    <row r="1731" ht="13.5" customHeight="1">
      <c r="A1731" s="8" t="s">
        <v>1423</v>
      </c>
      <c r="B1731" s="8">
        <v>27808.0</v>
      </c>
      <c r="C1731" s="8"/>
      <c r="D1731" s="8"/>
      <c r="E1731" s="8"/>
      <c r="F1731" s="8"/>
    </row>
    <row r="1732" ht="13.5" customHeight="1">
      <c r="A1732" s="8" t="s">
        <v>1410</v>
      </c>
      <c r="B1732" s="8">
        <v>29573.0</v>
      </c>
      <c r="C1732" s="8"/>
      <c r="D1732" s="8"/>
      <c r="E1732" s="8"/>
      <c r="F1732" s="8"/>
    </row>
    <row r="1733" ht="13.5" customHeight="1">
      <c r="A1733" s="8" t="s">
        <v>1433</v>
      </c>
      <c r="B1733" s="8">
        <v>29862.0</v>
      </c>
      <c r="C1733" s="8"/>
      <c r="D1733" s="8"/>
      <c r="E1733" s="8"/>
      <c r="F1733" s="8"/>
    </row>
    <row r="1734" ht="13.5" customHeight="1">
      <c r="A1734" s="8" t="s">
        <v>1429</v>
      </c>
      <c r="B1734" s="8">
        <v>30433.0</v>
      </c>
      <c r="C1734" s="8"/>
      <c r="D1734" s="8"/>
      <c r="E1734" s="8"/>
      <c r="F1734" s="8"/>
    </row>
    <row r="1735" ht="13.5" customHeight="1">
      <c r="A1735" s="8" t="s">
        <v>1442</v>
      </c>
      <c r="B1735" s="8">
        <v>30532.0</v>
      </c>
      <c r="C1735" s="8"/>
      <c r="D1735" s="8"/>
      <c r="E1735" s="8"/>
      <c r="F1735" s="8"/>
    </row>
    <row r="1736" ht="13.5" customHeight="1">
      <c r="A1736" s="8" t="s">
        <v>1423</v>
      </c>
      <c r="B1736" s="8">
        <v>30597.0</v>
      </c>
      <c r="C1736" s="8"/>
      <c r="D1736" s="8"/>
      <c r="E1736" s="8"/>
      <c r="F1736" s="8"/>
    </row>
    <row r="1737" ht="13.5" customHeight="1">
      <c r="A1737" s="8" t="s">
        <v>1429</v>
      </c>
      <c r="B1737" s="8">
        <v>30981.0</v>
      </c>
      <c r="C1737" s="8"/>
      <c r="D1737" s="8"/>
      <c r="E1737" s="8"/>
      <c r="F1737" s="8"/>
    </row>
    <row r="1738" ht="13.5" customHeight="1">
      <c r="A1738" s="8" t="s">
        <v>1418</v>
      </c>
      <c r="B1738" s="8">
        <v>31751.0</v>
      </c>
      <c r="C1738" s="8"/>
      <c r="D1738" s="8"/>
      <c r="E1738" s="8"/>
      <c r="F1738" s="8"/>
    </row>
    <row r="1739" ht="13.5" customHeight="1">
      <c r="A1739" s="8" t="s">
        <v>1443</v>
      </c>
      <c r="B1739" s="8">
        <v>31873.0</v>
      </c>
      <c r="C1739" s="8"/>
      <c r="D1739" s="8"/>
      <c r="E1739" s="8"/>
      <c r="F1739" s="8"/>
    </row>
    <row r="1740" ht="13.5" customHeight="1">
      <c r="A1740" s="8" t="s">
        <v>1442</v>
      </c>
      <c r="B1740" s="8">
        <v>32000.0</v>
      </c>
      <c r="C1740" s="8"/>
      <c r="D1740" s="8"/>
      <c r="E1740" s="8"/>
      <c r="F1740" s="8"/>
    </row>
    <row r="1741" ht="13.5" customHeight="1">
      <c r="A1741" s="8" t="s">
        <v>1442</v>
      </c>
      <c r="B1741" s="8">
        <v>32737.0</v>
      </c>
      <c r="C1741" s="8"/>
      <c r="D1741" s="8"/>
      <c r="E1741" s="8"/>
      <c r="F1741" s="8"/>
    </row>
    <row r="1742" ht="13.5" customHeight="1">
      <c r="A1742" s="8" t="s">
        <v>1412</v>
      </c>
      <c r="B1742" s="8">
        <v>35012.0</v>
      </c>
      <c r="C1742" s="8"/>
      <c r="D1742" s="8"/>
      <c r="E1742" s="8"/>
      <c r="F1742" s="8"/>
    </row>
    <row r="1743" ht="13.5" customHeight="1">
      <c r="A1743" s="8" t="s">
        <v>1410</v>
      </c>
      <c r="B1743" s="8">
        <v>35042.0</v>
      </c>
      <c r="C1743" s="8"/>
      <c r="D1743" s="8"/>
      <c r="E1743" s="8"/>
      <c r="F1743" s="8"/>
    </row>
    <row r="1744" ht="13.5" customHeight="1">
      <c r="A1744" s="8" t="s">
        <v>1421</v>
      </c>
      <c r="B1744" s="8">
        <v>35713.0</v>
      </c>
      <c r="C1744" s="8"/>
      <c r="D1744" s="8"/>
      <c r="E1744" s="8"/>
      <c r="F1744" s="8"/>
    </row>
    <row r="1745" ht="13.5" customHeight="1">
      <c r="A1745" s="8" t="s">
        <v>1438</v>
      </c>
      <c r="B1745" s="8">
        <v>36229.0</v>
      </c>
      <c r="C1745" s="8"/>
      <c r="D1745" s="8"/>
      <c r="E1745" s="8"/>
      <c r="F1745" s="8"/>
    </row>
    <row r="1746" ht="13.5" customHeight="1">
      <c r="A1746" s="8" t="s">
        <v>1418</v>
      </c>
      <c r="B1746" s="8">
        <v>36933.0</v>
      </c>
      <c r="C1746" s="8"/>
      <c r="D1746" s="8"/>
      <c r="E1746" s="8"/>
      <c r="F1746" s="8"/>
    </row>
    <row r="1747" ht="13.5" customHeight="1">
      <c r="A1747" s="8" t="s">
        <v>1412</v>
      </c>
      <c r="B1747" s="8">
        <v>37152.0</v>
      </c>
      <c r="C1747" s="8"/>
      <c r="D1747" s="8"/>
      <c r="E1747" s="8"/>
      <c r="F1747" s="8"/>
    </row>
    <row r="1748" ht="13.5" customHeight="1">
      <c r="A1748" s="8" t="s">
        <v>1442</v>
      </c>
      <c r="B1748" s="8">
        <v>37223.0</v>
      </c>
      <c r="C1748" s="8"/>
      <c r="D1748" s="8"/>
      <c r="E1748" s="8"/>
      <c r="F1748" s="8"/>
    </row>
    <row r="1749" ht="13.5" customHeight="1">
      <c r="A1749" s="8" t="s">
        <v>1118</v>
      </c>
      <c r="B1749" s="8">
        <v>37254.0</v>
      </c>
      <c r="C1749" s="8"/>
      <c r="D1749" s="8"/>
      <c r="E1749" s="8"/>
      <c r="F1749" s="8"/>
    </row>
    <row r="1750" ht="13.5" customHeight="1">
      <c r="A1750" s="8" t="s">
        <v>1118</v>
      </c>
      <c r="B1750" s="8">
        <v>37441.0</v>
      </c>
      <c r="C1750" s="8"/>
      <c r="D1750" s="8"/>
      <c r="E1750" s="8"/>
      <c r="F1750" s="8"/>
    </row>
    <row r="1751" ht="13.5" customHeight="1">
      <c r="A1751" s="8" t="s">
        <v>1442</v>
      </c>
      <c r="B1751" s="8">
        <v>38084.0</v>
      </c>
      <c r="C1751" s="8"/>
      <c r="D1751" s="8"/>
      <c r="E1751" s="8"/>
      <c r="F1751" s="8"/>
    </row>
    <row r="1752" ht="13.5" customHeight="1">
      <c r="A1752" s="8" t="s">
        <v>1428</v>
      </c>
      <c r="B1752" s="8">
        <v>39168.0</v>
      </c>
      <c r="C1752" s="8"/>
      <c r="D1752" s="8"/>
      <c r="E1752" s="8"/>
      <c r="F1752" s="8"/>
    </row>
    <row r="1753" ht="13.5" customHeight="1">
      <c r="A1753" s="8" t="s">
        <v>1423</v>
      </c>
      <c r="B1753" s="8">
        <v>39333.0</v>
      </c>
      <c r="C1753" s="8"/>
      <c r="D1753" s="8"/>
      <c r="E1753" s="8"/>
      <c r="F1753" s="8"/>
    </row>
    <row r="1754" ht="13.5" customHeight="1">
      <c r="A1754" s="8" t="s">
        <v>1413</v>
      </c>
      <c r="B1754" s="8">
        <v>39589.0</v>
      </c>
      <c r="C1754" s="8"/>
      <c r="D1754" s="8"/>
      <c r="E1754" s="8"/>
      <c r="F1754" s="8"/>
    </row>
    <row r="1755" ht="13.5" customHeight="1">
      <c r="A1755" s="8" t="s">
        <v>1417</v>
      </c>
      <c r="B1755" s="8">
        <v>39906.0</v>
      </c>
      <c r="C1755" s="8"/>
      <c r="D1755" s="8"/>
      <c r="E1755" s="8"/>
      <c r="F1755" s="8"/>
    </row>
    <row r="1756" ht="13.5" customHeight="1">
      <c r="A1756" s="8" t="s">
        <v>1413</v>
      </c>
      <c r="B1756" s="8">
        <v>40097.0</v>
      </c>
      <c r="C1756" s="8"/>
      <c r="D1756" s="8"/>
      <c r="E1756" s="8"/>
      <c r="F1756" s="8"/>
    </row>
    <row r="1757" ht="13.5" customHeight="1">
      <c r="A1757" s="8" t="s">
        <v>1433</v>
      </c>
      <c r="B1757" s="8">
        <v>40193.0</v>
      </c>
      <c r="C1757" s="8"/>
      <c r="D1757" s="8"/>
      <c r="E1757" s="8"/>
      <c r="F1757" s="8"/>
    </row>
    <row r="1758" ht="13.5" customHeight="1">
      <c r="A1758" s="8" t="s">
        <v>1423</v>
      </c>
      <c r="B1758" s="8">
        <v>40258.0</v>
      </c>
      <c r="C1758" s="8"/>
      <c r="D1758" s="8"/>
      <c r="E1758" s="8"/>
      <c r="F1758" s="8"/>
    </row>
    <row r="1759" ht="13.5" customHeight="1">
      <c r="A1759" s="8" t="s">
        <v>1423</v>
      </c>
      <c r="B1759" s="8">
        <v>40544.0</v>
      </c>
      <c r="C1759" s="8"/>
      <c r="D1759" s="8"/>
      <c r="E1759" s="8"/>
      <c r="F1759" s="8"/>
    </row>
    <row r="1760" ht="13.5" customHeight="1">
      <c r="A1760" s="8" t="s">
        <v>1442</v>
      </c>
      <c r="B1760" s="8">
        <v>41765.0</v>
      </c>
      <c r="C1760" s="8"/>
      <c r="D1760" s="8"/>
      <c r="E1760" s="8"/>
      <c r="F1760" s="8"/>
    </row>
    <row r="1761" ht="13.5" customHeight="1">
      <c r="A1761" s="8" t="s">
        <v>1412</v>
      </c>
      <c r="B1761" s="8">
        <v>42242.0</v>
      </c>
      <c r="C1761" s="8"/>
      <c r="D1761" s="8"/>
      <c r="E1761" s="8"/>
      <c r="F1761" s="8"/>
    </row>
    <row r="1762" ht="13.5" customHeight="1">
      <c r="A1762" s="8" t="s">
        <v>1432</v>
      </c>
      <c r="B1762" s="8">
        <v>42369.0</v>
      </c>
      <c r="C1762" s="8"/>
      <c r="D1762" s="8"/>
      <c r="E1762" s="8"/>
      <c r="F1762" s="8"/>
    </row>
    <row r="1763" ht="13.5" customHeight="1">
      <c r="A1763" s="8" t="s">
        <v>1413</v>
      </c>
      <c r="B1763" s="8">
        <v>42690.0</v>
      </c>
      <c r="C1763" s="8"/>
      <c r="D1763" s="8"/>
      <c r="E1763" s="8"/>
      <c r="F1763" s="8"/>
    </row>
    <row r="1764" ht="13.5" customHeight="1">
      <c r="A1764" s="8" t="s">
        <v>1442</v>
      </c>
      <c r="B1764" s="8">
        <v>45184.0</v>
      </c>
      <c r="C1764" s="8"/>
      <c r="D1764" s="8"/>
      <c r="E1764" s="8"/>
      <c r="F1764" s="8"/>
    </row>
    <row r="1765" ht="13.5" customHeight="1">
      <c r="A1765" s="8" t="s">
        <v>1423</v>
      </c>
      <c r="B1765" s="8">
        <v>45632.0</v>
      </c>
      <c r="C1765" s="8"/>
      <c r="D1765" s="8"/>
      <c r="E1765" s="8"/>
      <c r="F1765" s="8"/>
    </row>
    <row r="1766" ht="13.5" customHeight="1">
      <c r="A1766" s="8" t="s">
        <v>1420</v>
      </c>
      <c r="B1766" s="8">
        <v>46276.0</v>
      </c>
      <c r="C1766" s="8"/>
      <c r="D1766" s="8"/>
      <c r="E1766" s="8"/>
      <c r="F1766" s="8"/>
    </row>
    <row r="1767" ht="13.5" customHeight="1">
      <c r="A1767" s="8" t="s">
        <v>1438</v>
      </c>
      <c r="B1767" s="8">
        <v>46566.0</v>
      </c>
      <c r="C1767" s="8"/>
      <c r="D1767" s="8"/>
      <c r="E1767" s="8"/>
      <c r="F1767" s="8"/>
    </row>
    <row r="1768" ht="13.5" customHeight="1">
      <c r="A1768" s="8" t="s">
        <v>1417</v>
      </c>
      <c r="B1768" s="8">
        <v>48198.0</v>
      </c>
      <c r="C1768" s="8"/>
      <c r="D1768" s="8"/>
      <c r="E1768" s="8"/>
      <c r="F1768" s="8"/>
    </row>
    <row r="1769" ht="13.5" customHeight="1">
      <c r="A1769" s="8" t="s">
        <v>1442</v>
      </c>
      <c r="B1769" s="8">
        <v>48453.0</v>
      </c>
      <c r="C1769" s="8"/>
      <c r="D1769" s="8"/>
      <c r="E1769" s="8"/>
      <c r="F1769" s="8"/>
    </row>
    <row r="1770" ht="13.5" customHeight="1">
      <c r="A1770" s="8" t="s">
        <v>1427</v>
      </c>
      <c r="B1770" s="8">
        <v>48518.0</v>
      </c>
      <c r="C1770" s="8"/>
      <c r="D1770" s="8"/>
      <c r="E1770" s="8"/>
      <c r="F1770" s="8"/>
    </row>
    <row r="1771" ht="13.5" customHeight="1">
      <c r="A1771" s="8" t="s">
        <v>1413</v>
      </c>
      <c r="B1771" s="8">
        <v>49349.0</v>
      </c>
      <c r="C1771" s="8"/>
      <c r="D1771" s="8"/>
      <c r="E1771" s="8"/>
      <c r="F1771" s="8"/>
    </row>
    <row r="1772" ht="13.5" customHeight="1">
      <c r="A1772" s="8" t="s">
        <v>1423</v>
      </c>
      <c r="B1772" s="8">
        <v>49668.0</v>
      </c>
      <c r="C1772" s="8"/>
      <c r="D1772" s="8"/>
      <c r="E1772" s="8"/>
      <c r="F1772" s="8"/>
    </row>
    <row r="1773" ht="13.5" customHeight="1">
      <c r="A1773" s="8" t="s">
        <v>1236</v>
      </c>
      <c r="B1773" s="8">
        <v>50309.0</v>
      </c>
      <c r="C1773" s="8"/>
      <c r="D1773" s="8"/>
      <c r="E1773" s="8"/>
      <c r="F1773" s="8"/>
    </row>
    <row r="1774" ht="13.5" customHeight="1">
      <c r="A1774" s="8" t="s">
        <v>1438</v>
      </c>
      <c r="B1774" s="8">
        <v>52327.0</v>
      </c>
      <c r="C1774" s="8"/>
      <c r="D1774" s="8"/>
      <c r="E1774" s="8"/>
      <c r="F1774" s="8"/>
    </row>
    <row r="1775" ht="13.5" customHeight="1">
      <c r="A1775" s="8" t="s">
        <v>1427</v>
      </c>
      <c r="B1775" s="8">
        <v>52516.0</v>
      </c>
      <c r="C1775" s="8"/>
      <c r="D1775" s="8"/>
      <c r="E1775" s="8"/>
      <c r="F1775" s="8"/>
    </row>
    <row r="1776" ht="13.5" customHeight="1">
      <c r="A1776" s="8" t="s">
        <v>1418</v>
      </c>
      <c r="B1776" s="8">
        <v>52800.0</v>
      </c>
      <c r="C1776" s="8"/>
      <c r="D1776" s="8"/>
      <c r="E1776" s="8"/>
      <c r="F1776" s="8"/>
    </row>
    <row r="1777" ht="13.5" customHeight="1">
      <c r="A1777" s="8" t="s">
        <v>1427</v>
      </c>
      <c r="B1777" s="8">
        <v>53574.0</v>
      </c>
      <c r="C1777" s="8"/>
      <c r="D1777" s="8"/>
      <c r="E1777" s="8"/>
      <c r="F1777" s="8"/>
    </row>
    <row r="1778" ht="13.5" customHeight="1">
      <c r="A1778" s="8" t="s">
        <v>1420</v>
      </c>
      <c r="B1778" s="8">
        <v>54023.0</v>
      </c>
      <c r="C1778" s="8"/>
      <c r="D1778" s="8"/>
      <c r="E1778" s="8"/>
      <c r="F1778" s="8"/>
    </row>
    <row r="1779" ht="13.5" customHeight="1">
      <c r="A1779" s="8" t="s">
        <v>1427</v>
      </c>
      <c r="B1779" s="8">
        <v>55265.0</v>
      </c>
      <c r="C1779" s="8"/>
      <c r="D1779" s="8"/>
      <c r="E1779" s="8"/>
      <c r="F1779" s="8"/>
    </row>
    <row r="1780" ht="13.5" customHeight="1">
      <c r="A1780" s="8" t="s">
        <v>1415</v>
      </c>
      <c r="B1780" s="8">
        <v>55398.0</v>
      </c>
      <c r="C1780" s="8"/>
      <c r="D1780" s="8"/>
      <c r="E1780" s="8"/>
      <c r="F1780" s="8"/>
    </row>
    <row r="1781" ht="13.5" customHeight="1">
      <c r="A1781" s="8" t="s">
        <v>1443</v>
      </c>
      <c r="B1781" s="8">
        <v>55458.0</v>
      </c>
      <c r="C1781" s="8"/>
      <c r="D1781" s="8"/>
      <c r="E1781" s="8"/>
      <c r="F1781" s="8"/>
    </row>
    <row r="1782" ht="13.5" customHeight="1">
      <c r="A1782" s="8" t="s">
        <v>1423</v>
      </c>
      <c r="B1782" s="8">
        <v>55809.0</v>
      </c>
      <c r="C1782" s="8"/>
      <c r="D1782" s="8"/>
      <c r="E1782" s="8"/>
      <c r="F1782" s="8"/>
    </row>
    <row r="1783" ht="13.5" customHeight="1">
      <c r="A1783" s="8" t="s">
        <v>1433</v>
      </c>
      <c r="B1783" s="8">
        <v>56992.0</v>
      </c>
      <c r="C1783" s="8"/>
      <c r="D1783" s="8"/>
      <c r="E1783" s="8"/>
      <c r="F1783" s="8"/>
    </row>
    <row r="1784" ht="13.5" customHeight="1">
      <c r="A1784" s="8" t="s">
        <v>1438</v>
      </c>
      <c r="B1784" s="8">
        <v>58210.0</v>
      </c>
      <c r="C1784" s="8"/>
      <c r="D1784" s="8"/>
      <c r="E1784" s="8"/>
      <c r="F1784" s="8"/>
    </row>
    <row r="1785" ht="13.5" customHeight="1">
      <c r="A1785" s="8" t="s">
        <v>1410</v>
      </c>
      <c r="B1785" s="8">
        <v>58277.0</v>
      </c>
      <c r="C1785" s="8"/>
      <c r="D1785" s="8"/>
      <c r="E1785" s="8"/>
      <c r="F1785" s="8"/>
    </row>
    <row r="1786" ht="13.5" customHeight="1">
      <c r="A1786" s="8" t="s">
        <v>1429</v>
      </c>
      <c r="B1786" s="8">
        <v>58720.0</v>
      </c>
      <c r="C1786" s="8"/>
      <c r="D1786" s="8"/>
      <c r="E1786" s="8"/>
      <c r="F1786" s="8"/>
    </row>
    <row r="1787" ht="13.5" customHeight="1">
      <c r="A1787" s="8" t="s">
        <v>1432</v>
      </c>
      <c r="B1787" s="8">
        <v>58820.0</v>
      </c>
      <c r="C1787" s="8"/>
      <c r="D1787" s="8"/>
      <c r="E1787" s="8"/>
      <c r="F1787" s="8"/>
    </row>
    <row r="1788" ht="13.5" customHeight="1">
      <c r="A1788" s="8" t="s">
        <v>1454</v>
      </c>
      <c r="B1788" s="8">
        <v>1382.0</v>
      </c>
      <c r="C1788" s="8"/>
      <c r="D1788" s="8"/>
      <c r="E1788" s="8"/>
      <c r="F1788" s="8"/>
    </row>
    <row r="1789" ht="13.5" customHeight="1">
      <c r="A1789" s="8" t="s">
        <v>1455</v>
      </c>
      <c r="B1789" s="8">
        <v>1411.0</v>
      </c>
      <c r="C1789" s="8"/>
      <c r="D1789" s="8"/>
      <c r="E1789" s="8"/>
      <c r="F1789" s="8"/>
    </row>
    <row r="1790" ht="13.5" customHeight="1">
      <c r="A1790" s="8" t="s">
        <v>1383</v>
      </c>
      <c r="B1790" s="8">
        <v>1444.0</v>
      </c>
      <c r="C1790" s="8"/>
      <c r="D1790" s="8"/>
      <c r="E1790" s="8"/>
      <c r="F1790" s="8"/>
    </row>
    <row r="1791" ht="13.5" customHeight="1">
      <c r="A1791" s="8" t="s">
        <v>1456</v>
      </c>
      <c r="B1791" s="8">
        <v>3942.0</v>
      </c>
      <c r="C1791" s="8"/>
      <c r="D1791" s="8"/>
      <c r="E1791" s="8"/>
      <c r="F1791" s="8"/>
    </row>
    <row r="1792" ht="13.5" customHeight="1">
      <c r="A1792" s="8" t="s">
        <v>1457</v>
      </c>
      <c r="B1792" s="8">
        <v>4647.0</v>
      </c>
      <c r="C1792" s="8"/>
      <c r="D1792" s="8"/>
      <c r="E1792" s="8"/>
      <c r="F1792" s="8"/>
    </row>
    <row r="1793" ht="13.5" customHeight="1">
      <c r="A1793" s="8" t="s">
        <v>1227</v>
      </c>
      <c r="B1793" s="8">
        <v>4960.0</v>
      </c>
      <c r="C1793" s="8"/>
      <c r="D1793" s="8"/>
      <c r="E1793" s="8"/>
      <c r="F1793" s="8"/>
    </row>
    <row r="1794" ht="13.5" customHeight="1">
      <c r="A1794" s="8" t="s">
        <v>1458</v>
      </c>
      <c r="B1794" s="8">
        <v>7367.0</v>
      </c>
      <c r="C1794" s="8"/>
      <c r="D1794" s="8"/>
      <c r="E1794" s="8"/>
      <c r="F1794" s="8"/>
    </row>
    <row r="1795" ht="13.5" customHeight="1">
      <c r="A1795" s="8" t="s">
        <v>1457</v>
      </c>
      <c r="B1795" s="8">
        <v>7938.0</v>
      </c>
      <c r="C1795" s="8"/>
      <c r="D1795" s="8"/>
      <c r="E1795" s="8"/>
      <c r="F1795" s="8"/>
    </row>
    <row r="1796" ht="13.5" customHeight="1">
      <c r="A1796" s="8" t="s">
        <v>1459</v>
      </c>
      <c r="B1796" s="8">
        <v>8320.0</v>
      </c>
      <c r="C1796" s="8"/>
      <c r="D1796" s="8"/>
      <c r="E1796" s="8"/>
      <c r="F1796" s="8"/>
    </row>
    <row r="1797" ht="13.5" customHeight="1">
      <c r="A1797" s="8" t="s">
        <v>1460</v>
      </c>
      <c r="B1797" s="8">
        <v>8807.0</v>
      </c>
      <c r="C1797" s="8"/>
      <c r="D1797" s="8"/>
      <c r="E1797" s="8"/>
      <c r="F1797" s="8"/>
    </row>
    <row r="1798" ht="13.5" customHeight="1">
      <c r="A1798" s="8" t="s">
        <v>1462</v>
      </c>
      <c r="B1798" s="8">
        <v>9062.0</v>
      </c>
      <c r="C1798" s="8"/>
      <c r="D1798" s="8"/>
      <c r="E1798" s="8"/>
      <c r="F1798" s="8"/>
    </row>
    <row r="1799" ht="13.5" customHeight="1">
      <c r="A1799" s="8" t="s">
        <v>1061</v>
      </c>
      <c r="B1799" s="8">
        <v>9602.0</v>
      </c>
      <c r="C1799" s="8"/>
      <c r="D1799" s="8"/>
      <c r="E1799" s="8"/>
      <c r="F1799" s="8"/>
    </row>
    <row r="1800" ht="13.5" customHeight="1">
      <c r="A1800" s="8" t="s">
        <v>1464</v>
      </c>
      <c r="B1800" s="8">
        <v>10209.0</v>
      </c>
      <c r="C1800" s="8"/>
      <c r="D1800" s="8"/>
      <c r="E1800" s="8"/>
      <c r="F1800" s="8"/>
    </row>
    <row r="1801" ht="13.5" customHeight="1">
      <c r="A1801" s="8" t="s">
        <v>1464</v>
      </c>
      <c r="B1801" s="8">
        <v>10338.0</v>
      </c>
      <c r="C1801" s="8"/>
      <c r="D1801" s="8"/>
      <c r="E1801" s="8"/>
      <c r="F1801" s="8"/>
    </row>
    <row r="1802" ht="13.5" customHeight="1">
      <c r="A1802" s="8" t="s">
        <v>1465</v>
      </c>
      <c r="B1802" s="8">
        <v>10688.0</v>
      </c>
      <c r="C1802" s="8"/>
      <c r="D1802" s="8"/>
      <c r="E1802" s="8"/>
      <c r="F1802" s="8"/>
    </row>
    <row r="1803" ht="13.5" customHeight="1">
      <c r="A1803" s="8" t="s">
        <v>1462</v>
      </c>
      <c r="B1803" s="8">
        <v>11206.0</v>
      </c>
      <c r="C1803" s="8"/>
      <c r="D1803" s="8"/>
      <c r="E1803" s="8"/>
      <c r="F1803" s="8"/>
    </row>
    <row r="1804" ht="13.5" customHeight="1">
      <c r="A1804" s="8" t="s">
        <v>1466</v>
      </c>
      <c r="B1804" s="8">
        <v>11585.0</v>
      </c>
      <c r="C1804" s="8"/>
      <c r="D1804" s="8"/>
      <c r="E1804" s="8"/>
      <c r="F1804" s="8"/>
    </row>
    <row r="1805" ht="13.5" customHeight="1">
      <c r="A1805" s="8" t="s">
        <v>1467</v>
      </c>
      <c r="B1805" s="8">
        <v>12868.0</v>
      </c>
      <c r="C1805" s="8"/>
      <c r="D1805" s="8"/>
      <c r="E1805" s="8"/>
      <c r="F1805" s="8"/>
    </row>
    <row r="1806" ht="13.5" customHeight="1">
      <c r="A1806" s="8" t="s">
        <v>1459</v>
      </c>
      <c r="B1806" s="8">
        <v>14215.0</v>
      </c>
      <c r="C1806" s="8"/>
      <c r="D1806" s="8"/>
      <c r="E1806" s="8"/>
      <c r="F1806" s="8"/>
    </row>
    <row r="1807" ht="13.5" customHeight="1">
      <c r="A1807" s="8" t="s">
        <v>1459</v>
      </c>
      <c r="B1807" s="8">
        <v>14662.0</v>
      </c>
      <c r="C1807" s="8"/>
      <c r="D1807" s="8"/>
      <c r="E1807" s="8"/>
      <c r="F1807" s="8"/>
    </row>
    <row r="1808" ht="13.5" customHeight="1">
      <c r="A1808" s="8" t="s">
        <v>1469</v>
      </c>
      <c r="B1808" s="8">
        <v>14727.0</v>
      </c>
      <c r="C1808" s="8"/>
      <c r="D1808" s="8"/>
      <c r="E1808" s="8"/>
      <c r="F1808" s="8"/>
    </row>
    <row r="1809" ht="13.5" customHeight="1">
      <c r="A1809" s="8" t="s">
        <v>1470</v>
      </c>
      <c r="B1809" s="8">
        <v>15781.0</v>
      </c>
      <c r="C1809" s="8"/>
      <c r="D1809" s="8"/>
      <c r="E1809" s="8"/>
      <c r="F1809" s="8"/>
    </row>
    <row r="1810" ht="13.5" customHeight="1">
      <c r="A1810" s="8" t="s">
        <v>815</v>
      </c>
      <c r="B1810" s="8">
        <v>17157.0</v>
      </c>
      <c r="C1810" s="8"/>
      <c r="D1810" s="8"/>
      <c r="E1810" s="8"/>
      <c r="F1810" s="8"/>
    </row>
    <row r="1811" ht="13.5" customHeight="1">
      <c r="A1811" s="8" t="s">
        <v>1471</v>
      </c>
      <c r="B1811" s="8">
        <v>17795.0</v>
      </c>
      <c r="C1811" s="8"/>
      <c r="D1811" s="8"/>
      <c r="E1811" s="8"/>
      <c r="F1811" s="8"/>
    </row>
    <row r="1812" ht="13.5" customHeight="1">
      <c r="A1812" s="8" t="s">
        <v>1472</v>
      </c>
      <c r="B1812" s="8">
        <v>20449.0</v>
      </c>
      <c r="C1812" s="8"/>
      <c r="D1812" s="8"/>
      <c r="E1812" s="8"/>
      <c r="F1812" s="8"/>
    </row>
    <row r="1813" ht="13.5" customHeight="1">
      <c r="A1813" s="8" t="s">
        <v>1361</v>
      </c>
      <c r="B1813" s="8">
        <v>21890.0</v>
      </c>
      <c r="C1813" s="8"/>
      <c r="D1813" s="8"/>
      <c r="E1813" s="8"/>
      <c r="F1813" s="8"/>
    </row>
    <row r="1814" ht="13.5" customHeight="1">
      <c r="A1814" s="8" t="s">
        <v>1473</v>
      </c>
      <c r="B1814" s="8">
        <v>22020.0</v>
      </c>
      <c r="C1814" s="8"/>
      <c r="D1814" s="8"/>
      <c r="E1814" s="8"/>
      <c r="F1814" s="8"/>
    </row>
    <row r="1815" ht="13.5" customHeight="1">
      <c r="A1815" s="8" t="s">
        <v>1469</v>
      </c>
      <c r="B1815" s="8">
        <v>22149.0</v>
      </c>
      <c r="C1815" s="8"/>
      <c r="D1815" s="8"/>
      <c r="E1815" s="8"/>
      <c r="F1815" s="8"/>
    </row>
    <row r="1816" ht="13.5" customHeight="1">
      <c r="A1816" s="8" t="s">
        <v>1474</v>
      </c>
      <c r="B1816" s="8">
        <v>23078.0</v>
      </c>
      <c r="C1816" s="8"/>
      <c r="D1816" s="8"/>
      <c r="E1816" s="8"/>
      <c r="F1816" s="8"/>
    </row>
    <row r="1817" ht="13.5" customHeight="1">
      <c r="A1817" s="8" t="s">
        <v>1472</v>
      </c>
      <c r="B1817" s="8">
        <v>23619.0</v>
      </c>
      <c r="C1817" s="8"/>
      <c r="D1817" s="8"/>
      <c r="E1817" s="8"/>
      <c r="F1817" s="8"/>
    </row>
    <row r="1818" ht="13.5" customHeight="1">
      <c r="A1818" s="8" t="s">
        <v>1475</v>
      </c>
      <c r="B1818" s="8">
        <v>24003.0</v>
      </c>
      <c r="C1818" s="8"/>
      <c r="D1818" s="8"/>
      <c r="E1818" s="8"/>
      <c r="F1818" s="8"/>
    </row>
    <row r="1819" ht="13.5" customHeight="1">
      <c r="A1819" s="8" t="s">
        <v>1477</v>
      </c>
      <c r="B1819" s="8">
        <v>25442.0</v>
      </c>
      <c r="C1819" s="8"/>
      <c r="D1819" s="8"/>
      <c r="E1819" s="8"/>
      <c r="F1819" s="8"/>
    </row>
    <row r="1820" ht="13.5" customHeight="1">
      <c r="A1820" s="8" t="s">
        <v>815</v>
      </c>
      <c r="B1820" s="8">
        <v>25927.0</v>
      </c>
      <c r="C1820" s="8"/>
      <c r="D1820" s="8"/>
      <c r="E1820" s="8"/>
      <c r="F1820" s="8"/>
    </row>
    <row r="1821" ht="13.5" customHeight="1">
      <c r="A1821" s="8" t="s">
        <v>1479</v>
      </c>
      <c r="B1821" s="8">
        <v>26243.0</v>
      </c>
      <c r="C1821" s="8"/>
      <c r="D1821" s="8"/>
      <c r="E1821" s="8"/>
      <c r="F1821" s="8"/>
    </row>
    <row r="1822" ht="13.5" customHeight="1">
      <c r="A1822" s="8" t="s">
        <v>598</v>
      </c>
      <c r="B1822" s="8">
        <v>28515.0</v>
      </c>
      <c r="C1822" s="8"/>
      <c r="D1822" s="8"/>
      <c r="E1822" s="8"/>
      <c r="F1822" s="8"/>
    </row>
    <row r="1823" ht="13.5" customHeight="1">
      <c r="A1823" s="8" t="s">
        <v>1481</v>
      </c>
      <c r="B1823" s="8">
        <v>29667.0</v>
      </c>
      <c r="C1823" s="8"/>
      <c r="D1823" s="8"/>
      <c r="E1823" s="8"/>
      <c r="F1823" s="8"/>
    </row>
    <row r="1824" ht="13.5" customHeight="1">
      <c r="A1824" s="8" t="s">
        <v>1482</v>
      </c>
      <c r="B1824" s="8">
        <v>30023.0</v>
      </c>
      <c r="C1824" s="8"/>
      <c r="D1824" s="8"/>
      <c r="E1824" s="8"/>
      <c r="F1824" s="8"/>
    </row>
    <row r="1825" ht="13.5" customHeight="1">
      <c r="A1825" s="8" t="s">
        <v>1483</v>
      </c>
      <c r="B1825" s="8">
        <v>30215.0</v>
      </c>
      <c r="C1825" s="8"/>
      <c r="D1825" s="8"/>
      <c r="E1825" s="8"/>
      <c r="F1825" s="8"/>
    </row>
    <row r="1826" ht="13.5" customHeight="1">
      <c r="A1826" s="8" t="s">
        <v>1484</v>
      </c>
      <c r="B1826" s="8">
        <v>31845.0</v>
      </c>
      <c r="C1826" s="8"/>
      <c r="D1826" s="8"/>
      <c r="E1826" s="8"/>
      <c r="F1826" s="8"/>
    </row>
    <row r="1827" ht="13.5" customHeight="1">
      <c r="A1827" s="8" t="s">
        <v>1470</v>
      </c>
      <c r="B1827" s="8">
        <v>32999.0</v>
      </c>
      <c r="C1827" s="8"/>
      <c r="D1827" s="8"/>
      <c r="E1827" s="8"/>
      <c r="F1827" s="8"/>
    </row>
    <row r="1828" ht="13.5" customHeight="1">
      <c r="A1828" s="8" t="s">
        <v>1485</v>
      </c>
      <c r="B1828" s="8">
        <v>35777.0</v>
      </c>
      <c r="C1828" s="8"/>
      <c r="D1828" s="8"/>
      <c r="E1828" s="8"/>
      <c r="F1828" s="8"/>
    </row>
    <row r="1829" ht="13.5" customHeight="1">
      <c r="A1829" s="8" t="s">
        <v>1487</v>
      </c>
      <c r="B1829" s="8">
        <v>36005.0</v>
      </c>
      <c r="C1829" s="8"/>
      <c r="D1829" s="8"/>
      <c r="E1829" s="8"/>
      <c r="F1829" s="8"/>
    </row>
    <row r="1830" ht="13.5" customHeight="1">
      <c r="A1830" s="8" t="s">
        <v>1488</v>
      </c>
      <c r="B1830" s="8">
        <v>36196.0</v>
      </c>
      <c r="C1830" s="8"/>
      <c r="D1830" s="8"/>
      <c r="E1830" s="8"/>
      <c r="F1830" s="8"/>
    </row>
    <row r="1831" ht="13.5" customHeight="1">
      <c r="A1831" s="8" t="s">
        <v>1489</v>
      </c>
      <c r="B1831" s="8">
        <v>36230.0</v>
      </c>
      <c r="C1831" s="8"/>
      <c r="D1831" s="8"/>
      <c r="E1831" s="8"/>
      <c r="F1831" s="8"/>
    </row>
    <row r="1832" ht="13.5" customHeight="1">
      <c r="A1832" s="8" t="s">
        <v>1490</v>
      </c>
      <c r="B1832" s="8">
        <v>36294.0</v>
      </c>
      <c r="C1832" s="8"/>
      <c r="D1832" s="8"/>
      <c r="E1832" s="8"/>
      <c r="F1832" s="8"/>
    </row>
    <row r="1833" ht="13.5" customHeight="1">
      <c r="A1833" s="8" t="s">
        <v>1473</v>
      </c>
      <c r="B1833" s="8">
        <v>36737.0</v>
      </c>
      <c r="C1833" s="8"/>
      <c r="D1833" s="8"/>
      <c r="E1833" s="8"/>
      <c r="F1833" s="8"/>
    </row>
    <row r="1834" ht="13.5" customHeight="1">
      <c r="A1834" s="8" t="s">
        <v>1491</v>
      </c>
      <c r="B1834" s="8">
        <v>37287.0</v>
      </c>
      <c r="C1834" s="8"/>
      <c r="D1834" s="8"/>
      <c r="E1834" s="8"/>
      <c r="F1834" s="8"/>
    </row>
    <row r="1835" ht="13.5" customHeight="1">
      <c r="A1835" s="8" t="s">
        <v>1492</v>
      </c>
      <c r="B1835" s="8">
        <v>37831.0</v>
      </c>
      <c r="C1835" s="8"/>
      <c r="D1835" s="8"/>
      <c r="E1835" s="8"/>
      <c r="F1835" s="8"/>
    </row>
    <row r="1836" ht="13.5" customHeight="1">
      <c r="A1836" s="8" t="s">
        <v>1493</v>
      </c>
      <c r="B1836" s="8">
        <v>38372.0</v>
      </c>
      <c r="C1836" s="8"/>
      <c r="D1836" s="8"/>
      <c r="E1836" s="8"/>
      <c r="F1836" s="8"/>
    </row>
    <row r="1837" ht="13.5" customHeight="1">
      <c r="A1837" s="8" t="s">
        <v>1494</v>
      </c>
      <c r="B1837" s="8">
        <v>38912.0</v>
      </c>
      <c r="C1837" s="8"/>
      <c r="D1837" s="8"/>
      <c r="E1837" s="8"/>
      <c r="F1837" s="8"/>
    </row>
    <row r="1838" ht="13.5" customHeight="1">
      <c r="A1838" s="8" t="s">
        <v>1481</v>
      </c>
      <c r="B1838" s="8">
        <v>39040.0</v>
      </c>
      <c r="C1838" s="8"/>
      <c r="D1838" s="8"/>
      <c r="E1838" s="8"/>
      <c r="F1838" s="8"/>
    </row>
    <row r="1839" ht="13.5" customHeight="1">
      <c r="A1839" s="8" t="s">
        <v>1495</v>
      </c>
      <c r="B1839" s="8">
        <v>40896.0</v>
      </c>
      <c r="C1839" s="8"/>
      <c r="D1839" s="8"/>
      <c r="E1839" s="8"/>
      <c r="F1839" s="8"/>
    </row>
    <row r="1840" ht="13.5" customHeight="1">
      <c r="A1840" s="8" t="s">
        <v>1496</v>
      </c>
      <c r="B1840" s="8">
        <v>40994.0</v>
      </c>
      <c r="C1840" s="8"/>
      <c r="D1840" s="8"/>
      <c r="E1840" s="8"/>
      <c r="F1840" s="8"/>
    </row>
    <row r="1841" ht="13.5" customHeight="1">
      <c r="A1841" s="8" t="s">
        <v>1464</v>
      </c>
      <c r="B1841" s="8">
        <v>41607.0</v>
      </c>
      <c r="C1841" s="8"/>
      <c r="D1841" s="8"/>
      <c r="E1841" s="8"/>
      <c r="F1841" s="8"/>
    </row>
    <row r="1842" ht="13.5" customHeight="1">
      <c r="A1842" s="8" t="s">
        <v>1497</v>
      </c>
      <c r="B1842" s="8">
        <v>41666.0</v>
      </c>
      <c r="C1842" s="8"/>
      <c r="D1842" s="8"/>
      <c r="E1842" s="8"/>
      <c r="F1842" s="8"/>
    </row>
    <row r="1843" ht="13.5" customHeight="1">
      <c r="A1843" s="8" t="s">
        <v>1498</v>
      </c>
      <c r="B1843" s="8">
        <v>42306.0</v>
      </c>
      <c r="C1843" s="8"/>
      <c r="D1843" s="8"/>
      <c r="E1843" s="8"/>
      <c r="F1843" s="8"/>
    </row>
    <row r="1844" ht="13.5" customHeight="1">
      <c r="A1844" s="8" t="s">
        <v>1500</v>
      </c>
      <c r="B1844" s="8">
        <v>42469.0</v>
      </c>
      <c r="C1844" s="8"/>
      <c r="D1844" s="8"/>
      <c r="E1844" s="8"/>
      <c r="F1844" s="8"/>
    </row>
    <row r="1845" ht="13.5" customHeight="1">
      <c r="A1845" s="8" t="s">
        <v>1501</v>
      </c>
      <c r="B1845" s="8">
        <v>42528.0</v>
      </c>
      <c r="C1845" s="8"/>
      <c r="D1845" s="8"/>
      <c r="E1845" s="8"/>
      <c r="F1845" s="8"/>
    </row>
    <row r="1846" ht="13.5" customHeight="1">
      <c r="A1846" s="8" t="s">
        <v>1500</v>
      </c>
      <c r="B1846" s="8">
        <v>42884.0</v>
      </c>
      <c r="C1846" s="8"/>
      <c r="D1846" s="8"/>
      <c r="E1846" s="8"/>
      <c r="F1846" s="8"/>
    </row>
    <row r="1847" ht="13.5" customHeight="1">
      <c r="A1847" s="8" t="s">
        <v>1484</v>
      </c>
      <c r="B1847" s="8">
        <v>43302.0</v>
      </c>
      <c r="C1847" s="8"/>
      <c r="D1847" s="8"/>
      <c r="E1847" s="8"/>
      <c r="F1847" s="8"/>
    </row>
    <row r="1848" ht="13.5" customHeight="1">
      <c r="A1848" s="8" t="s">
        <v>1481</v>
      </c>
      <c r="B1848" s="8">
        <v>43460.0</v>
      </c>
      <c r="C1848" s="8"/>
      <c r="D1848" s="8"/>
      <c r="E1848" s="8"/>
      <c r="F1848" s="8"/>
    </row>
    <row r="1849" ht="13.5" customHeight="1">
      <c r="A1849" s="8" t="s">
        <v>1503</v>
      </c>
      <c r="B1849" s="8">
        <v>43972.0</v>
      </c>
      <c r="C1849" s="8"/>
      <c r="D1849" s="8"/>
      <c r="E1849" s="8"/>
      <c r="F1849" s="8"/>
    </row>
    <row r="1850" ht="13.5" customHeight="1">
      <c r="A1850" s="8" t="s">
        <v>1475</v>
      </c>
      <c r="B1850" s="8">
        <v>44000.0</v>
      </c>
      <c r="C1850" s="8"/>
      <c r="D1850" s="8"/>
      <c r="E1850" s="8"/>
      <c r="F1850" s="8"/>
    </row>
    <row r="1851" ht="13.5" customHeight="1">
      <c r="A1851" s="8" t="s">
        <v>815</v>
      </c>
      <c r="B1851" s="8">
        <v>46177.0</v>
      </c>
      <c r="C1851" s="8"/>
      <c r="D1851" s="8"/>
      <c r="E1851" s="8"/>
      <c r="F1851" s="8"/>
    </row>
    <row r="1852" ht="13.5" customHeight="1">
      <c r="A1852" s="8" t="s">
        <v>1497</v>
      </c>
      <c r="B1852" s="8">
        <v>48226.0</v>
      </c>
      <c r="C1852" s="8"/>
      <c r="D1852" s="8"/>
      <c r="E1852" s="8"/>
      <c r="F1852" s="8"/>
    </row>
    <row r="1853" ht="13.5" customHeight="1">
      <c r="A1853" s="8" t="s">
        <v>1361</v>
      </c>
      <c r="B1853" s="8">
        <v>48455.0</v>
      </c>
      <c r="C1853" s="8"/>
      <c r="D1853" s="8"/>
      <c r="E1853" s="8"/>
      <c r="F1853" s="8"/>
    </row>
    <row r="1854" ht="13.5" customHeight="1">
      <c r="A1854" s="8" t="s">
        <v>1506</v>
      </c>
      <c r="B1854" s="8">
        <v>48929.0</v>
      </c>
      <c r="C1854" s="8"/>
      <c r="D1854" s="8"/>
      <c r="E1854" s="8"/>
      <c r="F1854" s="8"/>
    </row>
    <row r="1855" ht="13.5" customHeight="1">
      <c r="A1855" s="8" t="s">
        <v>1488</v>
      </c>
      <c r="B1855" s="8">
        <v>48994.0</v>
      </c>
      <c r="C1855" s="8"/>
      <c r="D1855" s="8"/>
      <c r="E1855" s="8"/>
      <c r="F1855" s="8"/>
    </row>
    <row r="1856" ht="13.5" customHeight="1">
      <c r="A1856" s="8" t="s">
        <v>1508</v>
      </c>
      <c r="B1856" s="8">
        <v>51111.0</v>
      </c>
      <c r="C1856" s="8"/>
      <c r="D1856" s="8"/>
      <c r="E1856" s="8"/>
      <c r="F1856" s="8"/>
    </row>
    <row r="1857" ht="13.5" customHeight="1">
      <c r="A1857" s="8" t="s">
        <v>1509</v>
      </c>
      <c r="B1857" s="8">
        <v>55425.0</v>
      </c>
      <c r="C1857" s="8"/>
      <c r="D1857" s="8"/>
      <c r="E1857" s="8"/>
      <c r="F1857" s="8"/>
    </row>
    <row r="1858" ht="13.5" customHeight="1">
      <c r="A1858" s="8" t="s">
        <v>1492</v>
      </c>
      <c r="B1858" s="8">
        <v>55815.0</v>
      </c>
      <c r="C1858" s="8"/>
      <c r="D1858" s="8"/>
      <c r="E1858" s="8"/>
      <c r="F1858" s="8"/>
    </row>
    <row r="1859" ht="13.5" customHeight="1">
      <c r="A1859" s="8" t="s">
        <v>1406</v>
      </c>
      <c r="B1859" s="8">
        <v>55940.0</v>
      </c>
      <c r="C1859" s="8"/>
      <c r="D1859" s="8"/>
      <c r="E1859" s="8"/>
      <c r="F1859" s="8"/>
    </row>
    <row r="1860" ht="13.5" customHeight="1">
      <c r="A1860" s="8" t="s">
        <v>1511</v>
      </c>
      <c r="B1860" s="8">
        <v>56166.0</v>
      </c>
      <c r="C1860" s="8"/>
      <c r="D1860" s="8"/>
      <c r="E1860" s="8"/>
      <c r="F1860" s="8"/>
    </row>
    <row r="1861" ht="13.5" customHeight="1">
      <c r="A1861" s="8" t="s">
        <v>1488</v>
      </c>
      <c r="B1861" s="8">
        <v>57638.0</v>
      </c>
      <c r="C1861" s="8"/>
      <c r="D1861" s="8"/>
      <c r="E1861" s="8"/>
      <c r="F1861" s="8"/>
    </row>
    <row r="1862" ht="13.5" customHeight="1">
      <c r="A1862" s="8" t="s">
        <v>1512</v>
      </c>
      <c r="B1862" s="8">
        <v>57890.0</v>
      </c>
      <c r="C1862" s="8"/>
      <c r="D1862" s="8"/>
      <c r="E1862" s="8"/>
      <c r="F1862" s="8"/>
    </row>
    <row r="1863" ht="13.5" customHeight="1">
      <c r="A1863" s="8" t="s">
        <v>1513</v>
      </c>
      <c r="B1863" s="8">
        <v>2244.0</v>
      </c>
      <c r="C1863" s="8"/>
      <c r="D1863" s="8"/>
      <c r="E1863" s="8"/>
      <c r="F1863" s="8"/>
    </row>
    <row r="1864" ht="13.5" customHeight="1">
      <c r="A1864" s="8" t="s">
        <v>1514</v>
      </c>
      <c r="B1864" s="8">
        <v>3104.0</v>
      </c>
      <c r="C1864" s="8"/>
      <c r="D1864" s="8"/>
      <c r="E1864" s="8"/>
      <c r="F1864" s="8"/>
    </row>
    <row r="1865" ht="13.5" customHeight="1">
      <c r="A1865" s="8" t="s">
        <v>1513</v>
      </c>
      <c r="B1865" s="8">
        <v>6179.0</v>
      </c>
      <c r="C1865" s="8"/>
      <c r="D1865" s="8"/>
      <c r="E1865" s="8"/>
      <c r="F1865" s="8"/>
    </row>
    <row r="1866" ht="13.5" customHeight="1">
      <c r="A1866" s="8" t="s">
        <v>1514</v>
      </c>
      <c r="B1866" s="8">
        <v>11747.0</v>
      </c>
      <c r="C1866" s="8"/>
      <c r="D1866" s="8"/>
      <c r="E1866" s="8"/>
      <c r="F1866" s="8"/>
    </row>
    <row r="1867" ht="13.5" customHeight="1">
      <c r="A1867" s="8" t="s">
        <v>1514</v>
      </c>
      <c r="B1867" s="8">
        <v>11877.0</v>
      </c>
      <c r="C1867" s="8"/>
      <c r="D1867" s="8"/>
      <c r="E1867" s="8"/>
      <c r="F1867" s="8"/>
    </row>
    <row r="1868" ht="13.5" customHeight="1">
      <c r="A1868" s="8" t="s">
        <v>1513</v>
      </c>
      <c r="B1868" s="8">
        <v>15271.0</v>
      </c>
      <c r="C1868" s="8"/>
      <c r="D1868" s="8"/>
      <c r="E1868" s="8"/>
      <c r="F1868" s="8"/>
    </row>
    <row r="1869" ht="13.5" customHeight="1">
      <c r="A1869" s="8" t="s">
        <v>1514</v>
      </c>
      <c r="B1869" s="8">
        <v>22561.0</v>
      </c>
      <c r="C1869" s="8"/>
      <c r="D1869" s="8"/>
      <c r="E1869" s="8"/>
      <c r="F1869" s="8"/>
    </row>
    <row r="1870" ht="13.5" customHeight="1">
      <c r="A1870" s="8" t="s">
        <v>1513</v>
      </c>
      <c r="B1870" s="8">
        <v>25860.0</v>
      </c>
      <c r="C1870" s="8"/>
      <c r="D1870" s="8"/>
      <c r="E1870" s="8"/>
      <c r="F1870" s="8"/>
    </row>
    <row r="1871" ht="13.5" customHeight="1">
      <c r="A1871" s="8" t="s">
        <v>1516</v>
      </c>
      <c r="B1871" s="8">
        <v>775.0</v>
      </c>
      <c r="C1871" s="8"/>
      <c r="D1871" s="8"/>
      <c r="E1871" s="8"/>
      <c r="F1871" s="8"/>
    </row>
    <row r="1872" ht="13.5" customHeight="1">
      <c r="A1872" s="8" t="s">
        <v>1517</v>
      </c>
      <c r="B1872" s="8">
        <v>900.0</v>
      </c>
      <c r="C1872" s="8"/>
      <c r="D1872" s="8"/>
      <c r="E1872" s="8"/>
      <c r="F1872" s="8"/>
    </row>
    <row r="1873" ht="13.5" customHeight="1">
      <c r="A1873" s="8" t="s">
        <v>1518</v>
      </c>
      <c r="B1873" s="8">
        <v>964.0</v>
      </c>
      <c r="C1873" s="8"/>
      <c r="D1873" s="8"/>
      <c r="E1873" s="8"/>
      <c r="F1873" s="8"/>
    </row>
    <row r="1874" ht="13.5" customHeight="1">
      <c r="A1874" s="8" t="s">
        <v>1474</v>
      </c>
      <c r="B1874" s="8">
        <v>2722.0</v>
      </c>
      <c r="C1874" s="8"/>
      <c r="D1874" s="8"/>
      <c r="E1874" s="8"/>
      <c r="F1874" s="8"/>
    </row>
    <row r="1875" ht="13.5" customHeight="1">
      <c r="A1875" s="8" t="s">
        <v>1520</v>
      </c>
      <c r="B1875" s="8">
        <v>3078.0</v>
      </c>
      <c r="C1875" s="8"/>
      <c r="D1875" s="8"/>
      <c r="E1875" s="8"/>
      <c r="F1875" s="8"/>
    </row>
    <row r="1876" ht="13.5" customHeight="1">
      <c r="A1876" s="8" t="s">
        <v>1477</v>
      </c>
      <c r="B1876" s="8">
        <v>3456.0</v>
      </c>
      <c r="C1876" s="8"/>
      <c r="D1876" s="8"/>
      <c r="E1876" s="8"/>
      <c r="F1876" s="8"/>
    </row>
    <row r="1877" ht="13.5" customHeight="1">
      <c r="A1877" s="8" t="s">
        <v>1477</v>
      </c>
      <c r="B1877" s="8">
        <v>3556.0</v>
      </c>
      <c r="C1877" s="8"/>
      <c r="D1877" s="8"/>
      <c r="E1877" s="8"/>
      <c r="F1877" s="8"/>
    </row>
    <row r="1878" ht="13.5" customHeight="1">
      <c r="A1878" s="8" t="s">
        <v>1459</v>
      </c>
      <c r="B1878" s="8">
        <v>3654.0</v>
      </c>
      <c r="C1878" s="8"/>
      <c r="D1878" s="8"/>
      <c r="E1878" s="8"/>
      <c r="F1878" s="8"/>
    </row>
    <row r="1879" ht="13.5" customHeight="1">
      <c r="A1879" s="8" t="s">
        <v>1521</v>
      </c>
      <c r="B1879" s="8">
        <v>3680.0</v>
      </c>
      <c r="C1879" s="8"/>
      <c r="D1879" s="8"/>
      <c r="E1879" s="8"/>
      <c r="F1879" s="8"/>
    </row>
    <row r="1880" ht="13.5" customHeight="1">
      <c r="A1880" s="8" t="s">
        <v>1523</v>
      </c>
      <c r="B1880" s="8">
        <v>4162.0</v>
      </c>
      <c r="C1880" s="8"/>
      <c r="D1880" s="8"/>
      <c r="E1880" s="8"/>
      <c r="F1880" s="8"/>
    </row>
    <row r="1881" ht="13.5" customHeight="1">
      <c r="A1881" s="8" t="s">
        <v>1524</v>
      </c>
      <c r="B1881" s="8">
        <v>4896.0</v>
      </c>
      <c r="C1881" s="8"/>
      <c r="D1881" s="8"/>
      <c r="E1881" s="8"/>
      <c r="F1881" s="8"/>
    </row>
    <row r="1882" ht="13.5" customHeight="1">
      <c r="A1882" s="8" t="s">
        <v>1520</v>
      </c>
      <c r="B1882" s="8">
        <v>4965.0</v>
      </c>
      <c r="C1882" s="8"/>
      <c r="D1882" s="8"/>
      <c r="E1882" s="8"/>
      <c r="F1882" s="8"/>
    </row>
    <row r="1883" ht="13.5" customHeight="1">
      <c r="A1883" s="8" t="s">
        <v>1526</v>
      </c>
      <c r="B1883" s="8">
        <v>5830.0</v>
      </c>
      <c r="C1883" s="8"/>
      <c r="D1883" s="8"/>
      <c r="E1883" s="8"/>
      <c r="F1883" s="8"/>
    </row>
    <row r="1884" ht="13.5" customHeight="1">
      <c r="A1884" s="8" t="s">
        <v>1460</v>
      </c>
      <c r="B1884" s="8">
        <v>6695.0</v>
      </c>
      <c r="C1884" s="8"/>
      <c r="D1884" s="8"/>
      <c r="E1884" s="8"/>
      <c r="F1884" s="8"/>
    </row>
    <row r="1885" ht="13.5" customHeight="1">
      <c r="A1885" s="8" t="s">
        <v>1484</v>
      </c>
      <c r="B1885" s="8">
        <v>6885.0</v>
      </c>
      <c r="C1885" s="8"/>
      <c r="D1885" s="8"/>
      <c r="E1885" s="8"/>
      <c r="F1885" s="8"/>
    </row>
    <row r="1886" ht="13.5" customHeight="1">
      <c r="A1886" s="8" t="s">
        <v>1517</v>
      </c>
      <c r="B1886" s="8">
        <v>7458.0</v>
      </c>
      <c r="C1886" s="8"/>
      <c r="D1886" s="8"/>
      <c r="E1886" s="8"/>
      <c r="F1886" s="8"/>
    </row>
    <row r="1887" ht="13.5" customHeight="1">
      <c r="A1887" s="8" t="s">
        <v>1527</v>
      </c>
      <c r="B1887" s="8">
        <v>9024.0</v>
      </c>
      <c r="C1887" s="8"/>
      <c r="D1887" s="8"/>
      <c r="E1887" s="8"/>
      <c r="F1887" s="8"/>
    </row>
    <row r="1888" ht="13.5" customHeight="1">
      <c r="A1888" s="8" t="s">
        <v>1462</v>
      </c>
      <c r="B1888" s="8">
        <v>9894.0</v>
      </c>
      <c r="C1888" s="8"/>
      <c r="D1888" s="8"/>
      <c r="E1888" s="8"/>
      <c r="F1888" s="8"/>
    </row>
    <row r="1889" ht="13.5" customHeight="1">
      <c r="A1889" s="8" t="s">
        <v>1487</v>
      </c>
      <c r="B1889" s="8">
        <v>11011.0</v>
      </c>
      <c r="C1889" s="8"/>
      <c r="D1889" s="8"/>
      <c r="E1889" s="8"/>
      <c r="F1889" s="8"/>
    </row>
    <row r="1890" ht="13.5" customHeight="1">
      <c r="A1890" s="8" t="s">
        <v>1529</v>
      </c>
      <c r="B1890" s="8">
        <v>11271.0</v>
      </c>
      <c r="C1890" s="8"/>
      <c r="D1890" s="8"/>
      <c r="E1890" s="8"/>
      <c r="F1890" s="8"/>
    </row>
    <row r="1891" ht="13.5" customHeight="1">
      <c r="A1891" s="8" t="s">
        <v>1493</v>
      </c>
      <c r="B1891" s="8">
        <v>12005.0</v>
      </c>
      <c r="C1891" s="8"/>
      <c r="D1891" s="8"/>
      <c r="E1891" s="8"/>
      <c r="F1891" s="8"/>
    </row>
    <row r="1892" ht="13.5" customHeight="1">
      <c r="A1892" s="8" t="s">
        <v>1467</v>
      </c>
      <c r="B1892" s="8">
        <v>13284.0</v>
      </c>
      <c r="C1892" s="8"/>
      <c r="D1892" s="8"/>
      <c r="E1892" s="8"/>
      <c r="F1892" s="8"/>
    </row>
    <row r="1893" ht="13.5" customHeight="1">
      <c r="A1893" s="8" t="s">
        <v>1383</v>
      </c>
      <c r="B1893" s="8">
        <v>13476.0</v>
      </c>
      <c r="C1893" s="8"/>
      <c r="D1893" s="8"/>
      <c r="E1893" s="8"/>
      <c r="F1893" s="8"/>
    </row>
    <row r="1894" ht="13.5" customHeight="1">
      <c r="A1894" s="8" t="s">
        <v>1469</v>
      </c>
      <c r="B1894" s="8">
        <v>14182.0</v>
      </c>
      <c r="C1894" s="8"/>
      <c r="D1894" s="8"/>
      <c r="E1894" s="8"/>
      <c r="F1894" s="8"/>
    </row>
    <row r="1895" ht="13.5" customHeight="1">
      <c r="A1895" s="8" t="s">
        <v>1459</v>
      </c>
      <c r="B1895" s="8">
        <v>14528.0</v>
      </c>
      <c r="C1895" s="8"/>
      <c r="D1895" s="8"/>
      <c r="E1895" s="8"/>
      <c r="F1895" s="8"/>
    </row>
    <row r="1896" ht="13.5" customHeight="1">
      <c r="A1896" s="8" t="s">
        <v>1530</v>
      </c>
      <c r="B1896" s="8">
        <v>15009.0</v>
      </c>
      <c r="C1896" s="8"/>
      <c r="D1896" s="8"/>
      <c r="E1896" s="8"/>
      <c r="F1896" s="8"/>
    </row>
    <row r="1897" ht="13.5" customHeight="1">
      <c r="A1897" s="8" t="s">
        <v>1531</v>
      </c>
      <c r="B1897" s="8">
        <v>15619.0</v>
      </c>
      <c r="C1897" s="8"/>
      <c r="D1897" s="8"/>
      <c r="E1897" s="8"/>
      <c r="F1897" s="8"/>
    </row>
    <row r="1898" ht="13.5" customHeight="1">
      <c r="A1898" s="8" t="s">
        <v>1532</v>
      </c>
      <c r="B1898" s="8">
        <v>15971.0</v>
      </c>
      <c r="C1898" s="8"/>
      <c r="D1898" s="8"/>
      <c r="E1898" s="8"/>
      <c r="F1898" s="8"/>
    </row>
    <row r="1899" ht="13.5" customHeight="1">
      <c r="A1899" s="8" t="s">
        <v>1473</v>
      </c>
      <c r="B1899" s="8">
        <v>16036.0</v>
      </c>
      <c r="C1899" s="8"/>
      <c r="D1899" s="8"/>
      <c r="E1899" s="8"/>
      <c r="F1899" s="8"/>
    </row>
    <row r="1900" ht="13.5" customHeight="1">
      <c r="A1900" s="8" t="s">
        <v>1470</v>
      </c>
      <c r="B1900" s="8">
        <v>16452.0</v>
      </c>
      <c r="C1900" s="8"/>
      <c r="D1900" s="8"/>
      <c r="E1900" s="8"/>
      <c r="F1900" s="8"/>
    </row>
    <row r="1901" ht="13.5" customHeight="1">
      <c r="A1901" s="8" t="s">
        <v>1529</v>
      </c>
      <c r="B1901" s="8">
        <v>17408.0</v>
      </c>
      <c r="C1901" s="8"/>
      <c r="D1901" s="8"/>
      <c r="E1901" s="8"/>
      <c r="F1901" s="8"/>
    </row>
    <row r="1902" ht="13.5" customHeight="1">
      <c r="A1902" s="8" t="s">
        <v>1383</v>
      </c>
      <c r="B1902" s="8">
        <v>17410.0</v>
      </c>
      <c r="C1902" s="8"/>
      <c r="D1902" s="8"/>
      <c r="E1902" s="8"/>
      <c r="F1902" s="8"/>
    </row>
    <row r="1903" ht="13.5" customHeight="1">
      <c r="A1903" s="8" t="s">
        <v>1533</v>
      </c>
      <c r="B1903" s="8">
        <v>18849.0</v>
      </c>
      <c r="C1903" s="8"/>
      <c r="D1903" s="8"/>
      <c r="E1903" s="8"/>
      <c r="F1903" s="8"/>
    </row>
    <row r="1904" ht="13.5" customHeight="1">
      <c r="A1904" s="8" t="s">
        <v>1487</v>
      </c>
      <c r="B1904" s="8">
        <v>19174.0</v>
      </c>
      <c r="C1904" s="8"/>
      <c r="D1904" s="8"/>
      <c r="E1904" s="8"/>
      <c r="F1904" s="8"/>
    </row>
    <row r="1905" ht="13.5" customHeight="1">
      <c r="A1905" s="8" t="s">
        <v>1466</v>
      </c>
      <c r="B1905" s="8">
        <v>20098.0</v>
      </c>
      <c r="C1905" s="8"/>
      <c r="D1905" s="8"/>
      <c r="E1905" s="8"/>
      <c r="F1905" s="8"/>
    </row>
    <row r="1906" ht="13.5" customHeight="1">
      <c r="A1906" s="8" t="s">
        <v>1503</v>
      </c>
      <c r="B1906" s="8">
        <v>20711.0</v>
      </c>
      <c r="C1906" s="8"/>
      <c r="D1906" s="8"/>
      <c r="E1906" s="8"/>
      <c r="F1906" s="8"/>
    </row>
    <row r="1907" ht="13.5" customHeight="1">
      <c r="A1907" s="8" t="s">
        <v>1458</v>
      </c>
      <c r="B1907" s="8">
        <v>20932.0</v>
      </c>
      <c r="C1907" s="8"/>
      <c r="D1907" s="8"/>
      <c r="E1907" s="8"/>
      <c r="F1907" s="8"/>
    </row>
    <row r="1908" ht="13.5" customHeight="1">
      <c r="A1908" s="8" t="s">
        <v>1466</v>
      </c>
      <c r="B1908" s="8">
        <v>21319.0</v>
      </c>
      <c r="C1908" s="8"/>
      <c r="D1908" s="8"/>
      <c r="E1908" s="8"/>
      <c r="F1908" s="8"/>
    </row>
    <row r="1909" ht="13.5" customHeight="1">
      <c r="A1909" s="8" t="s">
        <v>1469</v>
      </c>
      <c r="B1909" s="8">
        <v>21344.0</v>
      </c>
      <c r="C1909" s="8"/>
      <c r="D1909" s="8"/>
      <c r="E1909" s="8"/>
      <c r="F1909" s="8"/>
    </row>
    <row r="1910" ht="13.5" customHeight="1">
      <c r="A1910" s="8" t="s">
        <v>1536</v>
      </c>
      <c r="B1910" s="8">
        <v>21538.0</v>
      </c>
      <c r="C1910" s="8"/>
      <c r="D1910" s="8"/>
      <c r="E1910" s="8"/>
      <c r="F1910" s="8"/>
    </row>
    <row r="1911" ht="13.5" customHeight="1">
      <c r="A1911" s="8" t="s">
        <v>1462</v>
      </c>
      <c r="B1911" s="8">
        <v>21574.0</v>
      </c>
      <c r="C1911" s="8"/>
      <c r="D1911" s="8"/>
      <c r="E1911" s="8"/>
      <c r="F1911" s="8"/>
    </row>
    <row r="1912" ht="13.5" customHeight="1">
      <c r="A1912" s="8" t="s">
        <v>1383</v>
      </c>
      <c r="B1912" s="8">
        <v>22242.0</v>
      </c>
      <c r="C1912" s="8"/>
      <c r="D1912" s="8"/>
      <c r="E1912" s="8"/>
      <c r="F1912" s="8"/>
    </row>
    <row r="1913" ht="13.5" customHeight="1">
      <c r="A1913" s="8" t="s">
        <v>1264</v>
      </c>
      <c r="B1913" s="8">
        <v>23271.0</v>
      </c>
      <c r="C1913" s="8"/>
      <c r="D1913" s="8"/>
      <c r="E1913" s="8"/>
      <c r="F1913" s="8"/>
    </row>
    <row r="1914" ht="13.5" customHeight="1">
      <c r="A1914" s="8" t="s">
        <v>1538</v>
      </c>
      <c r="B1914" s="8">
        <v>23428.0</v>
      </c>
      <c r="C1914" s="8"/>
      <c r="D1914" s="8"/>
      <c r="E1914" s="8"/>
      <c r="F1914" s="8"/>
    </row>
    <row r="1915" ht="13.5" customHeight="1">
      <c r="A1915" s="8" t="s">
        <v>1540</v>
      </c>
      <c r="B1915" s="8">
        <v>25092.0</v>
      </c>
      <c r="C1915" s="8"/>
      <c r="D1915" s="8"/>
      <c r="E1915" s="8"/>
      <c r="F1915" s="8"/>
    </row>
    <row r="1916" ht="13.5" customHeight="1">
      <c r="A1916" s="8" t="s">
        <v>1518</v>
      </c>
      <c r="B1916" s="8">
        <v>25280.0</v>
      </c>
      <c r="C1916" s="8"/>
      <c r="D1916" s="8"/>
      <c r="E1916" s="8"/>
      <c r="F1916" s="8"/>
    </row>
    <row r="1917" ht="13.5" customHeight="1">
      <c r="A1917" s="8" t="s">
        <v>1061</v>
      </c>
      <c r="B1917" s="8">
        <v>25666.0</v>
      </c>
      <c r="C1917" s="8"/>
      <c r="D1917" s="8"/>
      <c r="E1917" s="8"/>
      <c r="F1917" s="8"/>
    </row>
    <row r="1918" ht="13.5" customHeight="1">
      <c r="A1918" s="8" t="s">
        <v>1264</v>
      </c>
      <c r="B1918" s="8">
        <v>25669.0</v>
      </c>
      <c r="C1918" s="8"/>
      <c r="D1918" s="8"/>
      <c r="E1918" s="8"/>
      <c r="F1918" s="8"/>
    </row>
    <row r="1919" ht="13.5" customHeight="1">
      <c r="A1919" s="8" t="s">
        <v>1406</v>
      </c>
      <c r="B1919" s="8">
        <v>26276.0</v>
      </c>
      <c r="C1919" s="8"/>
      <c r="D1919" s="8"/>
      <c r="E1919" s="8"/>
      <c r="F1919" s="8"/>
    </row>
    <row r="1920" ht="13.5" customHeight="1">
      <c r="A1920" s="8" t="s">
        <v>1383</v>
      </c>
      <c r="B1920" s="8">
        <v>26912.0</v>
      </c>
      <c r="C1920" s="8"/>
      <c r="D1920" s="8"/>
      <c r="E1920" s="8"/>
      <c r="F1920" s="8"/>
    </row>
    <row r="1921" ht="13.5" customHeight="1">
      <c r="A1921" s="8" t="s">
        <v>1523</v>
      </c>
      <c r="B1921" s="8">
        <v>27137.0</v>
      </c>
      <c r="C1921" s="8"/>
      <c r="D1921" s="8"/>
      <c r="E1921" s="8"/>
      <c r="F1921" s="8"/>
    </row>
    <row r="1922" ht="13.5" customHeight="1">
      <c r="A1922" s="8" t="s">
        <v>1459</v>
      </c>
      <c r="B1922" s="8">
        <v>27335.0</v>
      </c>
      <c r="C1922" s="8"/>
      <c r="D1922" s="8"/>
      <c r="E1922" s="8"/>
      <c r="F1922" s="8"/>
    </row>
    <row r="1923" ht="13.5" customHeight="1">
      <c r="A1923" s="8" t="s">
        <v>1543</v>
      </c>
      <c r="B1923" s="8">
        <v>27430.0</v>
      </c>
      <c r="C1923" s="8"/>
      <c r="D1923" s="8"/>
      <c r="E1923" s="8"/>
      <c r="F1923" s="8"/>
    </row>
    <row r="1924" ht="13.5" customHeight="1">
      <c r="A1924" s="8" t="s">
        <v>1544</v>
      </c>
      <c r="B1924" s="8">
        <v>27559.0</v>
      </c>
      <c r="C1924" s="8"/>
      <c r="D1924" s="8"/>
      <c r="E1924" s="8"/>
      <c r="F1924" s="8"/>
    </row>
    <row r="1925" ht="13.5" customHeight="1">
      <c r="A1925" s="8" t="s">
        <v>1536</v>
      </c>
      <c r="B1925" s="8">
        <v>29797.0</v>
      </c>
      <c r="C1925" s="8"/>
      <c r="D1925" s="8"/>
      <c r="E1925" s="8"/>
      <c r="F1925" s="8"/>
    </row>
    <row r="1926" ht="13.5" customHeight="1">
      <c r="A1926" s="8" t="s">
        <v>1457</v>
      </c>
      <c r="B1926" s="8">
        <v>31682.0</v>
      </c>
      <c r="C1926" s="8"/>
      <c r="D1926" s="8"/>
      <c r="E1926" s="8"/>
      <c r="F1926" s="8"/>
    </row>
    <row r="1927" ht="13.5" customHeight="1">
      <c r="A1927" s="8" t="s">
        <v>1545</v>
      </c>
      <c r="B1927" s="8">
        <v>32389.0</v>
      </c>
      <c r="C1927" s="8"/>
      <c r="D1927" s="8"/>
      <c r="E1927" s="8"/>
      <c r="F1927" s="8"/>
    </row>
    <row r="1928" ht="13.5" customHeight="1">
      <c r="A1928" s="8" t="s">
        <v>1488</v>
      </c>
      <c r="B1928" s="8">
        <v>32420.0</v>
      </c>
      <c r="C1928" s="8"/>
      <c r="D1928" s="8"/>
      <c r="E1928" s="8"/>
      <c r="F1928" s="8"/>
    </row>
    <row r="1929" ht="13.5" customHeight="1">
      <c r="A1929" s="8" t="s">
        <v>1471</v>
      </c>
      <c r="B1929" s="8">
        <v>33699.0</v>
      </c>
      <c r="C1929" s="8"/>
      <c r="D1929" s="8"/>
      <c r="E1929" s="8"/>
      <c r="F1929" s="8"/>
    </row>
    <row r="1930" ht="13.5" customHeight="1">
      <c r="A1930" s="8" t="s">
        <v>1546</v>
      </c>
      <c r="B1930" s="8">
        <v>33797.0</v>
      </c>
      <c r="C1930" s="8"/>
      <c r="D1930" s="8"/>
      <c r="E1930" s="8"/>
      <c r="F1930" s="8"/>
    </row>
    <row r="1931" ht="13.5" customHeight="1">
      <c r="A1931" s="8" t="s">
        <v>1547</v>
      </c>
      <c r="B1931" s="8">
        <v>33958.0</v>
      </c>
      <c r="C1931" s="8"/>
      <c r="D1931" s="8"/>
      <c r="E1931" s="8"/>
      <c r="F1931" s="8"/>
    </row>
    <row r="1932" ht="13.5" customHeight="1">
      <c r="A1932" s="8" t="s">
        <v>1543</v>
      </c>
      <c r="B1932" s="8">
        <v>36454.0</v>
      </c>
      <c r="C1932" s="8"/>
      <c r="D1932" s="8"/>
      <c r="E1932" s="8"/>
      <c r="F1932" s="8"/>
    </row>
    <row r="1933" ht="13.5" customHeight="1">
      <c r="A1933" s="8" t="s">
        <v>1491</v>
      </c>
      <c r="B1933" s="8">
        <v>36609.0</v>
      </c>
      <c r="C1933" s="8"/>
      <c r="D1933" s="8"/>
      <c r="E1933" s="8"/>
      <c r="F1933" s="8"/>
    </row>
    <row r="1934" ht="13.5" customHeight="1">
      <c r="A1934" s="8" t="s">
        <v>1464</v>
      </c>
      <c r="B1934" s="8">
        <v>36800.0</v>
      </c>
      <c r="C1934" s="8"/>
      <c r="D1934" s="8"/>
      <c r="E1934" s="8"/>
      <c r="F1934" s="8"/>
    </row>
    <row r="1935" ht="13.5" customHeight="1">
      <c r="A1935" s="8" t="s">
        <v>1536</v>
      </c>
      <c r="B1935" s="8">
        <v>37443.0</v>
      </c>
      <c r="C1935" s="8"/>
      <c r="D1935" s="8"/>
      <c r="E1935" s="8"/>
      <c r="F1935" s="8"/>
    </row>
    <row r="1936" ht="13.5" customHeight="1">
      <c r="A1936" s="8" t="s">
        <v>1479</v>
      </c>
      <c r="B1936" s="8">
        <v>37792.0</v>
      </c>
      <c r="C1936" s="8"/>
      <c r="D1936" s="8"/>
      <c r="E1936" s="8"/>
      <c r="F1936" s="8"/>
    </row>
    <row r="1937" ht="13.5" customHeight="1">
      <c r="A1937" s="8" t="s">
        <v>1479</v>
      </c>
      <c r="B1937" s="8">
        <v>37829.0</v>
      </c>
      <c r="C1937" s="8"/>
      <c r="D1937" s="8"/>
      <c r="E1937" s="8"/>
      <c r="F1937" s="8"/>
    </row>
    <row r="1938" ht="13.5" customHeight="1">
      <c r="A1938" s="8" t="s">
        <v>1264</v>
      </c>
      <c r="B1938" s="8">
        <v>38087.0</v>
      </c>
      <c r="C1938" s="8"/>
      <c r="D1938" s="8"/>
      <c r="E1938" s="8"/>
      <c r="F1938" s="8"/>
    </row>
    <row r="1939" ht="13.5" customHeight="1">
      <c r="A1939" s="8" t="s">
        <v>1550</v>
      </c>
      <c r="B1939" s="8">
        <v>38341.0</v>
      </c>
      <c r="C1939" s="8"/>
      <c r="D1939" s="8"/>
      <c r="E1939" s="8"/>
      <c r="F1939" s="8"/>
    </row>
    <row r="1940" ht="13.5" customHeight="1">
      <c r="A1940" s="8" t="s">
        <v>1466</v>
      </c>
      <c r="B1940" s="8">
        <v>38599.0</v>
      </c>
      <c r="C1940" s="8"/>
      <c r="D1940" s="8"/>
      <c r="E1940" s="8"/>
      <c r="F1940" s="8"/>
    </row>
    <row r="1941" ht="13.5" customHeight="1">
      <c r="A1941" s="8" t="s">
        <v>1471</v>
      </c>
      <c r="B1941" s="8">
        <v>38721.0</v>
      </c>
      <c r="C1941" s="8"/>
      <c r="D1941" s="8"/>
      <c r="E1941" s="8"/>
      <c r="F1941" s="8"/>
    </row>
    <row r="1942" ht="13.5" customHeight="1">
      <c r="A1942" s="8" t="s">
        <v>1509</v>
      </c>
      <c r="B1942" s="8">
        <v>38976.0</v>
      </c>
      <c r="C1942" s="8"/>
      <c r="D1942" s="8"/>
      <c r="E1942" s="8"/>
      <c r="F1942" s="8"/>
    </row>
    <row r="1943" ht="13.5" customHeight="1">
      <c r="A1943" s="8" t="s">
        <v>1551</v>
      </c>
      <c r="B1943" s="8">
        <v>39300.0</v>
      </c>
      <c r="C1943" s="8"/>
      <c r="D1943" s="8"/>
      <c r="E1943" s="8"/>
      <c r="F1943" s="8"/>
    </row>
    <row r="1944" ht="13.5" customHeight="1">
      <c r="A1944" s="8" t="s">
        <v>1471</v>
      </c>
      <c r="B1944" s="8">
        <v>39393.0</v>
      </c>
      <c r="C1944" s="8"/>
      <c r="D1944" s="8"/>
      <c r="E1944" s="8"/>
      <c r="F1944" s="8"/>
    </row>
    <row r="1945" ht="13.5" customHeight="1">
      <c r="A1945" s="8" t="s">
        <v>1503</v>
      </c>
      <c r="B1945" s="8">
        <v>39842.0</v>
      </c>
      <c r="C1945" s="8"/>
      <c r="D1945" s="8"/>
      <c r="E1945" s="8"/>
      <c r="F1945" s="8"/>
    </row>
    <row r="1946" ht="13.5" customHeight="1">
      <c r="A1946" s="8" t="s">
        <v>1518</v>
      </c>
      <c r="B1946" s="8">
        <v>41766.0</v>
      </c>
      <c r="C1946" s="8"/>
      <c r="D1946" s="8"/>
      <c r="E1946" s="8"/>
      <c r="F1946" s="8"/>
    </row>
    <row r="1947" ht="13.5" customHeight="1">
      <c r="A1947" s="8" t="s">
        <v>1457</v>
      </c>
      <c r="B1947" s="8">
        <v>43813.0</v>
      </c>
      <c r="C1947" s="8"/>
      <c r="D1947" s="8"/>
      <c r="E1947" s="8"/>
      <c r="F1947" s="8"/>
    </row>
    <row r="1948" ht="13.5" customHeight="1">
      <c r="A1948" s="8" t="s">
        <v>598</v>
      </c>
      <c r="B1948" s="8">
        <v>44292.0</v>
      </c>
      <c r="C1948" s="8"/>
      <c r="D1948" s="8"/>
      <c r="E1948" s="8"/>
      <c r="F1948" s="8"/>
    </row>
    <row r="1949" ht="13.5" customHeight="1">
      <c r="A1949" s="8" t="s">
        <v>1533</v>
      </c>
      <c r="B1949" s="8">
        <v>44583.0</v>
      </c>
      <c r="C1949" s="8"/>
      <c r="D1949" s="8"/>
      <c r="E1949" s="8"/>
      <c r="F1949" s="8"/>
    </row>
    <row r="1950" ht="13.5" customHeight="1">
      <c r="A1950" s="8" t="s">
        <v>1552</v>
      </c>
      <c r="B1950" s="8">
        <v>45381.0</v>
      </c>
      <c r="C1950" s="8"/>
      <c r="D1950" s="8"/>
      <c r="E1950" s="8"/>
      <c r="F1950" s="8"/>
    </row>
    <row r="1951" ht="13.5" customHeight="1">
      <c r="A1951" s="8" t="s">
        <v>1466</v>
      </c>
      <c r="B1951" s="8">
        <v>46531.0</v>
      </c>
      <c r="C1951" s="8"/>
      <c r="D1951" s="8"/>
      <c r="E1951" s="8"/>
      <c r="F1951" s="8"/>
    </row>
    <row r="1952" ht="13.5" customHeight="1">
      <c r="A1952" s="8" t="s">
        <v>1553</v>
      </c>
      <c r="B1952" s="8">
        <v>47136.0</v>
      </c>
      <c r="C1952" s="8"/>
      <c r="D1952" s="8"/>
      <c r="E1952" s="8"/>
      <c r="F1952" s="8"/>
    </row>
    <row r="1953" ht="13.5" customHeight="1">
      <c r="A1953" s="8" t="s">
        <v>1485</v>
      </c>
      <c r="B1953" s="8">
        <v>47813.0</v>
      </c>
      <c r="C1953" s="8"/>
      <c r="D1953" s="8"/>
      <c r="E1953" s="8"/>
      <c r="F1953" s="8"/>
    </row>
    <row r="1954" ht="13.5" customHeight="1">
      <c r="A1954" s="8" t="s">
        <v>1501</v>
      </c>
      <c r="B1954" s="8">
        <v>48263.0</v>
      </c>
      <c r="C1954" s="8"/>
      <c r="D1954" s="8"/>
      <c r="E1954" s="8"/>
      <c r="F1954" s="8"/>
    </row>
    <row r="1955" ht="13.5" customHeight="1">
      <c r="A1955" s="8" t="s">
        <v>1530</v>
      </c>
      <c r="B1955" s="8">
        <v>48706.0</v>
      </c>
      <c r="C1955" s="8"/>
      <c r="D1955" s="8"/>
      <c r="E1955" s="8"/>
      <c r="F1955" s="8"/>
    </row>
    <row r="1956" ht="13.5" customHeight="1">
      <c r="A1956" s="8" t="s">
        <v>1470</v>
      </c>
      <c r="B1956" s="8">
        <v>48963.0</v>
      </c>
      <c r="C1956" s="8"/>
      <c r="D1956" s="8"/>
      <c r="E1956" s="8"/>
      <c r="F1956" s="8"/>
    </row>
    <row r="1957" ht="13.5" customHeight="1">
      <c r="A1957" s="8" t="s">
        <v>1533</v>
      </c>
      <c r="B1957" s="8">
        <v>49312.0</v>
      </c>
      <c r="C1957" s="8"/>
      <c r="D1957" s="8"/>
      <c r="E1957" s="8"/>
      <c r="F1957" s="8"/>
    </row>
    <row r="1958" ht="13.5" customHeight="1">
      <c r="A1958" s="8" t="s">
        <v>1555</v>
      </c>
      <c r="B1958" s="8">
        <v>49472.0</v>
      </c>
      <c r="C1958" s="8"/>
      <c r="D1958" s="8"/>
      <c r="E1958" s="8"/>
      <c r="F1958" s="8"/>
    </row>
    <row r="1959" ht="13.5" customHeight="1">
      <c r="A1959" s="8" t="s">
        <v>1556</v>
      </c>
      <c r="B1959" s="8">
        <v>49891.0</v>
      </c>
      <c r="C1959" s="8"/>
      <c r="D1959" s="8"/>
      <c r="E1959" s="8"/>
      <c r="F1959" s="8"/>
    </row>
    <row r="1960" ht="13.5" customHeight="1">
      <c r="A1960" s="8" t="s">
        <v>1506</v>
      </c>
      <c r="B1960" s="8">
        <v>49984.0</v>
      </c>
      <c r="C1960" s="8"/>
      <c r="D1960" s="8"/>
      <c r="E1960" s="8"/>
      <c r="F1960" s="8"/>
    </row>
    <row r="1961" ht="13.5" customHeight="1">
      <c r="A1961" s="8" t="s">
        <v>1553</v>
      </c>
      <c r="B1961" s="8">
        <v>50471.0</v>
      </c>
      <c r="C1961" s="8"/>
      <c r="D1961" s="8"/>
      <c r="E1961" s="8"/>
      <c r="F1961" s="8"/>
    </row>
    <row r="1962" ht="13.5" customHeight="1">
      <c r="A1962" s="8" t="s">
        <v>1479</v>
      </c>
      <c r="B1962" s="8">
        <v>51203.0</v>
      </c>
      <c r="C1962" s="8"/>
      <c r="D1962" s="8"/>
      <c r="E1962" s="8"/>
      <c r="F1962" s="8"/>
    </row>
    <row r="1963" ht="13.5" customHeight="1">
      <c r="A1963" s="8" t="s">
        <v>1479</v>
      </c>
      <c r="B1963" s="8">
        <v>51233.0</v>
      </c>
      <c r="C1963" s="8"/>
      <c r="D1963" s="8"/>
      <c r="E1963" s="8"/>
      <c r="F1963" s="8"/>
    </row>
    <row r="1964" ht="13.5" customHeight="1">
      <c r="A1964" s="8" t="s">
        <v>1523</v>
      </c>
      <c r="B1964" s="8">
        <v>52195.0</v>
      </c>
      <c r="C1964" s="8"/>
      <c r="D1964" s="8"/>
      <c r="E1964" s="8"/>
      <c r="F1964" s="8"/>
    </row>
    <row r="1965" ht="13.5" customHeight="1">
      <c r="A1965" s="8" t="s">
        <v>1558</v>
      </c>
      <c r="B1965" s="8">
        <v>53123.0</v>
      </c>
      <c r="C1965" s="8"/>
      <c r="D1965" s="8"/>
      <c r="E1965" s="8"/>
      <c r="F1965" s="8"/>
    </row>
    <row r="1966" ht="13.5" customHeight="1">
      <c r="A1966" s="8" t="s">
        <v>1559</v>
      </c>
      <c r="B1966" s="8">
        <v>54533.0</v>
      </c>
      <c r="C1966" s="8"/>
      <c r="D1966" s="8"/>
      <c r="E1966" s="8"/>
      <c r="F1966" s="8"/>
    </row>
    <row r="1967" ht="13.5" customHeight="1">
      <c r="A1967" s="8" t="s">
        <v>1560</v>
      </c>
      <c r="B1967" s="8">
        <v>55139.0</v>
      </c>
      <c r="C1967" s="8"/>
      <c r="D1967" s="8"/>
      <c r="E1967" s="8"/>
      <c r="F1967" s="8"/>
    </row>
    <row r="1968" ht="13.5" customHeight="1">
      <c r="A1968" s="8" t="s">
        <v>1488</v>
      </c>
      <c r="B1968" s="8">
        <v>55392.0</v>
      </c>
      <c r="C1968" s="8"/>
      <c r="D1968" s="8"/>
      <c r="E1968" s="8"/>
      <c r="F1968" s="8"/>
    </row>
    <row r="1969" ht="13.5" customHeight="1">
      <c r="A1969" s="8" t="s">
        <v>1562</v>
      </c>
      <c r="B1969" s="8">
        <v>55616.0</v>
      </c>
      <c r="C1969" s="8"/>
      <c r="D1969" s="8"/>
      <c r="E1969" s="8"/>
      <c r="F1969" s="8"/>
    </row>
    <row r="1970" ht="13.5" customHeight="1">
      <c r="A1970" s="8" t="s">
        <v>1563</v>
      </c>
      <c r="B1970" s="8">
        <v>55909.0</v>
      </c>
      <c r="C1970" s="8"/>
      <c r="D1970" s="8"/>
      <c r="E1970" s="8"/>
      <c r="F1970" s="8"/>
    </row>
    <row r="1971" ht="13.5" customHeight="1">
      <c r="A1971" s="8" t="s">
        <v>1547</v>
      </c>
      <c r="B1971" s="8">
        <v>55938.0</v>
      </c>
      <c r="C1971" s="8"/>
      <c r="D1971" s="8"/>
      <c r="E1971" s="8"/>
      <c r="F1971" s="8"/>
    </row>
    <row r="1972" ht="13.5" customHeight="1">
      <c r="A1972" s="8" t="s">
        <v>1506</v>
      </c>
      <c r="B1972" s="8">
        <v>56515.0</v>
      </c>
      <c r="C1972" s="8"/>
      <c r="D1972" s="8"/>
      <c r="E1972" s="8"/>
      <c r="F1972" s="8"/>
    </row>
    <row r="1973" ht="13.5" customHeight="1">
      <c r="A1973" s="8" t="s">
        <v>1482</v>
      </c>
      <c r="B1973" s="8">
        <v>56768.0</v>
      </c>
      <c r="C1973" s="8"/>
      <c r="D1973" s="8"/>
      <c r="E1973" s="8"/>
      <c r="F1973" s="8"/>
    </row>
    <row r="1974" ht="13.5" customHeight="1">
      <c r="A1974" s="8" t="s">
        <v>1564</v>
      </c>
      <c r="B1974" s="8">
        <v>56900.0</v>
      </c>
      <c r="C1974" s="8"/>
      <c r="D1974" s="8"/>
      <c r="E1974" s="8"/>
      <c r="F1974" s="8"/>
    </row>
    <row r="1975" ht="13.5" customHeight="1">
      <c r="A1975" s="8" t="s">
        <v>1564</v>
      </c>
      <c r="B1975" s="8">
        <v>57056.0</v>
      </c>
      <c r="C1975" s="8"/>
      <c r="D1975" s="8"/>
      <c r="E1975" s="8"/>
      <c r="F1975" s="8"/>
    </row>
    <row r="1976" ht="13.5" customHeight="1">
      <c r="A1976" s="8" t="s">
        <v>1341</v>
      </c>
      <c r="B1976" s="8">
        <v>58372.0</v>
      </c>
      <c r="C1976" s="8"/>
      <c r="D1976" s="8"/>
      <c r="E1976" s="8"/>
      <c r="F1976" s="8"/>
    </row>
    <row r="1977" ht="13.5" customHeight="1">
      <c r="A1977" s="8" t="s">
        <v>1553</v>
      </c>
      <c r="B1977" s="8">
        <v>59270.0</v>
      </c>
      <c r="C1977" s="8"/>
      <c r="D1977" s="8"/>
      <c r="E1977" s="8"/>
      <c r="F1977" s="8"/>
    </row>
    <row r="1978" ht="13.5" customHeight="1">
      <c r="A1978" s="8" t="s">
        <v>1498</v>
      </c>
      <c r="B1978" s="8">
        <v>59619.0</v>
      </c>
      <c r="C1978" s="8"/>
      <c r="D1978" s="8"/>
      <c r="E1978" s="8"/>
      <c r="F1978" s="8"/>
    </row>
    <row r="1979" ht="13.5" customHeight="1">
      <c r="A1979" s="8" t="s">
        <v>1566</v>
      </c>
      <c r="B1979" s="8">
        <v>59781.0</v>
      </c>
      <c r="C1979" s="8"/>
      <c r="D1979" s="8"/>
      <c r="E1979" s="8"/>
      <c r="F1979" s="8"/>
    </row>
    <row r="1980" ht="13.5" customHeight="1">
      <c r="A1980" s="8" t="s">
        <v>1567</v>
      </c>
      <c r="B1980" s="8">
        <v>132.0</v>
      </c>
      <c r="C1980" s="8"/>
      <c r="D1980" s="8"/>
      <c r="E1980" s="8"/>
      <c r="F1980" s="8"/>
    </row>
    <row r="1981" ht="13.5" customHeight="1">
      <c r="A1981" s="8" t="s">
        <v>1568</v>
      </c>
      <c r="B1981" s="8">
        <v>258.0</v>
      </c>
      <c r="C1981" s="8"/>
      <c r="D1981" s="8"/>
      <c r="E1981" s="8"/>
      <c r="F1981" s="8"/>
    </row>
    <row r="1982" ht="13.5" customHeight="1">
      <c r="A1982" s="8" t="s">
        <v>1465</v>
      </c>
      <c r="B1982" s="8">
        <v>325.0</v>
      </c>
      <c r="C1982" s="8"/>
      <c r="D1982" s="8"/>
      <c r="E1982" s="8"/>
      <c r="F1982" s="8"/>
    </row>
    <row r="1983" ht="13.5" customHeight="1">
      <c r="A1983" s="8" t="s">
        <v>1329</v>
      </c>
      <c r="B1983" s="8">
        <v>2084.0</v>
      </c>
      <c r="C1983" s="8"/>
      <c r="D1983" s="8"/>
      <c r="E1983" s="8"/>
      <c r="F1983" s="8"/>
    </row>
    <row r="1984" ht="13.5" customHeight="1">
      <c r="A1984" s="8" t="s">
        <v>1494</v>
      </c>
      <c r="B1984" s="8">
        <v>3332.0</v>
      </c>
      <c r="C1984" s="8"/>
      <c r="D1984" s="8"/>
      <c r="E1984" s="8"/>
      <c r="F1984" s="8"/>
    </row>
    <row r="1985" ht="13.5" customHeight="1">
      <c r="A1985" s="8" t="s">
        <v>1501</v>
      </c>
      <c r="B1985" s="8">
        <v>3397.0</v>
      </c>
      <c r="C1985" s="8"/>
      <c r="D1985" s="8"/>
      <c r="E1985" s="8"/>
      <c r="F1985" s="8"/>
    </row>
    <row r="1986" ht="13.5" customHeight="1">
      <c r="A1986" s="8" t="s">
        <v>1570</v>
      </c>
      <c r="B1986" s="8">
        <v>3589.0</v>
      </c>
      <c r="C1986" s="8"/>
      <c r="D1986" s="8"/>
      <c r="E1986" s="8"/>
      <c r="F1986" s="8"/>
    </row>
    <row r="1987" ht="13.5" customHeight="1">
      <c r="A1987" s="8" t="s">
        <v>1467</v>
      </c>
      <c r="B1987" s="8">
        <v>3905.0</v>
      </c>
      <c r="C1987" s="8"/>
      <c r="D1987" s="8"/>
      <c r="E1987" s="8"/>
      <c r="F1987" s="8"/>
    </row>
    <row r="1988" ht="13.5" customHeight="1">
      <c r="A1988" s="8" t="s">
        <v>1571</v>
      </c>
      <c r="B1988" s="8">
        <v>4033.0</v>
      </c>
      <c r="C1988" s="8"/>
      <c r="D1988" s="8"/>
      <c r="E1988" s="8"/>
      <c r="F1988" s="8"/>
    </row>
    <row r="1989" ht="13.5" customHeight="1">
      <c r="A1989" s="8" t="s">
        <v>1568</v>
      </c>
      <c r="B1989" s="8">
        <v>4773.0</v>
      </c>
      <c r="C1989" s="8"/>
      <c r="D1989" s="8"/>
      <c r="E1989" s="8"/>
      <c r="F1989" s="8"/>
    </row>
    <row r="1990" ht="13.5" customHeight="1">
      <c r="A1990" s="8" t="s">
        <v>1521</v>
      </c>
      <c r="B1990" s="8">
        <v>5189.0</v>
      </c>
      <c r="C1990" s="8"/>
      <c r="D1990" s="8"/>
      <c r="E1990" s="8"/>
      <c r="F1990" s="8"/>
    </row>
    <row r="1991" ht="13.5" customHeight="1">
      <c r="A1991" s="8" t="s">
        <v>1570</v>
      </c>
      <c r="B1991" s="8">
        <v>5510.0</v>
      </c>
      <c r="C1991" s="8"/>
      <c r="D1991" s="8"/>
      <c r="E1991" s="8"/>
      <c r="F1991" s="8"/>
    </row>
    <row r="1992" ht="13.5" customHeight="1">
      <c r="A1992" s="8" t="s">
        <v>1570</v>
      </c>
      <c r="B1992" s="8">
        <v>6369.0</v>
      </c>
      <c r="C1992" s="8"/>
      <c r="D1992" s="8"/>
      <c r="E1992" s="8"/>
      <c r="F1992" s="8"/>
    </row>
    <row r="1993" ht="13.5" customHeight="1">
      <c r="A1993" s="8" t="s">
        <v>1570</v>
      </c>
      <c r="B1993" s="8">
        <v>6373.0</v>
      </c>
      <c r="C1993" s="8"/>
      <c r="D1993" s="8"/>
      <c r="E1993" s="8"/>
      <c r="F1993" s="8"/>
    </row>
    <row r="1994" ht="13.5" customHeight="1">
      <c r="A1994" s="8" t="s">
        <v>1538</v>
      </c>
      <c r="B1994" s="8">
        <v>6465.0</v>
      </c>
      <c r="C1994" s="8"/>
      <c r="D1994" s="8"/>
      <c r="E1994" s="8"/>
      <c r="F1994" s="8"/>
    </row>
    <row r="1995" ht="13.5" customHeight="1">
      <c r="A1995" s="8" t="s">
        <v>1575</v>
      </c>
      <c r="B1995" s="8">
        <v>7297.0</v>
      </c>
      <c r="C1995" s="8"/>
      <c r="D1995" s="8"/>
      <c r="E1995" s="8"/>
      <c r="F1995" s="8"/>
    </row>
    <row r="1996" ht="13.5" customHeight="1">
      <c r="A1996" s="8" t="s">
        <v>1264</v>
      </c>
      <c r="B1996" s="8">
        <v>7751.0</v>
      </c>
      <c r="C1996" s="8"/>
      <c r="D1996" s="8"/>
      <c r="E1996" s="8"/>
      <c r="F1996" s="8"/>
    </row>
    <row r="1997" ht="13.5" customHeight="1">
      <c r="A1997" s="8" t="s">
        <v>1576</v>
      </c>
      <c r="B1997" s="8">
        <v>8422.0</v>
      </c>
      <c r="C1997" s="8"/>
      <c r="D1997" s="8"/>
      <c r="E1997" s="8"/>
      <c r="F1997" s="8"/>
    </row>
    <row r="1998" ht="13.5" customHeight="1">
      <c r="A1998" s="8" t="s">
        <v>1481</v>
      </c>
      <c r="B1998" s="8">
        <v>10245.0</v>
      </c>
      <c r="C1998" s="8"/>
      <c r="D1998" s="8"/>
      <c r="E1998" s="8"/>
      <c r="F1998" s="8"/>
    </row>
    <row r="1999" ht="13.5" customHeight="1">
      <c r="A1999" s="8" t="s">
        <v>1516</v>
      </c>
      <c r="B1999" s="8">
        <v>11008.0</v>
      </c>
      <c r="C1999" s="8"/>
      <c r="D1999" s="8"/>
      <c r="E1999" s="8"/>
      <c r="F1999" s="8"/>
    </row>
    <row r="2000" ht="13.5" customHeight="1">
      <c r="A2000" s="8" t="s">
        <v>1454</v>
      </c>
      <c r="B2000" s="8">
        <v>13472.0</v>
      </c>
      <c r="C2000" s="8"/>
      <c r="D2000" s="8"/>
      <c r="E2000" s="8"/>
      <c r="F2000" s="8"/>
    </row>
    <row r="2001" ht="13.5" customHeight="1">
      <c r="A2001" s="8" t="s">
        <v>1545</v>
      </c>
      <c r="B2001" s="8">
        <v>14114.0</v>
      </c>
      <c r="C2001" s="8"/>
      <c r="D2001" s="8"/>
      <c r="E2001" s="8"/>
      <c r="F2001" s="8"/>
    </row>
    <row r="2002" ht="13.5" customHeight="1">
      <c r="A2002" s="8" t="s">
        <v>1578</v>
      </c>
      <c r="B2002" s="8">
        <v>15399.0</v>
      </c>
      <c r="C2002" s="8"/>
      <c r="D2002" s="8"/>
      <c r="E2002" s="8"/>
      <c r="F2002" s="8"/>
    </row>
    <row r="2003" ht="13.5" customHeight="1">
      <c r="A2003" s="8" t="s">
        <v>1578</v>
      </c>
      <c r="B2003" s="8">
        <v>16194.0</v>
      </c>
      <c r="C2003" s="8"/>
      <c r="D2003" s="8"/>
      <c r="E2003" s="8"/>
      <c r="F2003" s="8"/>
    </row>
    <row r="2004" ht="13.5" customHeight="1">
      <c r="A2004" s="8" t="s">
        <v>1472</v>
      </c>
      <c r="B2004" s="8">
        <v>16229.0</v>
      </c>
      <c r="C2004" s="8"/>
      <c r="D2004" s="8"/>
      <c r="E2004" s="8"/>
      <c r="F2004" s="8"/>
    </row>
    <row r="2005" ht="13.5" customHeight="1">
      <c r="A2005" s="8" t="s">
        <v>1472</v>
      </c>
      <c r="B2005" s="8">
        <v>16231.0</v>
      </c>
      <c r="C2005" s="8"/>
      <c r="D2005" s="8"/>
      <c r="E2005" s="8"/>
      <c r="F2005" s="8"/>
    </row>
    <row r="2006" ht="13.5" customHeight="1">
      <c r="A2006" s="8" t="s">
        <v>1555</v>
      </c>
      <c r="B2006" s="8">
        <v>16674.0</v>
      </c>
      <c r="C2006" s="8"/>
      <c r="D2006" s="8"/>
      <c r="E2006" s="8"/>
      <c r="F2006" s="8"/>
    </row>
    <row r="2007" ht="13.5" customHeight="1">
      <c r="A2007" s="8" t="s">
        <v>1501</v>
      </c>
      <c r="B2007" s="8">
        <v>16710.0</v>
      </c>
      <c r="C2007" s="8"/>
      <c r="D2007" s="8"/>
      <c r="E2007" s="8"/>
      <c r="F2007" s="8"/>
    </row>
    <row r="2008" ht="13.5" customHeight="1">
      <c r="A2008" s="8" t="s">
        <v>1558</v>
      </c>
      <c r="B2008" s="8">
        <v>17698.0</v>
      </c>
      <c r="C2008" s="8"/>
      <c r="D2008" s="8"/>
      <c r="E2008" s="8"/>
      <c r="F2008" s="8"/>
    </row>
    <row r="2009" ht="13.5" customHeight="1">
      <c r="A2009" s="8" t="s">
        <v>1495</v>
      </c>
      <c r="B2009" s="8">
        <v>18534.0</v>
      </c>
      <c r="C2009" s="8"/>
      <c r="D2009" s="8"/>
      <c r="E2009" s="8"/>
      <c r="F2009" s="8"/>
    </row>
    <row r="2010" ht="13.5" customHeight="1">
      <c r="A2010" s="8" t="s">
        <v>1481</v>
      </c>
      <c r="B2010" s="8">
        <v>18951.0</v>
      </c>
      <c r="C2010" s="8"/>
      <c r="D2010" s="8"/>
      <c r="E2010" s="8"/>
      <c r="F2010" s="8"/>
    </row>
    <row r="2011" ht="13.5" customHeight="1">
      <c r="A2011" s="8" t="s">
        <v>1462</v>
      </c>
      <c r="B2011" s="8">
        <v>22115.0</v>
      </c>
      <c r="C2011" s="8"/>
      <c r="D2011" s="8"/>
      <c r="E2011" s="8"/>
      <c r="F2011" s="8"/>
    </row>
    <row r="2012" ht="13.5" customHeight="1">
      <c r="A2012" s="8" t="s">
        <v>1571</v>
      </c>
      <c r="B2012" s="8">
        <v>22338.0</v>
      </c>
      <c r="C2012" s="8"/>
      <c r="D2012" s="8"/>
      <c r="E2012" s="8"/>
      <c r="F2012" s="8"/>
    </row>
    <row r="2013" ht="13.5" customHeight="1">
      <c r="A2013" s="8" t="s">
        <v>1581</v>
      </c>
      <c r="B2013" s="8">
        <v>22627.0</v>
      </c>
      <c r="C2013" s="8"/>
      <c r="D2013" s="8"/>
      <c r="E2013" s="8"/>
      <c r="F2013" s="8"/>
    </row>
    <row r="2014" ht="13.5" customHeight="1">
      <c r="A2014" s="8" t="s">
        <v>1465</v>
      </c>
      <c r="B2014" s="8">
        <v>22820.0</v>
      </c>
      <c r="C2014" s="8"/>
      <c r="D2014" s="8"/>
      <c r="E2014" s="8"/>
      <c r="F2014" s="8"/>
    </row>
    <row r="2015" ht="13.5" customHeight="1">
      <c r="A2015" s="8" t="s">
        <v>1564</v>
      </c>
      <c r="B2015" s="8">
        <v>22880.0</v>
      </c>
      <c r="C2015" s="8"/>
      <c r="D2015" s="8"/>
      <c r="E2015" s="8"/>
      <c r="F2015" s="8"/>
    </row>
    <row r="2016" ht="13.5" customHeight="1">
      <c r="A2016" s="8" t="s">
        <v>1582</v>
      </c>
      <c r="B2016" s="8">
        <v>23268.0</v>
      </c>
      <c r="C2016" s="8"/>
      <c r="D2016" s="8"/>
      <c r="E2016" s="8"/>
      <c r="F2016" s="8"/>
    </row>
    <row r="2017" ht="13.5" customHeight="1">
      <c r="A2017" s="8" t="s">
        <v>1487</v>
      </c>
      <c r="B2017" s="8">
        <v>24102.0</v>
      </c>
      <c r="C2017" s="8"/>
      <c r="D2017" s="8"/>
      <c r="E2017" s="8"/>
      <c r="F2017" s="8"/>
    </row>
    <row r="2018" ht="13.5" customHeight="1">
      <c r="A2018" s="8" t="s">
        <v>1465</v>
      </c>
      <c r="B2018" s="8">
        <v>24422.0</v>
      </c>
      <c r="C2018" s="8"/>
      <c r="D2018" s="8"/>
      <c r="E2018" s="8"/>
      <c r="F2018" s="8"/>
    </row>
    <row r="2019" ht="13.5" customHeight="1">
      <c r="A2019" s="8" t="s">
        <v>1531</v>
      </c>
      <c r="B2019" s="8">
        <v>24644.0</v>
      </c>
      <c r="C2019" s="8"/>
      <c r="D2019" s="8"/>
      <c r="E2019" s="8"/>
      <c r="F2019" s="8"/>
    </row>
    <row r="2020" ht="13.5" customHeight="1">
      <c r="A2020" s="8" t="s">
        <v>1545</v>
      </c>
      <c r="B2020" s="8">
        <v>26401.0</v>
      </c>
      <c r="C2020" s="8"/>
      <c r="D2020" s="8"/>
      <c r="E2020" s="8"/>
      <c r="F2020" s="8"/>
    </row>
    <row r="2021" ht="13.5" customHeight="1">
      <c r="A2021" s="8" t="s">
        <v>1383</v>
      </c>
      <c r="B2021" s="8">
        <v>27938.0</v>
      </c>
      <c r="C2021" s="8"/>
      <c r="D2021" s="8"/>
      <c r="E2021" s="8"/>
      <c r="F2021" s="8"/>
    </row>
    <row r="2022" ht="13.5" customHeight="1">
      <c r="A2022" s="8" t="s">
        <v>1581</v>
      </c>
      <c r="B2022" s="8">
        <v>29280.0</v>
      </c>
      <c r="C2022" s="8"/>
      <c r="D2022" s="8"/>
      <c r="E2022" s="8"/>
      <c r="F2022" s="8"/>
    </row>
    <row r="2023" ht="13.5" customHeight="1">
      <c r="A2023" s="8" t="s">
        <v>1406</v>
      </c>
      <c r="B2023" s="8">
        <v>29346.0</v>
      </c>
      <c r="C2023" s="8"/>
      <c r="D2023" s="8"/>
      <c r="E2023" s="8"/>
      <c r="F2023" s="8"/>
    </row>
    <row r="2024" ht="13.5" customHeight="1">
      <c r="A2024" s="8" t="s">
        <v>1469</v>
      </c>
      <c r="B2024" s="8">
        <v>29349.0</v>
      </c>
      <c r="C2024" s="8"/>
      <c r="D2024" s="8"/>
      <c r="E2024" s="8"/>
      <c r="F2024" s="8"/>
    </row>
    <row r="2025" ht="13.5" customHeight="1">
      <c r="A2025" s="8" t="s">
        <v>1540</v>
      </c>
      <c r="B2025" s="8">
        <v>29473.0</v>
      </c>
      <c r="C2025" s="8"/>
      <c r="D2025" s="8"/>
      <c r="E2025" s="8"/>
      <c r="F2025" s="8"/>
    </row>
    <row r="2026" ht="13.5" customHeight="1">
      <c r="A2026" s="8" t="s">
        <v>1496</v>
      </c>
      <c r="B2026" s="8">
        <v>29893.0</v>
      </c>
      <c r="C2026" s="8"/>
      <c r="D2026" s="8"/>
      <c r="E2026" s="8"/>
      <c r="F2026" s="8"/>
    </row>
    <row r="2027" ht="13.5" customHeight="1">
      <c r="A2027" s="8" t="s">
        <v>1581</v>
      </c>
      <c r="B2027" s="8">
        <v>30720.0</v>
      </c>
      <c r="C2027" s="8"/>
      <c r="D2027" s="8"/>
      <c r="E2027" s="8"/>
      <c r="F2027" s="8"/>
    </row>
    <row r="2028" ht="13.5" customHeight="1">
      <c r="A2028" s="8" t="s">
        <v>1457</v>
      </c>
      <c r="B2028" s="8">
        <v>30884.0</v>
      </c>
      <c r="C2028" s="8"/>
      <c r="D2028" s="8"/>
      <c r="E2028" s="8"/>
      <c r="F2028" s="8"/>
    </row>
    <row r="2029" ht="13.5" customHeight="1">
      <c r="A2029" s="8" t="s">
        <v>1485</v>
      </c>
      <c r="B2029" s="8">
        <v>31303.0</v>
      </c>
      <c r="C2029" s="8"/>
      <c r="D2029" s="8"/>
      <c r="E2029" s="8"/>
      <c r="F2029" s="8"/>
    </row>
    <row r="2030" ht="13.5" customHeight="1">
      <c r="A2030" s="8" t="s">
        <v>1477</v>
      </c>
      <c r="B2030" s="8">
        <v>31392.0</v>
      </c>
      <c r="C2030" s="8"/>
      <c r="D2030" s="8"/>
      <c r="E2030" s="8"/>
      <c r="F2030" s="8"/>
    </row>
    <row r="2031" ht="13.5" customHeight="1">
      <c r="A2031" s="8" t="s">
        <v>1547</v>
      </c>
      <c r="B2031" s="8">
        <v>31715.0</v>
      </c>
      <c r="C2031" s="8"/>
      <c r="D2031" s="8"/>
      <c r="E2031" s="8"/>
      <c r="F2031" s="8"/>
    </row>
    <row r="2032" ht="13.5" customHeight="1">
      <c r="A2032" s="8" t="s">
        <v>1496</v>
      </c>
      <c r="B2032" s="8">
        <v>32965.0</v>
      </c>
      <c r="C2032" s="8"/>
      <c r="D2032" s="8"/>
      <c r="E2032" s="8"/>
      <c r="F2032" s="8"/>
    </row>
    <row r="2033" ht="13.5" customHeight="1">
      <c r="A2033" s="8" t="s">
        <v>1527</v>
      </c>
      <c r="B2033" s="8">
        <v>33253.0</v>
      </c>
      <c r="C2033" s="8"/>
      <c r="D2033" s="8"/>
      <c r="E2033" s="8"/>
      <c r="F2033" s="8"/>
    </row>
    <row r="2034" ht="13.5" customHeight="1">
      <c r="A2034" s="8" t="s">
        <v>1494</v>
      </c>
      <c r="B2034" s="8">
        <v>33959.0</v>
      </c>
      <c r="C2034" s="8"/>
      <c r="D2034" s="8"/>
      <c r="E2034" s="8"/>
      <c r="F2034" s="8"/>
    </row>
    <row r="2035" ht="13.5" customHeight="1">
      <c r="A2035" s="8" t="s">
        <v>1493</v>
      </c>
      <c r="B2035" s="8">
        <v>35271.0</v>
      </c>
      <c r="C2035" s="8"/>
      <c r="D2035" s="8"/>
      <c r="E2035" s="8"/>
      <c r="F2035" s="8"/>
    </row>
    <row r="2036" ht="13.5" customHeight="1">
      <c r="A2036" s="8" t="s">
        <v>79</v>
      </c>
      <c r="B2036" s="8">
        <v>36390.0</v>
      </c>
      <c r="C2036" s="8"/>
      <c r="D2036" s="8"/>
      <c r="E2036" s="8"/>
      <c r="F2036" s="8"/>
    </row>
    <row r="2037" ht="13.5" customHeight="1">
      <c r="A2037" s="8" t="s">
        <v>1383</v>
      </c>
      <c r="B2037" s="8">
        <v>37447.0</v>
      </c>
      <c r="C2037" s="8"/>
      <c r="D2037" s="8"/>
      <c r="E2037" s="8"/>
      <c r="F2037" s="8"/>
    </row>
    <row r="2038" ht="13.5" customHeight="1">
      <c r="A2038" s="8" t="s">
        <v>1582</v>
      </c>
      <c r="B2038" s="8">
        <v>38723.0</v>
      </c>
      <c r="C2038" s="8"/>
      <c r="D2038" s="8"/>
      <c r="E2038" s="8"/>
      <c r="F2038" s="8"/>
    </row>
    <row r="2039" ht="13.5" customHeight="1">
      <c r="A2039" s="8" t="s">
        <v>1491</v>
      </c>
      <c r="B2039" s="8">
        <v>38851.0</v>
      </c>
      <c r="C2039" s="8"/>
      <c r="D2039" s="8"/>
      <c r="E2039" s="8"/>
      <c r="F2039" s="8"/>
    </row>
    <row r="2040" ht="13.5" customHeight="1">
      <c r="A2040" s="8" t="s">
        <v>1475</v>
      </c>
      <c r="B2040" s="8">
        <v>39266.0</v>
      </c>
      <c r="C2040" s="8"/>
      <c r="D2040" s="8"/>
      <c r="E2040" s="8"/>
      <c r="F2040" s="8"/>
    </row>
    <row r="2041" ht="13.5" customHeight="1">
      <c r="A2041" s="8" t="s">
        <v>1466</v>
      </c>
      <c r="B2041" s="8">
        <v>39780.0</v>
      </c>
      <c r="C2041" s="8"/>
      <c r="D2041" s="8"/>
      <c r="E2041" s="8"/>
      <c r="F2041" s="8"/>
    </row>
    <row r="2042" ht="13.5" customHeight="1">
      <c r="A2042" s="8" t="s">
        <v>1536</v>
      </c>
      <c r="B2042" s="8">
        <v>40005.0</v>
      </c>
      <c r="C2042" s="8"/>
      <c r="D2042" s="8"/>
      <c r="E2042" s="8"/>
      <c r="F2042" s="8"/>
    </row>
    <row r="2043" ht="13.5" customHeight="1">
      <c r="A2043" s="8" t="s">
        <v>1588</v>
      </c>
      <c r="B2043" s="8">
        <v>40704.0</v>
      </c>
      <c r="C2043" s="8"/>
      <c r="D2043" s="8"/>
      <c r="E2043" s="8"/>
      <c r="F2043" s="8"/>
    </row>
    <row r="2044" ht="13.5" customHeight="1">
      <c r="A2044" s="8" t="s">
        <v>1487</v>
      </c>
      <c r="B2044" s="8">
        <v>41383.0</v>
      </c>
      <c r="C2044" s="8"/>
      <c r="D2044" s="8"/>
      <c r="E2044" s="8"/>
      <c r="F2044" s="8"/>
    </row>
    <row r="2045" ht="13.5" customHeight="1">
      <c r="A2045" s="8" t="s">
        <v>1575</v>
      </c>
      <c r="B2045" s="8">
        <v>41415.0</v>
      </c>
      <c r="C2045" s="8"/>
      <c r="D2045" s="8"/>
      <c r="E2045" s="8"/>
      <c r="F2045" s="8"/>
    </row>
    <row r="2046" ht="13.5" customHeight="1">
      <c r="A2046" s="8" t="s">
        <v>79</v>
      </c>
      <c r="B2046" s="8">
        <v>41825.0</v>
      </c>
      <c r="C2046" s="8"/>
      <c r="D2046" s="8"/>
      <c r="E2046" s="8"/>
      <c r="F2046" s="8"/>
    </row>
    <row r="2047" ht="13.5" customHeight="1">
      <c r="A2047" s="8" t="s">
        <v>1466</v>
      </c>
      <c r="B2047" s="8">
        <v>41826.0</v>
      </c>
      <c r="C2047" s="8"/>
      <c r="D2047" s="8"/>
      <c r="E2047" s="8"/>
      <c r="F2047" s="8"/>
    </row>
    <row r="2048" ht="13.5" customHeight="1">
      <c r="A2048" s="8" t="s">
        <v>1264</v>
      </c>
      <c r="B2048" s="8">
        <v>42213.0</v>
      </c>
      <c r="C2048" s="8"/>
      <c r="D2048" s="8"/>
      <c r="E2048" s="8"/>
      <c r="F2048" s="8"/>
    </row>
    <row r="2049" ht="13.5" customHeight="1">
      <c r="A2049" s="8" t="s">
        <v>1512</v>
      </c>
      <c r="B2049" s="8">
        <v>43588.0</v>
      </c>
      <c r="C2049" s="8"/>
      <c r="D2049" s="8"/>
      <c r="E2049" s="8"/>
      <c r="F2049" s="8"/>
    </row>
    <row r="2050" ht="13.5" customHeight="1">
      <c r="A2050" s="8" t="s">
        <v>1456</v>
      </c>
      <c r="B2050" s="8">
        <v>45728.0</v>
      </c>
      <c r="C2050" s="8"/>
      <c r="D2050" s="8"/>
      <c r="E2050" s="8"/>
      <c r="F2050" s="8"/>
    </row>
    <row r="2051" ht="13.5" customHeight="1">
      <c r="A2051" s="8" t="s">
        <v>1406</v>
      </c>
      <c r="B2051" s="8">
        <v>45984.0</v>
      </c>
      <c r="C2051" s="8"/>
      <c r="D2051" s="8"/>
      <c r="E2051" s="8"/>
      <c r="F2051" s="8"/>
    </row>
    <row r="2052" ht="13.5" customHeight="1">
      <c r="A2052" s="8" t="s">
        <v>1590</v>
      </c>
      <c r="B2052" s="8">
        <v>45988.0</v>
      </c>
      <c r="C2052" s="8"/>
      <c r="D2052" s="8"/>
      <c r="E2052" s="8"/>
      <c r="F2052" s="8"/>
    </row>
    <row r="2053" ht="13.5" customHeight="1">
      <c r="A2053" s="8" t="s">
        <v>1576</v>
      </c>
      <c r="B2053" s="8">
        <v>47106.0</v>
      </c>
      <c r="C2053" s="8"/>
      <c r="D2053" s="8"/>
      <c r="E2053" s="8"/>
      <c r="F2053" s="8"/>
    </row>
    <row r="2054" ht="13.5" customHeight="1">
      <c r="A2054" s="8" t="s">
        <v>1591</v>
      </c>
      <c r="B2054" s="8">
        <v>47169.0</v>
      </c>
      <c r="C2054" s="8"/>
      <c r="D2054" s="8"/>
      <c r="E2054" s="8"/>
      <c r="F2054" s="8"/>
    </row>
    <row r="2055" ht="13.5" customHeight="1">
      <c r="A2055" s="8" t="s">
        <v>1551</v>
      </c>
      <c r="B2055" s="8">
        <v>48071.0</v>
      </c>
      <c r="C2055" s="8"/>
      <c r="D2055" s="8"/>
      <c r="E2055" s="8"/>
      <c r="F2055" s="8"/>
    </row>
    <row r="2056" ht="13.5" customHeight="1">
      <c r="A2056" s="8" t="s">
        <v>1564</v>
      </c>
      <c r="B2056" s="8">
        <v>50276.0</v>
      </c>
      <c r="C2056" s="8"/>
      <c r="D2056" s="8"/>
      <c r="E2056" s="8"/>
      <c r="F2056" s="8"/>
    </row>
    <row r="2057" ht="13.5" customHeight="1">
      <c r="A2057" s="8" t="s">
        <v>1592</v>
      </c>
      <c r="B2057" s="8">
        <v>51107.0</v>
      </c>
      <c r="C2057" s="8"/>
      <c r="D2057" s="8"/>
      <c r="E2057" s="8"/>
      <c r="F2057" s="8"/>
    </row>
    <row r="2058" ht="13.5" customHeight="1">
      <c r="A2058" s="8" t="s">
        <v>1341</v>
      </c>
      <c r="B2058" s="8">
        <v>51783.0</v>
      </c>
      <c r="C2058" s="8"/>
      <c r="D2058" s="8"/>
      <c r="E2058" s="8"/>
      <c r="F2058" s="8"/>
    </row>
    <row r="2059" ht="13.5" customHeight="1">
      <c r="A2059" s="8" t="s">
        <v>1457</v>
      </c>
      <c r="B2059" s="8">
        <v>52006.0</v>
      </c>
      <c r="C2059" s="8"/>
      <c r="D2059" s="8"/>
      <c r="E2059" s="8"/>
      <c r="F2059" s="8"/>
    </row>
    <row r="2060" ht="13.5" customHeight="1">
      <c r="A2060" s="8" t="s">
        <v>1506</v>
      </c>
      <c r="B2060" s="8">
        <v>52934.0</v>
      </c>
      <c r="C2060" s="8"/>
      <c r="D2060" s="8"/>
      <c r="E2060" s="8"/>
      <c r="F2060" s="8"/>
    </row>
    <row r="2061" ht="13.5" customHeight="1">
      <c r="A2061" s="8" t="s">
        <v>1501</v>
      </c>
      <c r="B2061" s="8">
        <v>54053.0</v>
      </c>
      <c r="C2061" s="8"/>
      <c r="D2061" s="8"/>
      <c r="E2061" s="8"/>
      <c r="F2061" s="8"/>
    </row>
    <row r="2062" ht="13.5" customHeight="1">
      <c r="A2062" s="8" t="s">
        <v>1562</v>
      </c>
      <c r="B2062" s="8">
        <v>55239.0</v>
      </c>
      <c r="C2062" s="8"/>
      <c r="D2062" s="8"/>
      <c r="E2062" s="8"/>
      <c r="F2062" s="8"/>
    </row>
    <row r="2063" ht="13.5" customHeight="1">
      <c r="A2063" s="8" t="s">
        <v>1593</v>
      </c>
      <c r="B2063" s="8">
        <v>58599.0</v>
      </c>
      <c r="C2063" s="8"/>
      <c r="D2063" s="8"/>
      <c r="E2063" s="8"/>
      <c r="F2063" s="8"/>
    </row>
    <row r="2064" ht="13.5" customHeight="1">
      <c r="A2064" s="8" t="s">
        <v>1594</v>
      </c>
      <c r="B2064" s="8">
        <v>326.0</v>
      </c>
      <c r="C2064" s="8"/>
      <c r="D2064" s="8"/>
      <c r="E2064" s="8"/>
      <c r="F2064" s="8"/>
    </row>
    <row r="2065" ht="13.5" customHeight="1">
      <c r="A2065" s="8" t="s">
        <v>1296</v>
      </c>
      <c r="B2065" s="8">
        <v>614.0</v>
      </c>
      <c r="C2065" s="8"/>
      <c r="D2065" s="8"/>
      <c r="E2065" s="8"/>
      <c r="F2065" s="8"/>
    </row>
    <row r="2066" ht="13.5" customHeight="1">
      <c r="A2066" s="8" t="s">
        <v>1597</v>
      </c>
      <c r="B2066" s="8">
        <v>898.0</v>
      </c>
      <c r="C2066" s="8"/>
      <c r="D2066" s="8"/>
      <c r="E2066" s="8"/>
      <c r="F2066" s="8"/>
    </row>
    <row r="2067" ht="13.5" customHeight="1">
      <c r="A2067" s="8" t="s">
        <v>1597</v>
      </c>
      <c r="B2067" s="8">
        <v>1031.0</v>
      </c>
      <c r="C2067" s="8"/>
      <c r="D2067" s="8"/>
      <c r="E2067" s="8"/>
      <c r="F2067" s="8"/>
    </row>
    <row r="2068" ht="13.5" customHeight="1">
      <c r="A2068" s="8" t="s">
        <v>1598</v>
      </c>
      <c r="B2068" s="8">
        <v>1447.0</v>
      </c>
      <c r="C2068" s="8"/>
      <c r="D2068" s="8"/>
      <c r="E2068" s="8"/>
      <c r="F2068" s="8"/>
    </row>
    <row r="2069" ht="13.5" customHeight="1">
      <c r="A2069" s="8" t="s">
        <v>1600</v>
      </c>
      <c r="B2069" s="8">
        <v>2150.0</v>
      </c>
      <c r="C2069" s="8"/>
      <c r="D2069" s="8"/>
      <c r="E2069" s="8"/>
      <c r="F2069" s="8"/>
    </row>
    <row r="2070" ht="13.5" customHeight="1">
      <c r="A2070" s="8" t="s">
        <v>1600</v>
      </c>
      <c r="B2070" s="8">
        <v>2211.0</v>
      </c>
      <c r="C2070" s="8"/>
      <c r="D2070" s="8"/>
      <c r="E2070" s="8"/>
      <c r="F2070" s="8"/>
    </row>
    <row r="2071" ht="13.5" customHeight="1">
      <c r="A2071" s="8" t="s">
        <v>1601</v>
      </c>
      <c r="B2071" s="8">
        <v>2307.0</v>
      </c>
      <c r="C2071" s="8"/>
      <c r="D2071" s="8"/>
      <c r="E2071" s="8"/>
      <c r="F2071" s="8"/>
    </row>
    <row r="2072" ht="13.5" customHeight="1">
      <c r="A2072" s="8" t="s">
        <v>1597</v>
      </c>
      <c r="B2072" s="8">
        <v>2370.0</v>
      </c>
      <c r="C2072" s="8"/>
      <c r="D2072" s="8"/>
      <c r="E2072" s="8"/>
      <c r="F2072" s="8"/>
    </row>
    <row r="2073" ht="13.5" customHeight="1">
      <c r="A2073" s="8" t="s">
        <v>1602</v>
      </c>
      <c r="B2073" s="8">
        <v>2374.0</v>
      </c>
      <c r="C2073" s="8"/>
      <c r="D2073" s="8"/>
      <c r="E2073" s="8"/>
      <c r="F2073" s="8"/>
    </row>
    <row r="2074" ht="13.5" customHeight="1">
      <c r="A2074" s="8" t="s">
        <v>1603</v>
      </c>
      <c r="B2074" s="8">
        <v>3138.0</v>
      </c>
      <c r="C2074" s="8"/>
      <c r="D2074" s="8"/>
      <c r="E2074" s="8"/>
      <c r="F2074" s="8"/>
    </row>
    <row r="2075" ht="13.5" customHeight="1">
      <c r="A2075" s="8" t="s">
        <v>1396</v>
      </c>
      <c r="B2075" s="8">
        <v>3141.0</v>
      </c>
      <c r="C2075" s="8"/>
      <c r="D2075" s="8"/>
      <c r="E2075" s="8"/>
      <c r="F2075" s="8"/>
    </row>
    <row r="2076" ht="13.5" customHeight="1">
      <c r="A2076" s="8" t="s">
        <v>1600</v>
      </c>
      <c r="B2076" s="8">
        <v>4515.0</v>
      </c>
      <c r="C2076" s="8"/>
      <c r="D2076" s="8"/>
      <c r="E2076" s="8"/>
      <c r="F2076" s="8"/>
    </row>
    <row r="2077" ht="13.5" customHeight="1">
      <c r="A2077" s="8" t="s">
        <v>1594</v>
      </c>
      <c r="B2077" s="8">
        <v>4708.0</v>
      </c>
      <c r="C2077" s="8"/>
      <c r="D2077" s="8"/>
      <c r="E2077" s="8"/>
      <c r="F2077" s="8"/>
    </row>
    <row r="2078" ht="13.5" customHeight="1">
      <c r="A2078" s="8" t="s">
        <v>1605</v>
      </c>
      <c r="B2078" s="8">
        <v>5155.0</v>
      </c>
      <c r="C2078" s="8"/>
      <c r="D2078" s="8"/>
      <c r="E2078" s="8"/>
      <c r="F2078" s="8"/>
    </row>
    <row r="2079" ht="13.5" customHeight="1">
      <c r="A2079" s="8" t="s">
        <v>1594</v>
      </c>
      <c r="B2079" s="8">
        <v>5382.0</v>
      </c>
      <c r="C2079" s="8"/>
      <c r="D2079" s="8"/>
      <c r="E2079" s="8"/>
      <c r="F2079" s="8"/>
    </row>
    <row r="2080" ht="13.5" customHeight="1">
      <c r="A2080" s="8" t="s">
        <v>1594</v>
      </c>
      <c r="B2080" s="8">
        <v>5414.0</v>
      </c>
      <c r="C2080" s="8"/>
      <c r="D2080" s="8"/>
      <c r="E2080" s="8"/>
      <c r="F2080" s="8"/>
    </row>
    <row r="2081" ht="13.5" customHeight="1">
      <c r="A2081" s="8" t="s">
        <v>1396</v>
      </c>
      <c r="B2081" s="8">
        <v>6433.0</v>
      </c>
      <c r="C2081" s="8"/>
      <c r="D2081" s="8"/>
      <c r="E2081" s="8"/>
      <c r="F2081" s="8"/>
    </row>
    <row r="2082" ht="13.5" customHeight="1">
      <c r="A2082" s="8" t="s">
        <v>497</v>
      </c>
      <c r="B2082" s="8">
        <v>6464.0</v>
      </c>
      <c r="C2082" s="8"/>
      <c r="D2082" s="8"/>
      <c r="E2082" s="8"/>
      <c r="F2082" s="8"/>
    </row>
    <row r="2083" ht="13.5" customHeight="1">
      <c r="A2083" s="8" t="s">
        <v>1296</v>
      </c>
      <c r="B2083" s="8">
        <v>7846.0</v>
      </c>
      <c r="C2083" s="8"/>
      <c r="D2083" s="8"/>
      <c r="E2083" s="8"/>
      <c r="F2083" s="8"/>
    </row>
    <row r="2084" ht="13.5" customHeight="1">
      <c r="A2084" s="8" t="s">
        <v>1605</v>
      </c>
      <c r="B2084" s="8">
        <v>7936.0</v>
      </c>
      <c r="C2084" s="8"/>
      <c r="D2084" s="8"/>
      <c r="E2084" s="8"/>
      <c r="F2084" s="8"/>
    </row>
    <row r="2085" ht="13.5" customHeight="1">
      <c r="A2085" s="8" t="s">
        <v>497</v>
      </c>
      <c r="B2085" s="8">
        <v>8195.0</v>
      </c>
      <c r="C2085" s="8"/>
      <c r="D2085" s="8"/>
      <c r="E2085" s="8"/>
      <c r="F2085" s="8"/>
    </row>
    <row r="2086" ht="13.5" customHeight="1">
      <c r="A2086" s="8" t="s">
        <v>1608</v>
      </c>
      <c r="B2086" s="8">
        <v>8293.0</v>
      </c>
      <c r="C2086" s="8"/>
      <c r="D2086" s="8"/>
      <c r="E2086" s="8"/>
      <c r="F2086" s="8"/>
    </row>
    <row r="2087" ht="13.5" customHeight="1">
      <c r="A2087" s="8" t="s">
        <v>1594</v>
      </c>
      <c r="B2087" s="8">
        <v>9248.0</v>
      </c>
      <c r="C2087" s="8"/>
      <c r="D2087" s="8"/>
      <c r="E2087" s="8"/>
      <c r="F2087" s="8"/>
    </row>
    <row r="2088" ht="13.5" customHeight="1">
      <c r="A2088" s="8" t="s">
        <v>1594</v>
      </c>
      <c r="B2088" s="8">
        <v>9347.0</v>
      </c>
      <c r="C2088" s="8"/>
      <c r="D2088" s="8"/>
      <c r="E2088" s="8"/>
      <c r="F2088" s="8"/>
    </row>
    <row r="2089" ht="13.5" customHeight="1">
      <c r="A2089" s="8" t="s">
        <v>1609</v>
      </c>
      <c r="B2089" s="8">
        <v>9472.0</v>
      </c>
      <c r="C2089" s="8"/>
      <c r="D2089" s="8"/>
      <c r="E2089" s="8"/>
      <c r="F2089" s="8"/>
    </row>
    <row r="2090" ht="13.5" customHeight="1">
      <c r="A2090" s="8" t="s">
        <v>1610</v>
      </c>
      <c r="B2090" s="8">
        <v>9733.0</v>
      </c>
      <c r="C2090" s="8"/>
      <c r="D2090" s="8"/>
      <c r="E2090" s="8"/>
      <c r="F2090" s="8"/>
    </row>
    <row r="2091" ht="13.5" customHeight="1">
      <c r="A2091" s="8" t="s">
        <v>1611</v>
      </c>
      <c r="B2091" s="8">
        <v>10054.0</v>
      </c>
      <c r="C2091" s="8"/>
      <c r="D2091" s="8"/>
      <c r="E2091" s="8"/>
      <c r="F2091" s="8"/>
    </row>
    <row r="2092" ht="13.5" customHeight="1">
      <c r="A2092" s="8" t="s">
        <v>1396</v>
      </c>
      <c r="B2092" s="8">
        <v>10627.0</v>
      </c>
      <c r="C2092" s="8"/>
      <c r="D2092" s="8"/>
      <c r="E2092" s="8"/>
      <c r="F2092" s="8"/>
    </row>
    <row r="2093" ht="13.5" customHeight="1">
      <c r="A2093" s="8" t="s">
        <v>1611</v>
      </c>
      <c r="B2093" s="8">
        <v>10629.0</v>
      </c>
      <c r="C2093" s="8"/>
      <c r="D2093" s="8"/>
      <c r="E2093" s="8"/>
      <c r="F2093" s="8"/>
    </row>
    <row r="2094" ht="13.5" customHeight="1">
      <c r="A2094" s="8" t="s">
        <v>1600</v>
      </c>
      <c r="B2094" s="8">
        <v>10784.0</v>
      </c>
      <c r="C2094" s="8"/>
      <c r="D2094" s="8"/>
      <c r="E2094" s="8"/>
      <c r="F2094" s="8"/>
    </row>
    <row r="2095" ht="13.5" customHeight="1">
      <c r="A2095" s="8" t="s">
        <v>1611</v>
      </c>
      <c r="B2095" s="8">
        <v>10823.0</v>
      </c>
      <c r="C2095" s="8"/>
      <c r="D2095" s="8"/>
      <c r="E2095" s="8"/>
      <c r="F2095" s="8"/>
    </row>
    <row r="2096" ht="13.5" customHeight="1">
      <c r="A2096" s="8" t="s">
        <v>1613</v>
      </c>
      <c r="B2096" s="8">
        <v>10919.0</v>
      </c>
      <c r="C2096" s="8"/>
      <c r="D2096" s="8"/>
      <c r="E2096" s="8"/>
      <c r="F2096" s="8"/>
    </row>
    <row r="2097" ht="13.5" customHeight="1">
      <c r="A2097" s="8" t="s">
        <v>1608</v>
      </c>
      <c r="B2097" s="8">
        <v>11429.0</v>
      </c>
      <c r="C2097" s="8"/>
      <c r="D2097" s="8"/>
      <c r="E2097" s="8"/>
      <c r="F2097" s="8"/>
    </row>
    <row r="2098" ht="13.5" customHeight="1">
      <c r="A2098" s="8" t="s">
        <v>1614</v>
      </c>
      <c r="B2098" s="8">
        <v>11650.0</v>
      </c>
      <c r="C2098" s="8"/>
      <c r="D2098" s="8"/>
      <c r="E2098" s="8"/>
      <c r="F2098" s="8"/>
    </row>
    <row r="2099" ht="13.5" customHeight="1">
      <c r="A2099" s="8" t="s">
        <v>1602</v>
      </c>
      <c r="B2099" s="8">
        <v>13347.0</v>
      </c>
      <c r="C2099" s="8"/>
      <c r="D2099" s="8"/>
      <c r="E2099" s="8"/>
      <c r="F2099" s="8"/>
    </row>
    <row r="2100" ht="13.5" customHeight="1">
      <c r="A2100" s="8" t="s">
        <v>1600</v>
      </c>
      <c r="B2100" s="8">
        <v>13381.0</v>
      </c>
      <c r="C2100" s="8"/>
      <c r="D2100" s="8"/>
      <c r="E2100" s="8"/>
      <c r="F2100" s="8"/>
    </row>
    <row r="2101" ht="13.5" customHeight="1">
      <c r="A2101" s="8" t="s">
        <v>1603</v>
      </c>
      <c r="B2101" s="8">
        <v>13634.0</v>
      </c>
      <c r="C2101" s="8"/>
      <c r="D2101" s="8"/>
      <c r="E2101" s="8"/>
      <c r="F2101" s="8"/>
    </row>
    <row r="2102" ht="13.5" customHeight="1">
      <c r="A2102" s="8" t="s">
        <v>1396</v>
      </c>
      <c r="B2102" s="8">
        <v>13729.0</v>
      </c>
      <c r="C2102" s="8"/>
      <c r="D2102" s="8"/>
      <c r="E2102" s="8"/>
      <c r="F2102" s="8"/>
    </row>
    <row r="2103" ht="13.5" customHeight="1">
      <c r="A2103" s="8" t="s">
        <v>1603</v>
      </c>
      <c r="B2103" s="8">
        <v>13730.0</v>
      </c>
      <c r="C2103" s="8"/>
      <c r="D2103" s="8"/>
      <c r="E2103" s="8"/>
      <c r="F2103" s="8"/>
    </row>
    <row r="2104" ht="13.5" customHeight="1">
      <c r="A2104" s="8" t="s">
        <v>1611</v>
      </c>
      <c r="B2104" s="8">
        <v>14113.0</v>
      </c>
      <c r="C2104" s="8"/>
      <c r="D2104" s="8"/>
      <c r="E2104" s="8"/>
      <c r="F2104" s="8"/>
    </row>
    <row r="2105" ht="13.5" customHeight="1">
      <c r="A2105" s="8" t="s">
        <v>1611</v>
      </c>
      <c r="B2105" s="8">
        <v>14210.0</v>
      </c>
      <c r="C2105" s="8"/>
      <c r="D2105" s="8"/>
      <c r="E2105" s="8"/>
      <c r="F2105" s="8"/>
    </row>
    <row r="2106" ht="13.5" customHeight="1">
      <c r="A2106" s="8" t="s">
        <v>1600</v>
      </c>
      <c r="B2106" s="8">
        <v>14272.0</v>
      </c>
      <c r="C2106" s="8"/>
      <c r="D2106" s="8"/>
      <c r="E2106" s="8"/>
      <c r="F2106" s="8"/>
    </row>
    <row r="2107" ht="13.5" customHeight="1">
      <c r="A2107" s="8" t="s">
        <v>1608</v>
      </c>
      <c r="B2107" s="8">
        <v>14401.0</v>
      </c>
      <c r="C2107" s="8"/>
      <c r="D2107" s="8"/>
      <c r="E2107" s="8"/>
      <c r="F2107" s="8"/>
    </row>
    <row r="2108" ht="13.5" customHeight="1">
      <c r="A2108" s="8" t="s">
        <v>1594</v>
      </c>
      <c r="B2108" s="8">
        <v>15941.0</v>
      </c>
      <c r="C2108" s="8"/>
      <c r="D2108" s="8"/>
      <c r="E2108" s="8"/>
      <c r="F2108" s="8"/>
    </row>
    <row r="2109" ht="13.5" customHeight="1">
      <c r="A2109" s="8" t="s">
        <v>1614</v>
      </c>
      <c r="B2109" s="8">
        <v>18023.0</v>
      </c>
      <c r="C2109" s="8"/>
      <c r="D2109" s="8"/>
      <c r="E2109" s="8"/>
      <c r="F2109" s="8"/>
    </row>
    <row r="2110" ht="13.5" customHeight="1">
      <c r="A2110" s="8" t="s">
        <v>1603</v>
      </c>
      <c r="B2110" s="8">
        <v>18341.0</v>
      </c>
      <c r="C2110" s="8"/>
      <c r="D2110" s="8"/>
      <c r="E2110" s="8"/>
      <c r="F2110" s="8"/>
    </row>
    <row r="2111" ht="13.5" customHeight="1">
      <c r="A2111" s="8" t="s">
        <v>497</v>
      </c>
      <c r="B2111" s="8">
        <v>18400.0</v>
      </c>
      <c r="C2111" s="8"/>
      <c r="D2111" s="8"/>
      <c r="E2111" s="8"/>
      <c r="F2111" s="8"/>
    </row>
    <row r="2112" ht="13.5" customHeight="1">
      <c r="A2112" s="8" t="s">
        <v>1598</v>
      </c>
      <c r="B2112" s="8">
        <v>18950.0</v>
      </c>
      <c r="C2112" s="8"/>
      <c r="D2112" s="8"/>
      <c r="E2112" s="8"/>
      <c r="F2112" s="8"/>
    </row>
    <row r="2113" ht="13.5" customHeight="1">
      <c r="A2113" s="8" t="s">
        <v>1616</v>
      </c>
      <c r="B2113" s="8">
        <v>19111.0</v>
      </c>
      <c r="C2113" s="8"/>
      <c r="D2113" s="8"/>
      <c r="E2113" s="8"/>
      <c r="F2113" s="8"/>
    </row>
    <row r="2114" ht="13.5" customHeight="1">
      <c r="A2114" s="8" t="s">
        <v>1611</v>
      </c>
      <c r="B2114" s="8">
        <v>19139.0</v>
      </c>
      <c r="C2114" s="8"/>
      <c r="D2114" s="8"/>
      <c r="E2114" s="8"/>
      <c r="F2114" s="8"/>
    </row>
    <row r="2115" ht="13.5" customHeight="1">
      <c r="A2115" s="8" t="s">
        <v>1598</v>
      </c>
      <c r="B2115" s="8">
        <v>19332.0</v>
      </c>
      <c r="C2115" s="8"/>
      <c r="D2115" s="8"/>
      <c r="E2115" s="8"/>
      <c r="F2115" s="8"/>
    </row>
    <row r="2116" ht="13.5" customHeight="1">
      <c r="A2116" s="8" t="s">
        <v>1594</v>
      </c>
      <c r="B2116" s="8">
        <v>20965.0</v>
      </c>
      <c r="C2116" s="8"/>
      <c r="D2116" s="8"/>
      <c r="E2116" s="8"/>
      <c r="F2116" s="8"/>
    </row>
    <row r="2117" ht="13.5" customHeight="1">
      <c r="A2117" s="8" t="s">
        <v>1598</v>
      </c>
      <c r="B2117" s="8">
        <v>21249.0</v>
      </c>
      <c r="C2117" s="8"/>
      <c r="D2117" s="8"/>
      <c r="E2117" s="8"/>
      <c r="F2117" s="8"/>
    </row>
    <row r="2118" ht="13.5" customHeight="1">
      <c r="A2118" s="8" t="s">
        <v>1600</v>
      </c>
      <c r="B2118" s="8">
        <v>22529.0</v>
      </c>
      <c r="C2118" s="8"/>
      <c r="D2118" s="8"/>
      <c r="E2118" s="8"/>
      <c r="F2118" s="8"/>
    </row>
    <row r="2119" ht="13.5" customHeight="1">
      <c r="A2119" s="8" t="s">
        <v>497</v>
      </c>
      <c r="B2119" s="8">
        <v>23303.0</v>
      </c>
      <c r="C2119" s="8"/>
      <c r="D2119" s="8"/>
      <c r="E2119" s="8"/>
      <c r="F2119" s="8"/>
    </row>
    <row r="2120" ht="13.5" customHeight="1">
      <c r="A2120" s="8" t="s">
        <v>1601</v>
      </c>
      <c r="B2120" s="8">
        <v>23398.0</v>
      </c>
      <c r="C2120" s="8"/>
      <c r="D2120" s="8"/>
      <c r="E2120" s="8"/>
      <c r="F2120" s="8"/>
    </row>
    <row r="2121" ht="13.5" customHeight="1">
      <c r="A2121" s="8" t="s">
        <v>1598</v>
      </c>
      <c r="B2121" s="8">
        <v>24356.0</v>
      </c>
      <c r="C2121" s="8"/>
      <c r="D2121" s="8"/>
      <c r="E2121" s="8"/>
      <c r="F2121" s="8"/>
    </row>
    <row r="2122" ht="13.5" customHeight="1">
      <c r="A2122" s="8" t="s">
        <v>1614</v>
      </c>
      <c r="B2122" s="8">
        <v>25188.0</v>
      </c>
      <c r="C2122" s="8"/>
      <c r="D2122" s="8"/>
      <c r="E2122" s="8"/>
      <c r="F2122" s="8"/>
    </row>
    <row r="2123" ht="13.5" customHeight="1">
      <c r="A2123" s="8" t="s">
        <v>1600</v>
      </c>
      <c r="B2123" s="8">
        <v>25249.0</v>
      </c>
      <c r="C2123" s="8"/>
      <c r="D2123" s="8"/>
      <c r="E2123" s="8"/>
      <c r="F2123" s="8"/>
    </row>
    <row r="2124" ht="13.5" customHeight="1">
      <c r="A2124" s="8" t="s">
        <v>1396</v>
      </c>
      <c r="B2124" s="8">
        <v>26948.0</v>
      </c>
      <c r="C2124" s="8"/>
      <c r="D2124" s="8"/>
      <c r="E2124" s="8"/>
      <c r="F2124" s="8"/>
    </row>
    <row r="2125" ht="13.5" customHeight="1">
      <c r="A2125" s="8" t="s">
        <v>497</v>
      </c>
      <c r="B2125" s="8">
        <v>27232.0</v>
      </c>
      <c r="C2125" s="8"/>
      <c r="D2125" s="8"/>
      <c r="E2125" s="8"/>
      <c r="F2125" s="8"/>
    </row>
    <row r="2126" ht="13.5" customHeight="1">
      <c r="A2126" s="8" t="s">
        <v>1594</v>
      </c>
      <c r="B2126" s="8">
        <v>27622.0</v>
      </c>
      <c r="C2126" s="8"/>
      <c r="D2126" s="8"/>
      <c r="E2126" s="8"/>
      <c r="F2126" s="8"/>
    </row>
    <row r="2127" ht="13.5" customHeight="1">
      <c r="A2127" s="8" t="s">
        <v>1608</v>
      </c>
      <c r="B2127" s="8">
        <v>28002.0</v>
      </c>
      <c r="C2127" s="8"/>
      <c r="D2127" s="8"/>
      <c r="E2127" s="8"/>
      <c r="F2127" s="8"/>
    </row>
    <row r="2128" ht="13.5" customHeight="1">
      <c r="A2128" s="8" t="s">
        <v>1620</v>
      </c>
      <c r="B2128" s="8">
        <v>28390.0</v>
      </c>
      <c r="C2128" s="8"/>
      <c r="D2128" s="8"/>
      <c r="E2128" s="8"/>
      <c r="F2128" s="8"/>
    </row>
    <row r="2129" ht="13.5" customHeight="1">
      <c r="A2129" s="8" t="s">
        <v>1609</v>
      </c>
      <c r="B2129" s="8">
        <v>29223.0</v>
      </c>
      <c r="C2129" s="8"/>
      <c r="D2129" s="8"/>
      <c r="E2129" s="8"/>
      <c r="F2129" s="8"/>
    </row>
    <row r="2130" ht="13.5" customHeight="1">
      <c r="A2130" s="8" t="s">
        <v>1597</v>
      </c>
      <c r="B2130" s="8">
        <v>29351.0</v>
      </c>
      <c r="C2130" s="8"/>
      <c r="D2130" s="8"/>
      <c r="E2130" s="8"/>
      <c r="F2130" s="8"/>
    </row>
    <row r="2131" ht="13.5" customHeight="1">
      <c r="A2131" s="8" t="s">
        <v>1622</v>
      </c>
      <c r="B2131" s="8">
        <v>29506.0</v>
      </c>
      <c r="C2131" s="8"/>
      <c r="D2131" s="8"/>
      <c r="E2131" s="8"/>
      <c r="F2131" s="8"/>
    </row>
    <row r="2132" ht="13.5" customHeight="1">
      <c r="A2132" s="8" t="s">
        <v>1622</v>
      </c>
      <c r="B2132" s="8">
        <v>29633.0</v>
      </c>
      <c r="C2132" s="8"/>
      <c r="D2132" s="8"/>
      <c r="E2132" s="8"/>
      <c r="F2132" s="8"/>
    </row>
    <row r="2133" ht="13.5" customHeight="1">
      <c r="A2133" s="8" t="s">
        <v>1598</v>
      </c>
      <c r="B2133" s="8">
        <v>29764.0</v>
      </c>
      <c r="C2133" s="8"/>
      <c r="D2133" s="8"/>
      <c r="E2133" s="8"/>
      <c r="F2133" s="8"/>
    </row>
    <row r="2134" ht="13.5" customHeight="1">
      <c r="A2134" s="8" t="s">
        <v>1598</v>
      </c>
      <c r="B2134" s="8">
        <v>29958.0</v>
      </c>
      <c r="C2134" s="8"/>
      <c r="D2134" s="8"/>
      <c r="E2134" s="8"/>
      <c r="F2134" s="8"/>
    </row>
    <row r="2135" ht="13.5" customHeight="1">
      <c r="A2135" s="8" t="s">
        <v>1597</v>
      </c>
      <c r="B2135" s="8">
        <v>31616.0</v>
      </c>
      <c r="C2135" s="8"/>
      <c r="D2135" s="8"/>
      <c r="E2135" s="8"/>
      <c r="F2135" s="8"/>
    </row>
    <row r="2136" ht="13.5" customHeight="1">
      <c r="A2136" s="8" t="s">
        <v>1597</v>
      </c>
      <c r="B2136" s="8">
        <v>31907.0</v>
      </c>
      <c r="C2136" s="8"/>
      <c r="D2136" s="8"/>
      <c r="E2136" s="8"/>
      <c r="F2136" s="8"/>
    </row>
    <row r="2137" ht="13.5" customHeight="1">
      <c r="A2137" s="8" t="s">
        <v>1620</v>
      </c>
      <c r="B2137" s="8">
        <v>32001.0</v>
      </c>
      <c r="C2137" s="8"/>
      <c r="D2137" s="8"/>
      <c r="E2137" s="8"/>
      <c r="F2137" s="8"/>
    </row>
    <row r="2138" ht="13.5" customHeight="1">
      <c r="A2138" s="8" t="s">
        <v>1610</v>
      </c>
      <c r="B2138" s="8">
        <v>32069.0</v>
      </c>
      <c r="C2138" s="8"/>
      <c r="D2138" s="8"/>
      <c r="E2138" s="8"/>
      <c r="F2138" s="8"/>
    </row>
    <row r="2139" ht="13.5" customHeight="1">
      <c r="A2139" s="8" t="s">
        <v>1623</v>
      </c>
      <c r="B2139" s="8">
        <v>32102.0</v>
      </c>
      <c r="C2139" s="8"/>
      <c r="D2139" s="8"/>
      <c r="E2139" s="8"/>
      <c r="F2139" s="8"/>
    </row>
    <row r="2140" ht="13.5" customHeight="1">
      <c r="A2140" s="8" t="s">
        <v>1598</v>
      </c>
      <c r="B2140" s="8">
        <v>32450.0</v>
      </c>
      <c r="C2140" s="8"/>
      <c r="D2140" s="8"/>
      <c r="E2140" s="8"/>
      <c r="F2140" s="8"/>
    </row>
    <row r="2141" ht="13.5" customHeight="1">
      <c r="A2141" s="8" t="s">
        <v>1609</v>
      </c>
      <c r="B2141" s="8">
        <v>32546.0</v>
      </c>
      <c r="C2141" s="8"/>
      <c r="D2141" s="8"/>
      <c r="E2141" s="8"/>
      <c r="F2141" s="8"/>
    </row>
    <row r="2142" ht="13.5" customHeight="1">
      <c r="A2142" s="8" t="s">
        <v>1622</v>
      </c>
      <c r="B2142" s="8">
        <v>33029.0</v>
      </c>
      <c r="C2142" s="8"/>
      <c r="D2142" s="8"/>
      <c r="E2142" s="8"/>
      <c r="F2142" s="8"/>
    </row>
    <row r="2143" ht="13.5" customHeight="1">
      <c r="A2143" s="8" t="s">
        <v>1614</v>
      </c>
      <c r="B2143" s="8">
        <v>33061.0</v>
      </c>
      <c r="C2143" s="8"/>
      <c r="D2143" s="8"/>
      <c r="E2143" s="8"/>
      <c r="F2143" s="8"/>
    </row>
    <row r="2144" ht="13.5" customHeight="1">
      <c r="A2144" s="8" t="s">
        <v>1624</v>
      </c>
      <c r="B2144" s="8">
        <v>33478.0</v>
      </c>
      <c r="C2144" s="8"/>
      <c r="D2144" s="8"/>
      <c r="E2144" s="8"/>
      <c r="F2144" s="8"/>
    </row>
    <row r="2145" ht="13.5" customHeight="1">
      <c r="A2145" s="8" t="s">
        <v>1598</v>
      </c>
      <c r="B2145" s="8">
        <v>33540.0</v>
      </c>
      <c r="C2145" s="8"/>
      <c r="D2145" s="8"/>
      <c r="E2145" s="8"/>
      <c r="F2145" s="8"/>
    </row>
    <row r="2146" ht="13.5" customHeight="1">
      <c r="A2146" s="8" t="s">
        <v>1602</v>
      </c>
      <c r="B2146" s="8">
        <v>33862.0</v>
      </c>
      <c r="C2146" s="8"/>
      <c r="D2146" s="8"/>
      <c r="E2146" s="8"/>
      <c r="F2146" s="8"/>
    </row>
    <row r="2147" ht="13.5" customHeight="1">
      <c r="A2147" s="8" t="s">
        <v>1623</v>
      </c>
      <c r="B2147" s="8">
        <v>34470.0</v>
      </c>
      <c r="C2147" s="8"/>
      <c r="D2147" s="8"/>
      <c r="E2147" s="8"/>
      <c r="F2147" s="8"/>
    </row>
    <row r="2148" ht="13.5" customHeight="1">
      <c r="A2148" s="8" t="s">
        <v>1620</v>
      </c>
      <c r="B2148" s="8">
        <v>36161.0</v>
      </c>
      <c r="C2148" s="8"/>
      <c r="D2148" s="8"/>
      <c r="E2148" s="8"/>
      <c r="F2148" s="8"/>
    </row>
    <row r="2149" ht="13.5" customHeight="1">
      <c r="A2149" s="8" t="s">
        <v>1598</v>
      </c>
      <c r="B2149" s="8">
        <v>37760.0</v>
      </c>
      <c r="C2149" s="8"/>
      <c r="D2149" s="8"/>
      <c r="E2149" s="8"/>
      <c r="F2149" s="8"/>
    </row>
    <row r="2150" ht="13.5" customHeight="1">
      <c r="A2150" s="8" t="s">
        <v>1598</v>
      </c>
      <c r="B2150" s="8">
        <v>37895.0</v>
      </c>
      <c r="C2150" s="8"/>
      <c r="D2150" s="8"/>
      <c r="E2150" s="8"/>
      <c r="F2150" s="8"/>
    </row>
    <row r="2151" ht="13.5" customHeight="1">
      <c r="A2151" s="8" t="s">
        <v>1358</v>
      </c>
      <c r="B2151" s="8">
        <v>38403.0</v>
      </c>
      <c r="C2151" s="8"/>
      <c r="D2151" s="8"/>
      <c r="E2151" s="8"/>
      <c r="F2151" s="8"/>
    </row>
    <row r="2152" ht="13.5" customHeight="1">
      <c r="A2152" s="8" t="s">
        <v>1623</v>
      </c>
      <c r="B2152" s="8">
        <v>38630.0</v>
      </c>
      <c r="C2152" s="8"/>
      <c r="D2152" s="8"/>
      <c r="E2152" s="8"/>
      <c r="F2152" s="8"/>
    </row>
    <row r="2153" ht="13.5" customHeight="1">
      <c r="A2153" s="8" t="s">
        <v>1603</v>
      </c>
      <c r="B2153" s="8">
        <v>40165.0</v>
      </c>
      <c r="C2153" s="8"/>
      <c r="D2153" s="8"/>
      <c r="E2153" s="8"/>
      <c r="F2153" s="8"/>
    </row>
    <row r="2154" ht="13.5" customHeight="1">
      <c r="A2154" s="8" t="s">
        <v>1598</v>
      </c>
      <c r="B2154" s="8">
        <v>40194.0</v>
      </c>
      <c r="C2154" s="8"/>
      <c r="D2154" s="8"/>
      <c r="E2154" s="8"/>
      <c r="F2154" s="8"/>
    </row>
    <row r="2155" ht="13.5" customHeight="1">
      <c r="A2155" s="8" t="s">
        <v>1627</v>
      </c>
      <c r="B2155" s="8">
        <v>40454.0</v>
      </c>
      <c r="C2155" s="8"/>
      <c r="D2155" s="8"/>
      <c r="E2155" s="8"/>
      <c r="F2155" s="8"/>
    </row>
    <row r="2156" ht="13.5" customHeight="1">
      <c r="A2156" s="8" t="s">
        <v>1598</v>
      </c>
      <c r="B2156" s="8">
        <v>40672.0</v>
      </c>
      <c r="C2156" s="8"/>
      <c r="D2156" s="8"/>
      <c r="E2156" s="8"/>
      <c r="F2156" s="8"/>
    </row>
    <row r="2157" ht="13.5" customHeight="1">
      <c r="A2157" s="8" t="s">
        <v>1358</v>
      </c>
      <c r="B2157" s="8">
        <v>40833.0</v>
      </c>
      <c r="C2157" s="8"/>
      <c r="D2157" s="8"/>
      <c r="E2157" s="8"/>
      <c r="F2157" s="8"/>
    </row>
    <row r="2158" ht="13.5" customHeight="1">
      <c r="A2158" s="8" t="s">
        <v>1628</v>
      </c>
      <c r="B2158" s="8">
        <v>41441.0</v>
      </c>
      <c r="C2158" s="8"/>
      <c r="D2158" s="8"/>
      <c r="E2158" s="8"/>
      <c r="F2158" s="8"/>
    </row>
    <row r="2159" ht="13.5" customHeight="1">
      <c r="A2159" s="8" t="s">
        <v>1623</v>
      </c>
      <c r="B2159" s="8">
        <v>43076.0</v>
      </c>
      <c r="C2159" s="8"/>
      <c r="D2159" s="8"/>
      <c r="E2159" s="8"/>
      <c r="F2159" s="8"/>
    </row>
    <row r="2160" ht="13.5" customHeight="1">
      <c r="A2160" s="8" t="s">
        <v>1600</v>
      </c>
      <c r="B2160" s="8">
        <v>43233.0</v>
      </c>
      <c r="C2160" s="8"/>
      <c r="D2160" s="8"/>
      <c r="E2160" s="8"/>
      <c r="F2160" s="8"/>
    </row>
    <row r="2161" ht="13.5" customHeight="1">
      <c r="A2161" s="8" t="s">
        <v>1609</v>
      </c>
      <c r="B2161" s="8">
        <v>43332.0</v>
      </c>
      <c r="C2161" s="8"/>
      <c r="D2161" s="8"/>
      <c r="E2161" s="8"/>
      <c r="F2161" s="8"/>
    </row>
    <row r="2162" ht="13.5" customHeight="1">
      <c r="A2162" s="8" t="s">
        <v>287</v>
      </c>
      <c r="B2162" s="8">
        <v>43362.0</v>
      </c>
      <c r="C2162" s="8"/>
      <c r="D2162" s="8"/>
      <c r="E2162" s="8"/>
      <c r="F2162" s="8"/>
    </row>
    <row r="2163" ht="13.5" customHeight="1">
      <c r="A2163" s="8" t="s">
        <v>1358</v>
      </c>
      <c r="B2163" s="8">
        <v>43488.0</v>
      </c>
      <c r="C2163" s="8"/>
      <c r="D2163" s="8"/>
      <c r="E2163" s="8"/>
      <c r="F2163" s="8"/>
    </row>
    <row r="2164" ht="13.5" customHeight="1">
      <c r="A2164" s="8" t="s">
        <v>1598</v>
      </c>
      <c r="B2164" s="8">
        <v>43526.0</v>
      </c>
      <c r="C2164" s="8"/>
      <c r="D2164" s="8"/>
      <c r="E2164" s="8"/>
      <c r="F2164" s="8"/>
    </row>
    <row r="2165" ht="13.5" customHeight="1">
      <c r="A2165" s="8" t="s">
        <v>1631</v>
      </c>
      <c r="B2165" s="8">
        <v>44134.0</v>
      </c>
      <c r="C2165" s="8"/>
      <c r="D2165" s="8"/>
      <c r="E2165" s="8"/>
      <c r="F2165" s="8"/>
    </row>
    <row r="2166" ht="13.5" customHeight="1">
      <c r="A2166" s="8" t="s">
        <v>1627</v>
      </c>
      <c r="B2166" s="8">
        <v>44196.0</v>
      </c>
      <c r="C2166" s="8"/>
      <c r="D2166" s="8"/>
      <c r="E2166" s="8"/>
      <c r="F2166" s="8"/>
    </row>
    <row r="2167" ht="13.5" customHeight="1">
      <c r="A2167" s="8" t="s">
        <v>1627</v>
      </c>
      <c r="B2167" s="8">
        <v>44358.0</v>
      </c>
      <c r="C2167" s="8"/>
      <c r="D2167" s="8"/>
      <c r="E2167" s="8"/>
      <c r="F2167" s="8"/>
    </row>
    <row r="2168" ht="13.5" customHeight="1">
      <c r="A2168" s="8" t="s">
        <v>1623</v>
      </c>
      <c r="B2168" s="8">
        <v>44480.0</v>
      </c>
      <c r="C2168" s="8"/>
      <c r="D2168" s="8"/>
      <c r="E2168" s="8"/>
      <c r="F2168" s="8"/>
    </row>
    <row r="2169" ht="13.5" customHeight="1">
      <c r="A2169" s="8" t="s">
        <v>1623</v>
      </c>
      <c r="B2169" s="8">
        <v>44546.0</v>
      </c>
      <c r="C2169" s="8"/>
      <c r="D2169" s="8"/>
      <c r="E2169" s="8"/>
      <c r="F2169" s="8"/>
    </row>
    <row r="2170" ht="13.5" customHeight="1">
      <c r="A2170" s="8" t="s">
        <v>1613</v>
      </c>
      <c r="B2170" s="8">
        <v>44647.0</v>
      </c>
      <c r="C2170" s="8"/>
      <c r="D2170" s="8"/>
      <c r="E2170" s="8"/>
      <c r="F2170" s="8"/>
    </row>
    <row r="2171" ht="13.5" customHeight="1">
      <c r="A2171" s="8" t="s">
        <v>1602</v>
      </c>
      <c r="B2171" s="8">
        <v>45376.0</v>
      </c>
      <c r="C2171" s="8"/>
      <c r="D2171" s="8"/>
      <c r="E2171" s="8"/>
      <c r="F2171" s="8"/>
    </row>
    <row r="2172" ht="13.5" customHeight="1">
      <c r="A2172" s="8" t="s">
        <v>1628</v>
      </c>
      <c r="B2172" s="8">
        <v>46115.0</v>
      </c>
      <c r="C2172" s="8"/>
      <c r="D2172" s="8"/>
      <c r="E2172" s="8"/>
      <c r="F2172" s="8"/>
    </row>
    <row r="2173" ht="13.5" customHeight="1">
      <c r="A2173" s="8" t="s">
        <v>1628</v>
      </c>
      <c r="B2173" s="8">
        <v>47109.0</v>
      </c>
      <c r="C2173" s="8"/>
      <c r="D2173" s="8"/>
      <c r="E2173" s="8"/>
      <c r="F2173" s="8"/>
    </row>
    <row r="2174" ht="13.5" customHeight="1">
      <c r="A2174" s="8" t="s">
        <v>1623</v>
      </c>
      <c r="B2174" s="8">
        <v>47556.0</v>
      </c>
      <c r="C2174" s="8"/>
      <c r="D2174" s="8"/>
      <c r="E2174" s="8"/>
      <c r="F2174" s="8"/>
    </row>
    <row r="2175" ht="13.5" customHeight="1">
      <c r="A2175" s="8" t="s">
        <v>1631</v>
      </c>
      <c r="B2175" s="8">
        <v>47712.0</v>
      </c>
      <c r="C2175" s="8"/>
      <c r="D2175" s="8"/>
      <c r="E2175" s="8"/>
      <c r="F2175" s="8"/>
    </row>
    <row r="2176" ht="13.5" customHeight="1">
      <c r="A2176" s="8" t="s">
        <v>1396</v>
      </c>
      <c r="B2176" s="8">
        <v>48135.0</v>
      </c>
      <c r="C2176" s="8"/>
      <c r="D2176" s="8"/>
      <c r="E2176" s="8"/>
      <c r="F2176" s="8"/>
    </row>
    <row r="2177" ht="13.5" customHeight="1">
      <c r="A2177" s="8" t="s">
        <v>1600</v>
      </c>
      <c r="B2177" s="8">
        <v>48161.0</v>
      </c>
      <c r="C2177" s="8"/>
      <c r="D2177" s="8"/>
      <c r="E2177" s="8"/>
      <c r="F2177" s="8"/>
    </row>
    <row r="2178" ht="13.5" customHeight="1">
      <c r="A2178" s="8" t="s">
        <v>1598</v>
      </c>
      <c r="B2178" s="8">
        <v>48515.0</v>
      </c>
      <c r="C2178" s="8"/>
      <c r="D2178" s="8"/>
      <c r="E2178" s="8"/>
      <c r="F2178" s="8"/>
    </row>
    <row r="2179" ht="13.5" customHeight="1">
      <c r="A2179" s="8" t="s">
        <v>1623</v>
      </c>
      <c r="B2179" s="8">
        <v>50567.0</v>
      </c>
      <c r="C2179" s="8"/>
      <c r="D2179" s="8"/>
      <c r="E2179" s="8"/>
      <c r="F2179" s="8"/>
    </row>
    <row r="2180" ht="13.5" customHeight="1">
      <c r="A2180" s="8" t="s">
        <v>1358</v>
      </c>
      <c r="B2180" s="8">
        <v>51623.0</v>
      </c>
      <c r="C2180" s="8"/>
      <c r="D2180" s="8"/>
      <c r="E2180" s="8"/>
      <c r="F2180" s="8"/>
    </row>
    <row r="2181" ht="13.5" customHeight="1">
      <c r="A2181" s="8" t="s">
        <v>1609</v>
      </c>
      <c r="B2181" s="8">
        <v>52194.0</v>
      </c>
      <c r="C2181" s="8"/>
      <c r="D2181" s="8"/>
      <c r="E2181" s="8"/>
      <c r="F2181" s="8"/>
    </row>
    <row r="2182" ht="13.5" customHeight="1">
      <c r="A2182" s="8" t="s">
        <v>1594</v>
      </c>
      <c r="B2182" s="8">
        <v>52291.0</v>
      </c>
      <c r="C2182" s="8"/>
      <c r="D2182" s="8"/>
      <c r="E2182" s="8"/>
      <c r="F2182" s="8"/>
    </row>
    <row r="2183" ht="13.5" customHeight="1">
      <c r="A2183" s="8" t="s">
        <v>1601</v>
      </c>
      <c r="B2183" s="8">
        <v>54370.0</v>
      </c>
      <c r="C2183" s="8"/>
      <c r="D2183" s="8"/>
      <c r="E2183" s="8"/>
      <c r="F2183" s="8"/>
    </row>
    <row r="2184" ht="13.5" customHeight="1">
      <c r="A2184" s="8" t="s">
        <v>1601</v>
      </c>
      <c r="B2184" s="8">
        <v>54659.0</v>
      </c>
      <c r="C2184" s="8"/>
      <c r="D2184" s="8"/>
      <c r="E2184" s="8"/>
      <c r="F2184" s="8"/>
    </row>
    <row r="2185" ht="13.5" customHeight="1">
      <c r="A2185" s="8" t="s">
        <v>1616</v>
      </c>
      <c r="B2185" s="8">
        <v>54981.0</v>
      </c>
      <c r="C2185" s="8"/>
      <c r="D2185" s="8"/>
      <c r="E2185" s="8"/>
      <c r="F2185" s="8"/>
    </row>
    <row r="2186" ht="13.5" customHeight="1">
      <c r="A2186" s="8" t="s">
        <v>1620</v>
      </c>
      <c r="B2186" s="8">
        <v>55361.0</v>
      </c>
      <c r="C2186" s="8"/>
      <c r="D2186" s="8"/>
      <c r="E2186" s="8"/>
      <c r="F2186" s="8"/>
    </row>
    <row r="2187" ht="13.5" customHeight="1">
      <c r="A2187" s="8" t="s">
        <v>1628</v>
      </c>
      <c r="B2187" s="8">
        <v>55908.0</v>
      </c>
      <c r="C2187" s="8"/>
      <c r="D2187" s="8"/>
      <c r="E2187" s="8"/>
      <c r="F2187" s="8"/>
    </row>
    <row r="2188" ht="13.5" customHeight="1">
      <c r="A2188" s="8" t="s">
        <v>1631</v>
      </c>
      <c r="B2188" s="8">
        <v>56257.0</v>
      </c>
      <c r="C2188" s="8"/>
      <c r="D2188" s="8"/>
      <c r="E2188" s="8"/>
      <c r="F2188" s="8"/>
    </row>
    <row r="2189" ht="13.5" customHeight="1">
      <c r="A2189" s="8" t="s">
        <v>1602</v>
      </c>
      <c r="B2189" s="8">
        <v>57029.0</v>
      </c>
      <c r="C2189" s="8"/>
      <c r="D2189" s="8"/>
      <c r="E2189" s="8"/>
      <c r="F2189" s="8"/>
    </row>
    <row r="2190" ht="13.5" customHeight="1">
      <c r="A2190" s="8" t="s">
        <v>1278</v>
      </c>
      <c r="B2190" s="8">
        <v>58145.0</v>
      </c>
      <c r="C2190" s="8"/>
      <c r="D2190" s="8"/>
      <c r="E2190" s="8"/>
      <c r="F2190" s="8"/>
    </row>
    <row r="2191" ht="13.5" customHeight="1">
      <c r="A2191" s="8" t="s">
        <v>1358</v>
      </c>
      <c r="B2191" s="8">
        <v>58151.0</v>
      </c>
      <c r="C2191" s="8"/>
      <c r="D2191" s="8"/>
      <c r="E2191" s="8"/>
      <c r="F2191" s="8"/>
    </row>
    <row r="2192" ht="13.5" customHeight="1">
      <c r="A2192" s="8" t="s">
        <v>1628</v>
      </c>
      <c r="B2192" s="8">
        <v>58659.0</v>
      </c>
      <c r="C2192" s="8"/>
      <c r="D2192" s="8"/>
      <c r="E2192" s="8"/>
      <c r="F2192" s="8"/>
    </row>
    <row r="2193" ht="13.5" customHeight="1">
      <c r="A2193" s="8" t="s">
        <v>1600</v>
      </c>
      <c r="B2193" s="8">
        <v>58727.0</v>
      </c>
      <c r="C2193" s="8"/>
      <c r="D2193" s="8"/>
      <c r="E2193" s="8"/>
      <c r="F2193" s="8"/>
    </row>
    <row r="2194" ht="13.5" customHeight="1">
      <c r="A2194" s="8" t="s">
        <v>1635</v>
      </c>
      <c r="B2194" s="8">
        <v>1537.0</v>
      </c>
      <c r="C2194" s="8"/>
      <c r="D2194" s="8"/>
      <c r="E2194" s="8"/>
      <c r="F2194" s="8"/>
    </row>
    <row r="2195" ht="13.5" customHeight="1">
      <c r="A2195" s="8" t="s">
        <v>1457</v>
      </c>
      <c r="B2195" s="8">
        <v>4580.0</v>
      </c>
      <c r="C2195" s="8"/>
      <c r="D2195" s="8"/>
      <c r="E2195" s="8"/>
      <c r="F2195" s="8"/>
    </row>
    <row r="2196" ht="13.5" customHeight="1">
      <c r="A2196" s="8" t="s">
        <v>1591</v>
      </c>
      <c r="B2196" s="8">
        <v>8097.0</v>
      </c>
      <c r="C2196" s="8"/>
      <c r="D2196" s="8"/>
      <c r="E2196" s="8"/>
      <c r="F2196" s="8"/>
    </row>
    <row r="2197" ht="13.5" customHeight="1">
      <c r="A2197" s="8" t="s">
        <v>1637</v>
      </c>
      <c r="B2197" s="8">
        <v>8677.0</v>
      </c>
      <c r="C2197" s="8"/>
      <c r="D2197" s="8"/>
      <c r="E2197" s="8"/>
      <c r="F2197" s="8"/>
    </row>
    <row r="2198" ht="13.5" customHeight="1">
      <c r="A2198" s="8" t="s">
        <v>1496</v>
      </c>
      <c r="B2198" s="8">
        <v>10114.0</v>
      </c>
      <c r="C2198" s="8"/>
      <c r="D2198" s="8"/>
      <c r="E2198" s="8"/>
      <c r="F2198" s="8"/>
    </row>
    <row r="2199" ht="13.5" customHeight="1">
      <c r="A2199" s="8" t="s">
        <v>1555</v>
      </c>
      <c r="B2199" s="8">
        <v>11236.0</v>
      </c>
      <c r="C2199" s="8"/>
      <c r="D2199" s="8"/>
      <c r="E2199" s="8"/>
      <c r="F2199" s="8"/>
    </row>
    <row r="2200" ht="13.5" customHeight="1">
      <c r="A2200" s="8" t="s">
        <v>1493</v>
      </c>
      <c r="B2200" s="8">
        <v>11687.0</v>
      </c>
      <c r="C2200" s="8"/>
      <c r="D2200" s="8"/>
      <c r="E2200" s="8"/>
      <c r="F2200" s="8"/>
    </row>
    <row r="2201" ht="13.5" customHeight="1">
      <c r="A2201" s="8" t="s">
        <v>1264</v>
      </c>
      <c r="B2201" s="8">
        <v>12643.0</v>
      </c>
      <c r="C2201" s="8"/>
      <c r="D2201" s="8"/>
      <c r="E2201" s="8"/>
      <c r="F2201" s="8"/>
    </row>
    <row r="2202" ht="13.5" customHeight="1">
      <c r="A2202" s="8" t="s">
        <v>1484</v>
      </c>
      <c r="B2202" s="8">
        <v>13089.0</v>
      </c>
      <c r="C2202" s="8"/>
      <c r="D2202" s="8"/>
      <c r="E2202" s="8"/>
      <c r="F2202" s="8"/>
    </row>
    <row r="2203" ht="13.5" customHeight="1">
      <c r="A2203" s="8" t="s">
        <v>1509</v>
      </c>
      <c r="B2203" s="8">
        <v>13378.0</v>
      </c>
      <c r="C2203" s="8"/>
      <c r="D2203" s="8"/>
      <c r="E2203" s="8"/>
      <c r="F2203" s="8"/>
    </row>
    <row r="2204" ht="13.5" customHeight="1">
      <c r="A2204" s="8" t="s">
        <v>1477</v>
      </c>
      <c r="B2204" s="8">
        <v>13824.0</v>
      </c>
      <c r="C2204" s="8"/>
      <c r="D2204" s="8"/>
      <c r="E2204" s="8"/>
      <c r="F2204" s="8"/>
    </row>
    <row r="2205" ht="13.5" customHeight="1">
      <c r="A2205" s="8" t="s">
        <v>1383</v>
      </c>
      <c r="B2205" s="8">
        <v>18562.0</v>
      </c>
      <c r="C2205" s="8"/>
      <c r="D2205" s="8"/>
      <c r="E2205" s="8"/>
      <c r="F2205" s="8"/>
    </row>
    <row r="2206" ht="13.5" customHeight="1">
      <c r="A2206" s="8" t="s">
        <v>1544</v>
      </c>
      <c r="B2206" s="8">
        <v>20737.0</v>
      </c>
      <c r="C2206" s="8"/>
      <c r="D2206" s="8"/>
      <c r="E2206" s="8"/>
      <c r="F2206" s="8"/>
    </row>
    <row r="2207" ht="13.5" customHeight="1">
      <c r="A2207" s="8" t="s">
        <v>1639</v>
      </c>
      <c r="B2207" s="8">
        <v>20900.0</v>
      </c>
      <c r="C2207" s="8"/>
      <c r="D2207" s="8"/>
      <c r="E2207" s="8"/>
      <c r="F2207" s="8"/>
    </row>
    <row r="2208" ht="13.5" customHeight="1">
      <c r="A2208" s="8" t="s">
        <v>1489</v>
      </c>
      <c r="B2208" s="8">
        <v>26658.0</v>
      </c>
      <c r="C2208" s="8"/>
      <c r="D2208" s="8"/>
      <c r="E2208" s="8"/>
      <c r="F2208" s="8"/>
    </row>
    <row r="2209" ht="13.5" customHeight="1">
      <c r="A2209" s="8" t="s">
        <v>1637</v>
      </c>
      <c r="B2209" s="8">
        <v>27271.0</v>
      </c>
      <c r="C2209" s="8"/>
      <c r="D2209" s="8"/>
      <c r="E2209" s="8"/>
      <c r="F2209" s="8"/>
    </row>
    <row r="2210" ht="13.5" customHeight="1">
      <c r="A2210" s="8" t="s">
        <v>1485</v>
      </c>
      <c r="B2210" s="8">
        <v>28001.0</v>
      </c>
      <c r="C2210" s="8"/>
      <c r="D2210" s="8"/>
      <c r="E2210" s="8"/>
      <c r="F2210" s="8"/>
    </row>
    <row r="2211" ht="13.5" customHeight="1">
      <c r="A2211" s="8" t="s">
        <v>1466</v>
      </c>
      <c r="B2211" s="8">
        <v>28161.0</v>
      </c>
      <c r="C2211" s="8"/>
      <c r="D2211" s="8"/>
      <c r="E2211" s="8"/>
      <c r="F2211" s="8"/>
    </row>
    <row r="2212" ht="13.5" customHeight="1">
      <c r="A2212" s="8" t="s">
        <v>1462</v>
      </c>
      <c r="B2212" s="8">
        <v>29350.0</v>
      </c>
      <c r="C2212" s="8"/>
      <c r="D2212" s="8"/>
      <c r="E2212" s="8"/>
      <c r="F2212" s="8"/>
    </row>
    <row r="2213" ht="13.5" customHeight="1">
      <c r="A2213" s="8" t="s">
        <v>1545</v>
      </c>
      <c r="B2213" s="8">
        <v>29666.0</v>
      </c>
      <c r="C2213" s="8"/>
      <c r="D2213" s="8"/>
      <c r="E2213" s="8"/>
      <c r="F2213" s="8"/>
    </row>
    <row r="2214" ht="13.5" customHeight="1">
      <c r="A2214" s="8" t="s">
        <v>1462</v>
      </c>
      <c r="B2214" s="8">
        <v>29700.0</v>
      </c>
      <c r="C2214" s="8"/>
      <c r="D2214" s="8"/>
      <c r="E2214" s="8"/>
      <c r="F2214" s="8"/>
    </row>
    <row r="2215" ht="13.5" customHeight="1">
      <c r="A2215" s="8" t="s">
        <v>1470</v>
      </c>
      <c r="B2215" s="8">
        <v>30754.0</v>
      </c>
      <c r="C2215" s="8"/>
      <c r="D2215" s="8"/>
      <c r="E2215" s="8"/>
      <c r="F2215" s="8"/>
    </row>
    <row r="2216" ht="13.5" customHeight="1">
      <c r="A2216" s="8" t="s">
        <v>1532</v>
      </c>
      <c r="B2216" s="8">
        <v>31650.0</v>
      </c>
      <c r="C2216" s="8"/>
      <c r="D2216" s="8"/>
      <c r="E2216" s="8"/>
      <c r="F2216" s="8"/>
    </row>
    <row r="2217" ht="13.5" customHeight="1">
      <c r="A2217" s="8" t="s">
        <v>1494</v>
      </c>
      <c r="B2217" s="8">
        <v>32292.0</v>
      </c>
      <c r="C2217" s="8"/>
      <c r="D2217" s="8"/>
      <c r="E2217" s="8"/>
      <c r="F2217" s="8"/>
    </row>
    <row r="2218" ht="13.5" customHeight="1">
      <c r="A2218" s="8" t="s">
        <v>1491</v>
      </c>
      <c r="B2218" s="8">
        <v>35201.0</v>
      </c>
      <c r="C2218" s="8"/>
      <c r="D2218" s="8"/>
      <c r="E2218" s="8"/>
      <c r="F2218" s="8"/>
    </row>
    <row r="2219" ht="13.5" customHeight="1">
      <c r="A2219" s="8" t="s">
        <v>1490</v>
      </c>
      <c r="B2219" s="8">
        <v>35360.0</v>
      </c>
      <c r="C2219" s="8"/>
      <c r="D2219" s="8"/>
      <c r="E2219" s="8"/>
      <c r="F2219" s="8"/>
    </row>
    <row r="2220" ht="13.5" customHeight="1">
      <c r="A2220" s="8" t="s">
        <v>1406</v>
      </c>
      <c r="B2220" s="8">
        <v>35492.0</v>
      </c>
      <c r="C2220" s="8"/>
      <c r="D2220" s="8"/>
      <c r="E2220" s="8"/>
      <c r="F2220" s="8"/>
    </row>
    <row r="2221" ht="13.5" customHeight="1">
      <c r="A2221" s="8" t="s">
        <v>1489</v>
      </c>
      <c r="B2221" s="8">
        <v>37473.0</v>
      </c>
      <c r="C2221" s="8"/>
      <c r="D2221" s="8"/>
      <c r="E2221" s="8"/>
      <c r="F2221" s="8"/>
    </row>
    <row r="2222" ht="13.5" customHeight="1">
      <c r="A2222" s="8" t="s">
        <v>1575</v>
      </c>
      <c r="B2222" s="8">
        <v>39079.0</v>
      </c>
      <c r="C2222" s="8"/>
      <c r="D2222" s="8"/>
      <c r="E2222" s="8"/>
      <c r="F2222" s="8"/>
    </row>
    <row r="2223" ht="13.5" customHeight="1">
      <c r="A2223" s="8" t="s">
        <v>79</v>
      </c>
      <c r="B2223" s="8">
        <v>40356.0</v>
      </c>
      <c r="C2223" s="8"/>
      <c r="D2223" s="8"/>
      <c r="E2223" s="8"/>
      <c r="F2223" s="8"/>
    </row>
    <row r="2224" ht="13.5" customHeight="1">
      <c r="A2224" s="8" t="s">
        <v>1501</v>
      </c>
      <c r="B2224" s="8">
        <v>42599.0</v>
      </c>
      <c r="C2224" s="8"/>
      <c r="D2224" s="8"/>
      <c r="E2224" s="8"/>
      <c r="F2224" s="8"/>
    </row>
    <row r="2225" ht="13.5" customHeight="1">
      <c r="A2225" s="8" t="s">
        <v>1464</v>
      </c>
      <c r="B2225" s="8">
        <v>45670.0</v>
      </c>
      <c r="C2225" s="8"/>
      <c r="D2225" s="8"/>
      <c r="E2225" s="8"/>
      <c r="F2225" s="8"/>
    </row>
    <row r="2226" ht="13.5" customHeight="1">
      <c r="A2226" s="8" t="s">
        <v>79</v>
      </c>
      <c r="B2226" s="8">
        <v>47617.0</v>
      </c>
      <c r="C2226" s="8"/>
      <c r="D2226" s="8"/>
      <c r="E2226" s="8"/>
      <c r="F2226" s="8"/>
    </row>
    <row r="2227" ht="13.5" customHeight="1">
      <c r="A2227" s="8" t="s">
        <v>1543</v>
      </c>
      <c r="B2227" s="8">
        <v>47842.0</v>
      </c>
      <c r="C2227" s="8"/>
      <c r="D2227" s="8"/>
      <c r="E2227" s="8"/>
      <c r="F2227" s="8"/>
    </row>
    <row r="2228" ht="13.5" customHeight="1">
      <c r="A2228" s="8" t="s">
        <v>1481</v>
      </c>
      <c r="B2228" s="8">
        <v>48548.0</v>
      </c>
      <c r="C2228" s="8"/>
      <c r="D2228" s="8"/>
      <c r="E2228" s="8"/>
      <c r="F2228" s="8"/>
    </row>
    <row r="2229" ht="13.5" customHeight="1">
      <c r="A2229" s="8" t="s">
        <v>1483</v>
      </c>
      <c r="B2229" s="8">
        <v>49056.0</v>
      </c>
      <c r="C2229" s="8"/>
      <c r="D2229" s="8"/>
      <c r="E2229" s="8"/>
      <c r="F2229" s="8"/>
    </row>
    <row r="2230" ht="13.5" customHeight="1">
      <c r="A2230" s="8" t="s">
        <v>1553</v>
      </c>
      <c r="B2230" s="8">
        <v>50759.0</v>
      </c>
      <c r="C2230" s="8"/>
      <c r="D2230" s="8"/>
      <c r="E2230" s="8"/>
      <c r="F2230" s="8"/>
    </row>
    <row r="2231" ht="13.5" customHeight="1">
      <c r="A2231" s="8" t="s">
        <v>598</v>
      </c>
      <c r="B2231" s="8">
        <v>51556.0</v>
      </c>
      <c r="C2231" s="8"/>
      <c r="D2231" s="8"/>
      <c r="E2231" s="8"/>
      <c r="F2231" s="8"/>
    </row>
    <row r="2232" ht="13.5" customHeight="1">
      <c r="A2232" s="8" t="s">
        <v>1494</v>
      </c>
      <c r="B2232" s="8">
        <v>51620.0</v>
      </c>
      <c r="C2232" s="8"/>
      <c r="D2232" s="8"/>
      <c r="E2232" s="8"/>
      <c r="F2232" s="8"/>
    </row>
    <row r="2233" ht="13.5" customHeight="1">
      <c r="A2233" s="8" t="s">
        <v>1588</v>
      </c>
      <c r="B2233" s="8">
        <v>52837.0</v>
      </c>
      <c r="C2233" s="8"/>
      <c r="D2233" s="8"/>
      <c r="E2233" s="8"/>
      <c r="F2233" s="8"/>
    </row>
    <row r="2234" ht="13.5" customHeight="1">
      <c r="A2234" s="8" t="s">
        <v>1530</v>
      </c>
      <c r="B2234" s="8">
        <v>54592.0</v>
      </c>
      <c r="C2234" s="8"/>
      <c r="D2234" s="8"/>
      <c r="E2234" s="8"/>
      <c r="F2234" s="8"/>
    </row>
    <row r="2235" ht="13.5" customHeight="1">
      <c r="A2235" s="8" t="s">
        <v>1560</v>
      </c>
      <c r="B2235" s="8">
        <v>55202.0</v>
      </c>
      <c r="C2235" s="8"/>
      <c r="D2235" s="8"/>
      <c r="E2235" s="8"/>
      <c r="F2235" s="8"/>
    </row>
    <row r="2236" ht="13.5" customHeight="1">
      <c r="A2236" s="8" t="s">
        <v>1512</v>
      </c>
      <c r="B2236" s="8">
        <v>57894.0</v>
      </c>
      <c r="C2236" s="8"/>
      <c r="D2236" s="8"/>
      <c r="E2236" s="8"/>
      <c r="F2236" s="8"/>
    </row>
    <row r="2237" ht="13.5" customHeight="1">
      <c r="A2237" s="8" t="s">
        <v>1459</v>
      </c>
      <c r="B2237" s="8">
        <v>1191.0</v>
      </c>
      <c r="C2237" s="8"/>
      <c r="D2237" s="8"/>
      <c r="E2237" s="8"/>
      <c r="F2237" s="8"/>
    </row>
    <row r="2238" ht="13.5" customHeight="1">
      <c r="A2238" s="8" t="s">
        <v>1527</v>
      </c>
      <c r="B2238" s="8">
        <v>1985.0</v>
      </c>
      <c r="C2238" s="8"/>
      <c r="D2238" s="8"/>
      <c r="E2238" s="8"/>
      <c r="F2238" s="8"/>
    </row>
    <row r="2239" ht="13.5" customHeight="1">
      <c r="A2239" s="8" t="s">
        <v>1509</v>
      </c>
      <c r="B2239" s="8">
        <v>1988.0</v>
      </c>
      <c r="C2239" s="8"/>
      <c r="D2239" s="8"/>
      <c r="E2239" s="8"/>
      <c r="F2239" s="8"/>
    </row>
    <row r="2240" ht="13.5" customHeight="1">
      <c r="A2240" s="8" t="s">
        <v>1644</v>
      </c>
      <c r="B2240" s="8">
        <v>2305.0</v>
      </c>
      <c r="C2240" s="8"/>
      <c r="D2240" s="8"/>
      <c r="E2240" s="8"/>
      <c r="F2240" s="8"/>
    </row>
    <row r="2241" ht="13.5" customHeight="1">
      <c r="A2241" s="8" t="s">
        <v>1509</v>
      </c>
      <c r="B2241" s="8">
        <v>3877.0</v>
      </c>
      <c r="C2241" s="8"/>
      <c r="D2241" s="8"/>
      <c r="E2241" s="8"/>
      <c r="F2241" s="8"/>
    </row>
    <row r="2242" ht="13.5" customHeight="1">
      <c r="A2242" s="8" t="s">
        <v>1570</v>
      </c>
      <c r="B2242" s="8">
        <v>4103.0</v>
      </c>
      <c r="C2242" s="8"/>
      <c r="D2242" s="8"/>
      <c r="E2242" s="8"/>
      <c r="F2242" s="8"/>
    </row>
    <row r="2243" ht="13.5" customHeight="1">
      <c r="A2243" s="8" t="s">
        <v>1496</v>
      </c>
      <c r="B2243" s="8">
        <v>4455.0</v>
      </c>
      <c r="C2243" s="8"/>
      <c r="D2243" s="8"/>
      <c r="E2243" s="8"/>
      <c r="F2243" s="8"/>
    </row>
    <row r="2244" ht="13.5" customHeight="1">
      <c r="A2244" s="8" t="s">
        <v>1558</v>
      </c>
      <c r="B2244" s="8">
        <v>6086.0</v>
      </c>
      <c r="C2244" s="8"/>
      <c r="D2244" s="8"/>
      <c r="E2244" s="8"/>
      <c r="F2244" s="8"/>
    </row>
    <row r="2245" ht="13.5" customHeight="1">
      <c r="A2245" s="8" t="s">
        <v>1538</v>
      </c>
      <c r="B2245" s="8">
        <v>6912.0</v>
      </c>
      <c r="C2245" s="8"/>
      <c r="D2245" s="8"/>
      <c r="E2245" s="8"/>
      <c r="F2245" s="8"/>
    </row>
    <row r="2246" ht="13.5" customHeight="1">
      <c r="A2246" s="8" t="s">
        <v>1485</v>
      </c>
      <c r="B2246" s="8">
        <v>6950.0</v>
      </c>
      <c r="C2246" s="8"/>
      <c r="D2246" s="8"/>
      <c r="E2246" s="8"/>
      <c r="F2246" s="8"/>
    </row>
    <row r="2247" ht="13.5" customHeight="1">
      <c r="A2247" s="8" t="s">
        <v>1526</v>
      </c>
      <c r="B2247" s="8">
        <v>7075.0</v>
      </c>
      <c r="C2247" s="8"/>
      <c r="D2247" s="8"/>
      <c r="E2247" s="8"/>
      <c r="F2247" s="8"/>
    </row>
    <row r="2248" ht="13.5" customHeight="1">
      <c r="A2248" s="8" t="s">
        <v>1575</v>
      </c>
      <c r="B2248" s="8">
        <v>8065.0</v>
      </c>
      <c r="C2248" s="8"/>
      <c r="D2248" s="8"/>
      <c r="E2248" s="8"/>
      <c r="F2248" s="8"/>
    </row>
    <row r="2249" ht="13.5" customHeight="1">
      <c r="A2249" s="8" t="s">
        <v>1639</v>
      </c>
      <c r="B2249" s="8">
        <v>8292.0</v>
      </c>
      <c r="C2249" s="8"/>
      <c r="D2249" s="8"/>
      <c r="E2249" s="8"/>
      <c r="F2249" s="8"/>
    </row>
    <row r="2250" ht="13.5" customHeight="1">
      <c r="A2250" s="8" t="s">
        <v>1487</v>
      </c>
      <c r="B2250" s="8">
        <v>8513.0</v>
      </c>
      <c r="C2250" s="8"/>
      <c r="D2250" s="8"/>
      <c r="E2250" s="8"/>
      <c r="F2250" s="8"/>
    </row>
    <row r="2251" ht="13.5" customHeight="1">
      <c r="A2251" s="8" t="s">
        <v>1329</v>
      </c>
      <c r="B2251" s="8">
        <v>9635.0</v>
      </c>
      <c r="C2251" s="8"/>
      <c r="D2251" s="8"/>
      <c r="E2251" s="8"/>
      <c r="F2251" s="8"/>
    </row>
    <row r="2252" ht="13.5" customHeight="1">
      <c r="A2252" s="8" t="s">
        <v>1459</v>
      </c>
      <c r="B2252" s="8">
        <v>10436.0</v>
      </c>
      <c r="C2252" s="8"/>
      <c r="D2252" s="8"/>
      <c r="E2252" s="8"/>
      <c r="F2252" s="8"/>
    </row>
    <row r="2253" ht="13.5" customHeight="1">
      <c r="A2253" s="8" t="s">
        <v>1593</v>
      </c>
      <c r="B2253" s="8">
        <v>10752.0</v>
      </c>
      <c r="C2253" s="8"/>
      <c r="D2253" s="8"/>
      <c r="E2253" s="8"/>
      <c r="F2253" s="8"/>
    </row>
    <row r="2254" ht="13.5" customHeight="1">
      <c r="A2254" s="8" t="s">
        <v>1501</v>
      </c>
      <c r="B2254" s="8">
        <v>11779.0</v>
      </c>
      <c r="C2254" s="8"/>
      <c r="D2254" s="8"/>
      <c r="E2254" s="8"/>
      <c r="F2254" s="8"/>
    </row>
    <row r="2255" ht="13.5" customHeight="1">
      <c r="A2255" s="8" t="s">
        <v>1524</v>
      </c>
      <c r="B2255" s="8">
        <v>12515.0</v>
      </c>
      <c r="C2255" s="8"/>
      <c r="D2255" s="8"/>
      <c r="E2255" s="8"/>
      <c r="F2255" s="8"/>
    </row>
    <row r="2256" ht="13.5" customHeight="1">
      <c r="A2256" s="8" t="s">
        <v>1545</v>
      </c>
      <c r="B2256" s="8">
        <v>12580.0</v>
      </c>
      <c r="C2256" s="8"/>
      <c r="D2256" s="8"/>
      <c r="E2256" s="8"/>
      <c r="F2256" s="8"/>
    </row>
    <row r="2257" ht="13.5" customHeight="1">
      <c r="A2257" s="8" t="s">
        <v>1591</v>
      </c>
      <c r="B2257" s="8">
        <v>12931.0</v>
      </c>
      <c r="C2257" s="8"/>
      <c r="D2257" s="8"/>
      <c r="E2257" s="8"/>
      <c r="F2257" s="8"/>
    </row>
    <row r="2258" ht="13.5" customHeight="1">
      <c r="A2258" s="8" t="s">
        <v>1487</v>
      </c>
      <c r="B2258" s="8">
        <v>13027.0</v>
      </c>
      <c r="C2258" s="8"/>
      <c r="D2258" s="8"/>
      <c r="E2258" s="8"/>
      <c r="F2258" s="8"/>
    </row>
    <row r="2259" ht="13.5" customHeight="1">
      <c r="A2259" s="8" t="s">
        <v>1582</v>
      </c>
      <c r="B2259" s="8">
        <v>13572.0</v>
      </c>
      <c r="C2259" s="8"/>
      <c r="D2259" s="8"/>
      <c r="E2259" s="8"/>
      <c r="F2259" s="8"/>
    </row>
    <row r="2260" ht="13.5" customHeight="1">
      <c r="A2260" s="8" t="s">
        <v>1489</v>
      </c>
      <c r="B2260" s="8">
        <v>13731.0</v>
      </c>
      <c r="C2260" s="8"/>
      <c r="D2260" s="8"/>
      <c r="E2260" s="8"/>
      <c r="F2260" s="8"/>
    </row>
    <row r="2261" ht="13.5" customHeight="1">
      <c r="A2261" s="8" t="s">
        <v>1520</v>
      </c>
      <c r="B2261" s="8">
        <v>14112.0</v>
      </c>
      <c r="C2261" s="8"/>
      <c r="D2261" s="8"/>
      <c r="E2261" s="8"/>
      <c r="F2261" s="8"/>
    </row>
    <row r="2262" ht="13.5" customHeight="1">
      <c r="A2262" s="8" t="s">
        <v>1462</v>
      </c>
      <c r="B2262" s="8">
        <v>17216.0</v>
      </c>
      <c r="C2262" s="8"/>
      <c r="D2262" s="8"/>
      <c r="E2262" s="8"/>
      <c r="F2262" s="8"/>
    </row>
    <row r="2263" ht="13.5" customHeight="1">
      <c r="A2263" s="8" t="s">
        <v>1471</v>
      </c>
      <c r="B2263" s="8">
        <v>17953.0</v>
      </c>
      <c r="C2263" s="8"/>
      <c r="D2263" s="8"/>
      <c r="E2263" s="8"/>
      <c r="F2263" s="8"/>
    </row>
    <row r="2264" ht="13.5" customHeight="1">
      <c r="A2264" s="8" t="s">
        <v>1591</v>
      </c>
      <c r="B2264" s="8">
        <v>17959.0</v>
      </c>
      <c r="C2264" s="8"/>
      <c r="D2264" s="8"/>
      <c r="E2264" s="8"/>
      <c r="F2264" s="8"/>
    </row>
    <row r="2265" ht="13.5" customHeight="1">
      <c r="A2265" s="8" t="s">
        <v>1578</v>
      </c>
      <c r="B2265" s="8">
        <v>18017.0</v>
      </c>
      <c r="C2265" s="8"/>
      <c r="D2265" s="8"/>
      <c r="E2265" s="8"/>
      <c r="F2265" s="8"/>
    </row>
    <row r="2266" ht="13.5" customHeight="1">
      <c r="A2266" s="8" t="s">
        <v>1495</v>
      </c>
      <c r="B2266" s="8">
        <v>18373.0</v>
      </c>
      <c r="C2266" s="8"/>
      <c r="D2266" s="8"/>
      <c r="E2266" s="8"/>
      <c r="F2266" s="8"/>
    </row>
    <row r="2267" ht="13.5" customHeight="1">
      <c r="A2267" s="8" t="s">
        <v>1639</v>
      </c>
      <c r="B2267" s="8">
        <v>19558.0</v>
      </c>
      <c r="C2267" s="8"/>
      <c r="D2267" s="8"/>
      <c r="E2267" s="8"/>
      <c r="F2267" s="8"/>
    </row>
    <row r="2268" ht="13.5" customHeight="1">
      <c r="A2268" s="8" t="s">
        <v>1509</v>
      </c>
      <c r="B2268" s="8">
        <v>20518.0</v>
      </c>
      <c r="C2268" s="8"/>
      <c r="D2268" s="8"/>
      <c r="E2268" s="8"/>
      <c r="F2268" s="8"/>
    </row>
    <row r="2269" ht="13.5" customHeight="1">
      <c r="A2269" s="8" t="s">
        <v>1532</v>
      </c>
      <c r="B2269" s="8">
        <v>20903.0</v>
      </c>
      <c r="C2269" s="8"/>
      <c r="D2269" s="8"/>
      <c r="E2269" s="8"/>
      <c r="F2269" s="8"/>
    </row>
    <row r="2270" ht="13.5" customHeight="1">
      <c r="A2270" s="8" t="s">
        <v>1471</v>
      </c>
      <c r="B2270" s="8">
        <v>21606.0</v>
      </c>
      <c r="C2270" s="8"/>
      <c r="D2270" s="8"/>
      <c r="E2270" s="8"/>
      <c r="F2270" s="8"/>
    </row>
    <row r="2271" ht="13.5" customHeight="1">
      <c r="A2271" s="8" t="s">
        <v>1637</v>
      </c>
      <c r="B2271" s="8">
        <v>22183.0</v>
      </c>
      <c r="C2271" s="8"/>
      <c r="D2271" s="8"/>
      <c r="E2271" s="8"/>
      <c r="F2271" s="8"/>
    </row>
    <row r="2272" ht="13.5" customHeight="1">
      <c r="A2272" s="8" t="s">
        <v>1538</v>
      </c>
      <c r="B2272" s="8">
        <v>23522.0</v>
      </c>
      <c r="C2272" s="8"/>
      <c r="D2272" s="8"/>
      <c r="E2272" s="8"/>
      <c r="F2272" s="8"/>
    </row>
    <row r="2273" ht="13.5" customHeight="1">
      <c r="A2273" s="8" t="s">
        <v>1495</v>
      </c>
      <c r="B2273" s="8">
        <v>23968.0</v>
      </c>
      <c r="C2273" s="8"/>
      <c r="D2273" s="8"/>
      <c r="E2273" s="8"/>
      <c r="F2273" s="8"/>
    </row>
    <row r="2274" ht="13.5" customHeight="1">
      <c r="A2274" s="8" t="s">
        <v>1581</v>
      </c>
      <c r="B2274" s="8">
        <v>25472.0</v>
      </c>
      <c r="C2274" s="8"/>
      <c r="D2274" s="8"/>
      <c r="E2274" s="8"/>
      <c r="F2274" s="8"/>
    </row>
    <row r="2275" ht="13.5" customHeight="1">
      <c r="A2275" s="8" t="s">
        <v>1406</v>
      </c>
      <c r="B2275" s="8">
        <v>25955.0</v>
      </c>
      <c r="C2275" s="8"/>
      <c r="D2275" s="8"/>
      <c r="E2275" s="8"/>
      <c r="F2275" s="8"/>
    </row>
    <row r="2276" ht="13.5" customHeight="1">
      <c r="A2276" s="8" t="s">
        <v>1550</v>
      </c>
      <c r="B2276" s="8">
        <v>26306.0</v>
      </c>
      <c r="C2276" s="8"/>
      <c r="D2276" s="8"/>
      <c r="E2276" s="8"/>
      <c r="F2276" s="8"/>
    </row>
    <row r="2277" ht="13.5" customHeight="1">
      <c r="A2277" s="8" t="s">
        <v>1560</v>
      </c>
      <c r="B2277" s="8">
        <v>26724.0</v>
      </c>
      <c r="C2277" s="8"/>
      <c r="D2277" s="8"/>
      <c r="E2277" s="8"/>
      <c r="F2277" s="8"/>
    </row>
    <row r="2278" ht="13.5" customHeight="1">
      <c r="A2278" s="8" t="s">
        <v>1488</v>
      </c>
      <c r="B2278" s="8">
        <v>26784.0</v>
      </c>
      <c r="C2278" s="8"/>
      <c r="D2278" s="8"/>
      <c r="E2278" s="8"/>
      <c r="F2278" s="8"/>
    </row>
    <row r="2279" ht="13.5" customHeight="1">
      <c r="A2279" s="8" t="s">
        <v>1544</v>
      </c>
      <c r="B2279" s="8">
        <v>26949.0</v>
      </c>
      <c r="C2279" s="8"/>
      <c r="D2279" s="8"/>
      <c r="E2279" s="8"/>
      <c r="F2279" s="8"/>
    </row>
    <row r="2280" ht="13.5" customHeight="1">
      <c r="A2280" s="8" t="s">
        <v>1465</v>
      </c>
      <c r="B2280" s="8">
        <v>28992.0</v>
      </c>
      <c r="C2280" s="8"/>
      <c r="D2280" s="8"/>
      <c r="E2280" s="8"/>
      <c r="F2280" s="8"/>
    </row>
    <row r="2281" ht="13.5" customHeight="1">
      <c r="A2281" s="8" t="s">
        <v>1544</v>
      </c>
      <c r="B2281" s="8">
        <v>30150.0</v>
      </c>
      <c r="C2281" s="8"/>
      <c r="D2281" s="8"/>
      <c r="E2281" s="8"/>
      <c r="F2281" s="8"/>
    </row>
    <row r="2282" ht="13.5" customHeight="1">
      <c r="A2282" s="8" t="s">
        <v>1459</v>
      </c>
      <c r="B2282" s="8">
        <v>30151.0</v>
      </c>
      <c r="C2282" s="8"/>
      <c r="D2282" s="8"/>
      <c r="E2282" s="8"/>
      <c r="F2282" s="8"/>
    </row>
    <row r="2283" ht="13.5" customHeight="1">
      <c r="A2283" s="8" t="s">
        <v>1457</v>
      </c>
      <c r="B2283" s="8">
        <v>30276.0</v>
      </c>
      <c r="C2283" s="8"/>
      <c r="D2283" s="8"/>
      <c r="E2283" s="8"/>
      <c r="F2283" s="8"/>
    </row>
    <row r="2284" ht="13.5" customHeight="1">
      <c r="A2284" s="8" t="s">
        <v>1639</v>
      </c>
      <c r="B2284" s="8">
        <v>30279.0</v>
      </c>
      <c r="C2284" s="8"/>
      <c r="D2284" s="8"/>
      <c r="E2284" s="8"/>
      <c r="F2284" s="8"/>
    </row>
    <row r="2285" ht="13.5" customHeight="1">
      <c r="A2285" s="8" t="s">
        <v>1516</v>
      </c>
      <c r="B2285" s="8">
        <v>32640.0</v>
      </c>
      <c r="C2285" s="8"/>
      <c r="D2285" s="8"/>
      <c r="E2285" s="8"/>
      <c r="F2285" s="8"/>
    </row>
    <row r="2286" ht="13.5" customHeight="1">
      <c r="A2286" s="8" t="s">
        <v>1651</v>
      </c>
      <c r="B2286" s="8">
        <v>32902.0</v>
      </c>
      <c r="C2286" s="8"/>
      <c r="D2286" s="8"/>
      <c r="E2286" s="8"/>
      <c r="F2286" s="8"/>
    </row>
    <row r="2287" ht="13.5" customHeight="1">
      <c r="A2287" s="8" t="s">
        <v>1575</v>
      </c>
      <c r="B2287" s="8">
        <v>33025.0</v>
      </c>
      <c r="C2287" s="8"/>
      <c r="D2287" s="8"/>
      <c r="E2287" s="8"/>
      <c r="F2287" s="8"/>
    </row>
    <row r="2288" ht="13.5" customHeight="1">
      <c r="A2288" s="8" t="s">
        <v>1473</v>
      </c>
      <c r="B2288" s="8">
        <v>33154.0</v>
      </c>
      <c r="C2288" s="8"/>
      <c r="D2288" s="8"/>
      <c r="E2288" s="8"/>
      <c r="F2288" s="8"/>
    </row>
    <row r="2289" ht="13.5" customHeight="1">
      <c r="A2289" s="8" t="s">
        <v>1582</v>
      </c>
      <c r="B2289" s="8">
        <v>33761.0</v>
      </c>
      <c r="C2289" s="8"/>
      <c r="D2289" s="8"/>
      <c r="E2289" s="8"/>
      <c r="F2289" s="8"/>
    </row>
    <row r="2290" ht="13.5" customHeight="1">
      <c r="A2290" s="8" t="s">
        <v>1487</v>
      </c>
      <c r="B2290" s="8">
        <v>34309.0</v>
      </c>
      <c r="C2290" s="8"/>
      <c r="D2290" s="8"/>
      <c r="E2290" s="8"/>
      <c r="F2290" s="8"/>
    </row>
    <row r="2291" ht="13.5" customHeight="1">
      <c r="A2291" s="8" t="s">
        <v>1545</v>
      </c>
      <c r="B2291" s="8">
        <v>34595.0</v>
      </c>
      <c r="C2291" s="8"/>
      <c r="D2291" s="8"/>
      <c r="E2291" s="8"/>
      <c r="F2291" s="8"/>
    </row>
    <row r="2292" ht="13.5" customHeight="1">
      <c r="A2292" s="8" t="s">
        <v>1556</v>
      </c>
      <c r="B2292" s="8">
        <v>34662.0</v>
      </c>
      <c r="C2292" s="8"/>
      <c r="D2292" s="8"/>
      <c r="E2292" s="8"/>
      <c r="F2292" s="8"/>
    </row>
    <row r="2293" ht="13.5" customHeight="1">
      <c r="A2293" s="8" t="s">
        <v>1491</v>
      </c>
      <c r="B2293" s="8">
        <v>34689.0</v>
      </c>
      <c r="C2293" s="8"/>
      <c r="D2293" s="8"/>
      <c r="E2293" s="8"/>
      <c r="F2293" s="8"/>
    </row>
    <row r="2294" ht="13.5" customHeight="1">
      <c r="A2294" s="8" t="s">
        <v>1532</v>
      </c>
      <c r="B2294" s="8">
        <v>34694.0</v>
      </c>
      <c r="C2294" s="8"/>
      <c r="D2294" s="8"/>
      <c r="E2294" s="8"/>
      <c r="F2294" s="8"/>
    </row>
    <row r="2295" ht="13.5" customHeight="1">
      <c r="A2295" s="8" t="s">
        <v>1487</v>
      </c>
      <c r="B2295" s="8">
        <v>34725.0</v>
      </c>
      <c r="C2295" s="8"/>
      <c r="D2295" s="8"/>
      <c r="E2295" s="8"/>
      <c r="F2295" s="8"/>
    </row>
    <row r="2296" ht="13.5" customHeight="1">
      <c r="A2296" s="8" t="s">
        <v>1521</v>
      </c>
      <c r="B2296" s="8">
        <v>35296.0</v>
      </c>
      <c r="C2296" s="8"/>
      <c r="D2296" s="8"/>
      <c r="E2296" s="8"/>
      <c r="F2296" s="8"/>
    </row>
    <row r="2297" ht="13.5" customHeight="1">
      <c r="A2297" s="8" t="s">
        <v>1562</v>
      </c>
      <c r="B2297" s="8">
        <v>35494.0</v>
      </c>
      <c r="C2297" s="8"/>
      <c r="D2297" s="8"/>
      <c r="E2297" s="8"/>
      <c r="F2297" s="8"/>
    </row>
    <row r="2298" ht="13.5" customHeight="1">
      <c r="A2298" s="8" t="s">
        <v>1533</v>
      </c>
      <c r="B2298" s="8">
        <v>35845.0</v>
      </c>
      <c r="C2298" s="8"/>
      <c r="D2298" s="8"/>
      <c r="E2298" s="8"/>
      <c r="F2298" s="8"/>
    </row>
    <row r="2299" ht="13.5" customHeight="1">
      <c r="A2299" s="8" t="s">
        <v>1533</v>
      </c>
      <c r="B2299" s="8">
        <v>35905.0</v>
      </c>
      <c r="C2299" s="8"/>
      <c r="D2299" s="8"/>
      <c r="E2299" s="8"/>
      <c r="F2299" s="8"/>
    </row>
    <row r="2300" ht="13.5" customHeight="1">
      <c r="A2300" s="8" t="s">
        <v>1582</v>
      </c>
      <c r="B2300" s="8">
        <v>37731.0</v>
      </c>
      <c r="C2300" s="8"/>
      <c r="D2300" s="8"/>
      <c r="E2300" s="8"/>
      <c r="F2300" s="8"/>
    </row>
    <row r="2301" ht="13.5" customHeight="1">
      <c r="A2301" s="8" t="s">
        <v>1653</v>
      </c>
      <c r="B2301" s="8">
        <v>37893.0</v>
      </c>
      <c r="C2301" s="8"/>
      <c r="D2301" s="8"/>
      <c r="E2301" s="8"/>
      <c r="F2301" s="8"/>
    </row>
    <row r="2302" ht="13.5" customHeight="1">
      <c r="A2302" s="8" t="s">
        <v>79</v>
      </c>
      <c r="B2302" s="8">
        <v>38564.0</v>
      </c>
      <c r="C2302" s="8"/>
      <c r="D2302" s="8"/>
      <c r="E2302" s="8"/>
      <c r="F2302" s="8"/>
    </row>
    <row r="2303" ht="13.5" customHeight="1">
      <c r="A2303" s="8" t="s">
        <v>1383</v>
      </c>
      <c r="B2303" s="8">
        <v>39169.0</v>
      </c>
      <c r="C2303" s="8"/>
      <c r="D2303" s="8"/>
      <c r="E2303" s="8"/>
      <c r="F2303" s="8"/>
    </row>
    <row r="2304" ht="13.5" customHeight="1">
      <c r="A2304" s="8" t="s">
        <v>1495</v>
      </c>
      <c r="B2304" s="8">
        <v>39238.0</v>
      </c>
      <c r="C2304" s="8"/>
      <c r="D2304" s="8"/>
      <c r="E2304" s="8"/>
      <c r="F2304" s="8"/>
    </row>
    <row r="2305" ht="13.5" customHeight="1">
      <c r="A2305" s="8" t="s">
        <v>1506</v>
      </c>
      <c r="B2305" s="8">
        <v>39426.0</v>
      </c>
      <c r="C2305" s="8"/>
      <c r="D2305" s="8"/>
      <c r="E2305" s="8"/>
      <c r="F2305" s="8"/>
    </row>
    <row r="2306" ht="13.5" customHeight="1">
      <c r="A2306" s="8" t="s">
        <v>1530</v>
      </c>
      <c r="B2306" s="8">
        <v>41350.0</v>
      </c>
      <c r="C2306" s="8"/>
      <c r="D2306" s="8"/>
      <c r="E2306" s="8"/>
      <c r="F2306" s="8"/>
    </row>
    <row r="2307" ht="13.5" customHeight="1">
      <c r="A2307" s="8" t="s">
        <v>1556</v>
      </c>
      <c r="B2307" s="8">
        <v>42471.0</v>
      </c>
      <c r="C2307" s="8"/>
      <c r="D2307" s="8"/>
      <c r="E2307" s="8"/>
      <c r="F2307" s="8"/>
    </row>
    <row r="2308" ht="13.5" customHeight="1">
      <c r="A2308" s="8" t="s">
        <v>1560</v>
      </c>
      <c r="B2308" s="8">
        <v>42529.0</v>
      </c>
      <c r="C2308" s="8"/>
      <c r="D2308" s="8"/>
      <c r="E2308" s="8"/>
      <c r="F2308" s="8"/>
    </row>
    <row r="2309" ht="13.5" customHeight="1">
      <c r="A2309" s="8" t="s">
        <v>1506</v>
      </c>
      <c r="B2309" s="8">
        <v>43200.0</v>
      </c>
      <c r="C2309" s="8"/>
      <c r="D2309" s="8"/>
      <c r="E2309" s="8"/>
      <c r="F2309" s="8"/>
    </row>
    <row r="2310" ht="13.5" customHeight="1">
      <c r="A2310" s="8" t="s">
        <v>1653</v>
      </c>
      <c r="B2310" s="8">
        <v>43553.0</v>
      </c>
      <c r="C2310" s="8"/>
      <c r="D2310" s="8"/>
      <c r="E2310" s="8"/>
      <c r="F2310" s="8"/>
    </row>
    <row r="2311" ht="13.5" customHeight="1">
      <c r="A2311" s="8" t="s">
        <v>1456</v>
      </c>
      <c r="B2311" s="8">
        <v>44033.0</v>
      </c>
      <c r="C2311" s="8"/>
      <c r="D2311" s="8"/>
      <c r="E2311" s="8"/>
      <c r="F2311" s="8"/>
    </row>
    <row r="2312" ht="13.5" customHeight="1">
      <c r="A2312" s="8" t="s">
        <v>1456</v>
      </c>
      <c r="B2312" s="8">
        <v>44065.0</v>
      </c>
      <c r="C2312" s="8"/>
      <c r="D2312" s="8"/>
      <c r="E2312" s="8"/>
      <c r="F2312" s="8"/>
    </row>
    <row r="2313" ht="13.5" customHeight="1">
      <c r="A2313" s="8" t="s">
        <v>1482</v>
      </c>
      <c r="B2313" s="8">
        <v>45030.0</v>
      </c>
      <c r="C2313" s="8"/>
      <c r="D2313" s="8"/>
      <c r="E2313" s="8"/>
      <c r="F2313" s="8"/>
    </row>
    <row r="2314" ht="13.5" customHeight="1">
      <c r="A2314" s="8" t="s">
        <v>1481</v>
      </c>
      <c r="B2314" s="8">
        <v>46341.0</v>
      </c>
      <c r="C2314" s="8"/>
      <c r="D2314" s="8"/>
      <c r="E2314" s="8"/>
      <c r="F2314" s="8"/>
    </row>
    <row r="2315" ht="13.5" customHeight="1">
      <c r="A2315" s="8" t="s">
        <v>1492</v>
      </c>
      <c r="B2315" s="8">
        <v>46368.0</v>
      </c>
      <c r="C2315" s="8"/>
      <c r="D2315" s="8"/>
      <c r="E2315" s="8"/>
      <c r="F2315" s="8"/>
    </row>
    <row r="2316" ht="13.5" customHeight="1">
      <c r="A2316" s="8" t="s">
        <v>1552</v>
      </c>
      <c r="B2316" s="8">
        <v>47012.0</v>
      </c>
      <c r="C2316" s="8"/>
      <c r="D2316" s="8"/>
      <c r="E2316" s="8"/>
      <c r="F2316" s="8"/>
    </row>
    <row r="2317" ht="13.5" customHeight="1">
      <c r="A2317" s="8" t="s">
        <v>1590</v>
      </c>
      <c r="B2317" s="8">
        <v>47621.0</v>
      </c>
      <c r="C2317" s="8"/>
      <c r="D2317" s="8"/>
      <c r="E2317" s="8"/>
      <c r="F2317" s="8"/>
    </row>
    <row r="2318" ht="13.5" customHeight="1">
      <c r="A2318" s="8" t="s">
        <v>1511</v>
      </c>
      <c r="B2318" s="8">
        <v>49443.0</v>
      </c>
      <c r="C2318" s="8"/>
      <c r="D2318" s="8"/>
      <c r="E2318" s="8"/>
      <c r="F2318" s="8"/>
    </row>
    <row r="2319" ht="13.5" customHeight="1">
      <c r="A2319" s="8" t="s">
        <v>1530</v>
      </c>
      <c r="B2319" s="8">
        <v>49824.0</v>
      </c>
      <c r="C2319" s="8"/>
      <c r="D2319" s="8"/>
      <c r="E2319" s="8"/>
      <c r="F2319" s="8"/>
    </row>
    <row r="2320" ht="13.5" customHeight="1">
      <c r="A2320" s="8" t="s">
        <v>1639</v>
      </c>
      <c r="B2320" s="8">
        <v>51047.0</v>
      </c>
      <c r="C2320" s="8"/>
      <c r="D2320" s="8"/>
      <c r="E2320" s="8"/>
      <c r="F2320" s="8"/>
    </row>
    <row r="2321" ht="13.5" customHeight="1">
      <c r="A2321" s="8" t="s">
        <v>1588</v>
      </c>
      <c r="B2321" s="8">
        <v>56260.0</v>
      </c>
      <c r="C2321" s="8"/>
      <c r="D2321" s="8"/>
      <c r="E2321" s="8"/>
      <c r="F2321" s="8"/>
    </row>
    <row r="2322" ht="13.5" customHeight="1">
      <c r="A2322" s="8" t="s">
        <v>815</v>
      </c>
      <c r="B2322" s="8">
        <v>58337.0</v>
      </c>
      <c r="C2322" s="8"/>
      <c r="D2322" s="8"/>
      <c r="E2322" s="8"/>
      <c r="F2322" s="8"/>
    </row>
    <row r="2323" ht="13.5" customHeight="1">
      <c r="A2323" s="8" t="s">
        <v>1490</v>
      </c>
      <c r="B2323" s="8">
        <v>58343.0</v>
      </c>
      <c r="C2323" s="8"/>
      <c r="D2323" s="8"/>
      <c r="E2323" s="8"/>
      <c r="F2323" s="8"/>
    </row>
    <row r="2324" ht="13.5" customHeight="1">
      <c r="A2324" s="8" t="s">
        <v>1566</v>
      </c>
      <c r="B2324" s="8">
        <v>59714.0</v>
      </c>
      <c r="C2324" s="8"/>
      <c r="D2324" s="8"/>
      <c r="E2324" s="8"/>
      <c r="F2324" s="8"/>
    </row>
    <row r="2325" ht="13.5" customHeight="1">
      <c r="A2325" s="8" t="s">
        <v>1611</v>
      </c>
      <c r="B2325" s="8">
        <v>70.0</v>
      </c>
      <c r="C2325" s="8"/>
      <c r="D2325" s="8"/>
      <c r="E2325" s="8"/>
      <c r="F2325" s="8"/>
    </row>
    <row r="2326" ht="13.5" customHeight="1">
      <c r="A2326" s="8" t="s">
        <v>1659</v>
      </c>
      <c r="B2326" s="8">
        <v>135.0</v>
      </c>
      <c r="C2326" s="8"/>
      <c r="D2326" s="8"/>
      <c r="E2326" s="8"/>
      <c r="F2326" s="8"/>
    </row>
    <row r="2327" ht="13.5" customHeight="1">
      <c r="A2327" s="8" t="s">
        <v>929</v>
      </c>
      <c r="B2327" s="8">
        <v>193.0</v>
      </c>
      <c r="C2327" s="8"/>
      <c r="D2327" s="8"/>
      <c r="E2327" s="8"/>
      <c r="F2327" s="8"/>
    </row>
    <row r="2328" ht="13.5" customHeight="1">
      <c r="A2328" s="8" t="s">
        <v>1563</v>
      </c>
      <c r="B2328" s="8">
        <v>225.0</v>
      </c>
      <c r="C2328" s="8"/>
      <c r="D2328" s="8"/>
      <c r="E2328" s="8"/>
      <c r="F2328" s="8"/>
    </row>
    <row r="2329" ht="13.5" customHeight="1">
      <c r="A2329" s="8" t="s">
        <v>1660</v>
      </c>
      <c r="B2329" s="8">
        <v>290.0</v>
      </c>
      <c r="C2329" s="8"/>
      <c r="D2329" s="8"/>
      <c r="E2329" s="8"/>
      <c r="F2329" s="8"/>
    </row>
    <row r="2330" ht="13.5" customHeight="1">
      <c r="A2330" s="8" t="s">
        <v>969</v>
      </c>
      <c r="B2330" s="8">
        <v>644.0</v>
      </c>
      <c r="C2330" s="8"/>
      <c r="D2330" s="8"/>
      <c r="E2330" s="8"/>
      <c r="F2330" s="8"/>
    </row>
    <row r="2331" ht="13.5" customHeight="1">
      <c r="A2331" s="8" t="s">
        <v>1661</v>
      </c>
      <c r="B2331" s="8">
        <v>738.0</v>
      </c>
      <c r="C2331" s="8"/>
      <c r="D2331" s="8"/>
      <c r="E2331" s="8"/>
      <c r="F2331" s="8"/>
    </row>
    <row r="2332" ht="13.5" customHeight="1">
      <c r="A2332" s="8" t="s">
        <v>1662</v>
      </c>
      <c r="B2332" s="8">
        <v>772.0</v>
      </c>
      <c r="C2332" s="8"/>
      <c r="D2332" s="8"/>
      <c r="E2332" s="8"/>
      <c r="F2332" s="8"/>
    </row>
    <row r="2333" ht="13.5" customHeight="1">
      <c r="A2333" s="8" t="s">
        <v>1072</v>
      </c>
      <c r="B2333" s="8">
        <v>1189.0</v>
      </c>
      <c r="C2333" s="8"/>
      <c r="D2333" s="8"/>
      <c r="E2333" s="8"/>
      <c r="F2333" s="8"/>
    </row>
    <row r="2334" ht="13.5" customHeight="1">
      <c r="A2334" s="8" t="s">
        <v>1072</v>
      </c>
      <c r="B2334" s="8">
        <v>1825.0</v>
      </c>
      <c r="C2334" s="8"/>
      <c r="D2334" s="8"/>
      <c r="E2334" s="8"/>
      <c r="F2334" s="8"/>
    </row>
    <row r="2335" ht="13.5" customHeight="1">
      <c r="A2335" s="8" t="s">
        <v>1661</v>
      </c>
      <c r="B2335" s="8">
        <v>2467.0</v>
      </c>
      <c r="C2335" s="8"/>
      <c r="D2335" s="8"/>
      <c r="E2335" s="8"/>
      <c r="F2335" s="8"/>
    </row>
    <row r="2336" ht="13.5" customHeight="1">
      <c r="A2336" s="8" t="s">
        <v>1662</v>
      </c>
      <c r="B2336" s="8">
        <v>3014.0</v>
      </c>
      <c r="C2336" s="8"/>
      <c r="D2336" s="8"/>
      <c r="E2336" s="8"/>
      <c r="F2336" s="8"/>
    </row>
    <row r="2337" ht="13.5" customHeight="1">
      <c r="A2337" s="8" t="s">
        <v>1666</v>
      </c>
      <c r="B2337" s="8">
        <v>3073.0</v>
      </c>
      <c r="C2337" s="8"/>
      <c r="D2337" s="8"/>
      <c r="E2337" s="8"/>
      <c r="F2337" s="8"/>
    </row>
    <row r="2338" ht="13.5" customHeight="1">
      <c r="A2338" s="8" t="s">
        <v>1666</v>
      </c>
      <c r="B2338" s="8">
        <v>3168.0</v>
      </c>
      <c r="C2338" s="8"/>
      <c r="D2338" s="8"/>
      <c r="E2338" s="8"/>
      <c r="F2338" s="8"/>
    </row>
    <row r="2339" ht="13.5" customHeight="1">
      <c r="A2339" s="8" t="s">
        <v>1670</v>
      </c>
      <c r="B2339" s="8">
        <v>3205.0</v>
      </c>
      <c r="C2339" s="8"/>
      <c r="D2339" s="8"/>
      <c r="E2339" s="8"/>
      <c r="F2339" s="8"/>
    </row>
    <row r="2340" ht="13.5" customHeight="1">
      <c r="A2340" s="8" t="s">
        <v>657</v>
      </c>
      <c r="B2340" s="8">
        <v>3559.0</v>
      </c>
      <c r="C2340" s="8"/>
      <c r="D2340" s="8"/>
      <c r="E2340" s="8"/>
      <c r="F2340" s="8"/>
    </row>
    <row r="2341" ht="13.5" customHeight="1">
      <c r="A2341" s="8" t="s">
        <v>727</v>
      </c>
      <c r="B2341" s="8">
        <v>3586.0</v>
      </c>
      <c r="C2341" s="8"/>
      <c r="D2341" s="8"/>
      <c r="E2341" s="8"/>
      <c r="F2341" s="8"/>
    </row>
    <row r="2342" ht="13.5" customHeight="1">
      <c r="A2342" s="8" t="s">
        <v>1072</v>
      </c>
      <c r="B2342" s="8">
        <v>3750.0</v>
      </c>
      <c r="C2342" s="8"/>
      <c r="D2342" s="8"/>
      <c r="E2342" s="8"/>
      <c r="F2342" s="8"/>
    </row>
    <row r="2343" ht="13.5" customHeight="1">
      <c r="A2343" s="8" t="s">
        <v>1671</v>
      </c>
      <c r="B2343" s="8">
        <v>3778.0</v>
      </c>
      <c r="C2343" s="8"/>
      <c r="D2343" s="8"/>
      <c r="E2343" s="8"/>
      <c r="F2343" s="8"/>
    </row>
    <row r="2344" ht="13.5" customHeight="1">
      <c r="A2344" s="8" t="s">
        <v>1672</v>
      </c>
      <c r="B2344" s="8">
        <v>3841.0</v>
      </c>
      <c r="C2344" s="8"/>
      <c r="D2344" s="8"/>
      <c r="E2344" s="8"/>
      <c r="F2344" s="8"/>
    </row>
    <row r="2345" ht="13.5" customHeight="1">
      <c r="A2345" s="8" t="s">
        <v>1673</v>
      </c>
      <c r="B2345" s="8">
        <v>4004.0</v>
      </c>
      <c r="C2345" s="8"/>
      <c r="D2345" s="8"/>
      <c r="E2345" s="8"/>
      <c r="F2345" s="8"/>
    </row>
    <row r="2346" ht="13.5" customHeight="1">
      <c r="A2346" s="8" t="s">
        <v>969</v>
      </c>
      <c r="B2346" s="8">
        <v>4096.0</v>
      </c>
      <c r="C2346" s="8"/>
      <c r="D2346" s="8"/>
      <c r="E2346" s="8"/>
      <c r="F2346" s="8"/>
    </row>
    <row r="2347" ht="13.5" customHeight="1">
      <c r="A2347" s="8" t="s">
        <v>1674</v>
      </c>
      <c r="B2347" s="8">
        <v>4769.0</v>
      </c>
      <c r="C2347" s="8"/>
      <c r="D2347" s="8"/>
      <c r="E2347" s="8"/>
      <c r="F2347" s="8"/>
    </row>
    <row r="2348" ht="13.5" customHeight="1">
      <c r="A2348" s="8" t="s">
        <v>1675</v>
      </c>
      <c r="B2348" s="8">
        <v>4800.0</v>
      </c>
      <c r="C2348" s="8"/>
      <c r="D2348" s="8"/>
      <c r="E2348" s="8"/>
      <c r="F2348" s="8"/>
    </row>
    <row r="2349" ht="13.5" customHeight="1">
      <c r="A2349" s="8" t="s">
        <v>1676</v>
      </c>
      <c r="B2349" s="8">
        <v>5543.0</v>
      </c>
      <c r="C2349" s="8"/>
      <c r="D2349" s="8"/>
      <c r="E2349" s="8"/>
      <c r="F2349" s="8"/>
    </row>
    <row r="2350" ht="13.5" customHeight="1">
      <c r="A2350" s="8" t="s">
        <v>1677</v>
      </c>
      <c r="B2350" s="8">
        <v>5636.0</v>
      </c>
      <c r="C2350" s="8"/>
      <c r="D2350" s="8"/>
      <c r="E2350" s="8"/>
      <c r="F2350" s="8"/>
    </row>
    <row r="2351" ht="13.5" customHeight="1">
      <c r="A2351" s="8" t="s">
        <v>1678</v>
      </c>
      <c r="B2351" s="8">
        <v>6050.0</v>
      </c>
      <c r="C2351" s="8"/>
      <c r="D2351" s="8"/>
      <c r="E2351" s="8"/>
      <c r="F2351" s="8"/>
    </row>
    <row r="2352" ht="13.5" customHeight="1">
      <c r="A2352" s="8" t="s">
        <v>1679</v>
      </c>
      <c r="B2352" s="8">
        <v>6148.0</v>
      </c>
      <c r="C2352" s="8"/>
      <c r="D2352" s="8"/>
      <c r="E2352" s="8"/>
      <c r="F2352" s="8"/>
    </row>
    <row r="2353" ht="13.5" customHeight="1">
      <c r="A2353" s="8" t="s">
        <v>1680</v>
      </c>
      <c r="B2353" s="8">
        <v>6727.0</v>
      </c>
      <c r="C2353" s="8"/>
      <c r="D2353" s="8"/>
      <c r="E2353" s="8"/>
      <c r="F2353" s="8"/>
    </row>
    <row r="2354" ht="13.5" customHeight="1">
      <c r="A2354" s="8" t="s">
        <v>1681</v>
      </c>
      <c r="B2354" s="8">
        <v>7079.0</v>
      </c>
      <c r="C2354" s="8"/>
      <c r="D2354" s="8"/>
      <c r="E2354" s="8"/>
      <c r="F2354" s="8"/>
    </row>
    <row r="2355" ht="13.5" customHeight="1">
      <c r="A2355" s="8" t="s">
        <v>657</v>
      </c>
      <c r="B2355" s="8">
        <v>7301.0</v>
      </c>
      <c r="C2355" s="8"/>
      <c r="D2355" s="8"/>
      <c r="E2355" s="8"/>
      <c r="F2355" s="8"/>
    </row>
    <row r="2356" ht="13.5" customHeight="1">
      <c r="A2356" s="8" t="s">
        <v>1673</v>
      </c>
      <c r="B2356" s="8">
        <v>7623.0</v>
      </c>
      <c r="C2356" s="8"/>
      <c r="D2356" s="8"/>
      <c r="E2356" s="8"/>
      <c r="F2356" s="8"/>
    </row>
    <row r="2357" ht="13.5" customHeight="1">
      <c r="A2357" s="8" t="s">
        <v>1672</v>
      </c>
      <c r="B2357" s="8">
        <v>8000.0</v>
      </c>
      <c r="C2357" s="8"/>
      <c r="D2357" s="8"/>
      <c r="E2357" s="8"/>
      <c r="F2357" s="8"/>
    </row>
    <row r="2358" ht="13.5" customHeight="1">
      <c r="A2358" s="8" t="s">
        <v>1678</v>
      </c>
      <c r="B2358" s="8">
        <v>8039.0</v>
      </c>
      <c r="C2358" s="8"/>
      <c r="D2358" s="8"/>
      <c r="E2358" s="8"/>
      <c r="F2358" s="8"/>
    </row>
    <row r="2359" ht="13.5" customHeight="1">
      <c r="A2359" s="8" t="s">
        <v>1679</v>
      </c>
      <c r="B2359" s="8">
        <v>8162.0</v>
      </c>
      <c r="C2359" s="8"/>
      <c r="D2359" s="8"/>
      <c r="E2359" s="8"/>
      <c r="F2359" s="8"/>
    </row>
    <row r="2360" ht="13.5" customHeight="1">
      <c r="A2360" s="8" t="s">
        <v>1679</v>
      </c>
      <c r="B2360" s="8">
        <v>8870.0</v>
      </c>
      <c r="C2360" s="8"/>
      <c r="D2360" s="8"/>
      <c r="E2360" s="8"/>
      <c r="F2360" s="8"/>
    </row>
    <row r="2361" ht="13.5" customHeight="1">
      <c r="A2361" s="8" t="s">
        <v>862</v>
      </c>
      <c r="B2361" s="8">
        <v>9253.0</v>
      </c>
      <c r="C2361" s="8"/>
      <c r="D2361" s="8"/>
      <c r="E2361" s="8"/>
      <c r="F2361" s="8"/>
    </row>
    <row r="2362" ht="13.5" customHeight="1">
      <c r="A2362" s="8" t="s">
        <v>1660</v>
      </c>
      <c r="B2362" s="8">
        <v>10722.0</v>
      </c>
      <c r="C2362" s="8"/>
      <c r="D2362" s="8"/>
      <c r="E2362" s="8"/>
      <c r="F2362" s="8"/>
    </row>
    <row r="2363" ht="13.5" customHeight="1">
      <c r="A2363" s="8" t="s">
        <v>1674</v>
      </c>
      <c r="B2363" s="8">
        <v>11527.0</v>
      </c>
      <c r="C2363" s="8"/>
      <c r="D2363" s="8"/>
      <c r="E2363" s="8"/>
      <c r="F2363" s="8"/>
    </row>
    <row r="2364" ht="13.5" customHeight="1">
      <c r="A2364" s="8" t="s">
        <v>1676</v>
      </c>
      <c r="B2364" s="8">
        <v>11683.0</v>
      </c>
      <c r="C2364" s="8"/>
      <c r="D2364" s="8"/>
      <c r="E2364" s="8"/>
      <c r="F2364" s="8"/>
    </row>
    <row r="2365" ht="13.5" customHeight="1">
      <c r="A2365" s="8" t="s">
        <v>1677</v>
      </c>
      <c r="B2365" s="8">
        <v>12448.0</v>
      </c>
      <c r="C2365" s="8"/>
      <c r="D2365" s="8"/>
      <c r="E2365" s="8"/>
      <c r="F2365" s="8"/>
    </row>
    <row r="2366" ht="13.5" customHeight="1">
      <c r="A2366" s="8" t="s">
        <v>1680</v>
      </c>
      <c r="B2366" s="8">
        <v>13028.0</v>
      </c>
      <c r="C2366" s="8"/>
      <c r="D2366" s="8"/>
      <c r="E2366" s="8"/>
      <c r="F2366" s="8"/>
    </row>
    <row r="2367" ht="13.5" customHeight="1">
      <c r="A2367" s="8" t="s">
        <v>1686</v>
      </c>
      <c r="B2367" s="8">
        <v>13156.0</v>
      </c>
      <c r="C2367" s="8"/>
      <c r="D2367" s="8"/>
      <c r="E2367" s="8"/>
      <c r="F2367" s="8"/>
    </row>
    <row r="2368" ht="13.5" customHeight="1">
      <c r="A2368" s="8" t="s">
        <v>1662</v>
      </c>
      <c r="B2368" s="8">
        <v>13252.0</v>
      </c>
      <c r="C2368" s="8"/>
      <c r="D2368" s="8"/>
      <c r="E2368" s="8"/>
      <c r="F2368" s="8"/>
    </row>
    <row r="2369" ht="13.5" customHeight="1">
      <c r="A2369" s="8" t="s">
        <v>1687</v>
      </c>
      <c r="B2369" s="8">
        <v>13540.0</v>
      </c>
      <c r="C2369" s="8"/>
      <c r="D2369" s="8"/>
      <c r="E2369" s="8"/>
      <c r="F2369" s="8"/>
    </row>
    <row r="2370" ht="13.5" customHeight="1">
      <c r="A2370" s="8" t="s">
        <v>1670</v>
      </c>
      <c r="B2370" s="8">
        <v>14081.0</v>
      </c>
      <c r="C2370" s="8"/>
      <c r="D2370" s="8"/>
      <c r="E2370" s="8"/>
      <c r="F2370" s="8"/>
    </row>
    <row r="2371" ht="13.5" customHeight="1">
      <c r="A2371" s="8" t="s">
        <v>1670</v>
      </c>
      <c r="B2371" s="8">
        <v>14086.0</v>
      </c>
      <c r="C2371" s="8"/>
      <c r="D2371" s="8"/>
      <c r="E2371" s="8"/>
      <c r="F2371" s="8"/>
    </row>
    <row r="2372" ht="13.5" customHeight="1">
      <c r="A2372" s="8" t="s">
        <v>1677</v>
      </c>
      <c r="B2372" s="8">
        <v>14435.0</v>
      </c>
      <c r="C2372" s="8"/>
      <c r="D2372" s="8"/>
      <c r="E2372" s="8"/>
      <c r="F2372" s="8"/>
    </row>
    <row r="2373" ht="13.5" customHeight="1">
      <c r="A2373" s="8" t="s">
        <v>1681</v>
      </c>
      <c r="B2373" s="8">
        <v>14784.0</v>
      </c>
      <c r="C2373" s="8"/>
      <c r="D2373" s="8"/>
      <c r="E2373" s="8"/>
      <c r="F2373" s="8"/>
    </row>
    <row r="2374" ht="13.5" customHeight="1">
      <c r="A2374" s="8" t="s">
        <v>1674</v>
      </c>
      <c r="B2374" s="8">
        <v>15264.0</v>
      </c>
      <c r="C2374" s="8"/>
      <c r="D2374" s="8"/>
      <c r="E2374" s="8"/>
      <c r="F2374" s="8"/>
    </row>
    <row r="2375" ht="13.5" customHeight="1">
      <c r="A2375" s="8" t="s">
        <v>657</v>
      </c>
      <c r="B2375" s="8">
        <v>16352.0</v>
      </c>
      <c r="C2375" s="8"/>
      <c r="D2375" s="8"/>
      <c r="E2375" s="8"/>
      <c r="F2375" s="8"/>
    </row>
    <row r="2376" ht="13.5" customHeight="1">
      <c r="A2376" s="8" t="s">
        <v>1677</v>
      </c>
      <c r="B2376" s="8">
        <v>16513.0</v>
      </c>
      <c r="C2376" s="8"/>
      <c r="D2376" s="8"/>
      <c r="E2376" s="8"/>
      <c r="F2376" s="8"/>
    </row>
    <row r="2377" ht="13.5" customHeight="1">
      <c r="A2377" s="8" t="s">
        <v>1688</v>
      </c>
      <c r="B2377" s="8">
        <v>16582.0</v>
      </c>
      <c r="C2377" s="8"/>
      <c r="D2377" s="8"/>
      <c r="E2377" s="8"/>
      <c r="F2377" s="8"/>
    </row>
    <row r="2378" ht="13.5" customHeight="1">
      <c r="A2378" s="8" t="s">
        <v>1689</v>
      </c>
      <c r="B2378" s="8">
        <v>16640.0</v>
      </c>
      <c r="C2378" s="8"/>
      <c r="D2378" s="8"/>
      <c r="E2378" s="8"/>
      <c r="F2378" s="8"/>
    </row>
    <row r="2379" ht="13.5" customHeight="1">
      <c r="A2379" s="8" t="s">
        <v>1690</v>
      </c>
      <c r="B2379" s="8">
        <v>16711.0</v>
      </c>
      <c r="C2379" s="8"/>
      <c r="D2379" s="8"/>
      <c r="E2379" s="8"/>
      <c r="F2379" s="8"/>
    </row>
    <row r="2380" ht="13.5" customHeight="1">
      <c r="A2380" s="8" t="s">
        <v>1691</v>
      </c>
      <c r="B2380" s="8">
        <v>17218.0</v>
      </c>
      <c r="C2380" s="8"/>
      <c r="D2380" s="8"/>
      <c r="E2380" s="8"/>
      <c r="F2380" s="8"/>
    </row>
    <row r="2381" ht="13.5" customHeight="1">
      <c r="A2381" s="8" t="s">
        <v>1660</v>
      </c>
      <c r="B2381" s="8">
        <v>17255.0</v>
      </c>
      <c r="C2381" s="8"/>
      <c r="D2381" s="8"/>
      <c r="E2381" s="8"/>
      <c r="F2381" s="8"/>
    </row>
    <row r="2382" ht="13.5" customHeight="1">
      <c r="A2382" s="8" t="s">
        <v>1692</v>
      </c>
      <c r="B2382" s="8">
        <v>17317.0</v>
      </c>
      <c r="C2382" s="8"/>
      <c r="D2382" s="8"/>
      <c r="E2382" s="8"/>
      <c r="F2382" s="8"/>
    </row>
    <row r="2383" ht="13.5" customHeight="1">
      <c r="A2383" s="8" t="s">
        <v>1688</v>
      </c>
      <c r="B2383" s="8">
        <v>17414.0</v>
      </c>
      <c r="C2383" s="8"/>
      <c r="D2383" s="8"/>
      <c r="E2383" s="8"/>
      <c r="F2383" s="8"/>
    </row>
    <row r="2384" ht="13.5" customHeight="1">
      <c r="A2384" s="8" t="s">
        <v>1674</v>
      </c>
      <c r="B2384" s="8">
        <v>17446.0</v>
      </c>
      <c r="C2384" s="8"/>
      <c r="D2384" s="8"/>
      <c r="E2384" s="8"/>
      <c r="F2384" s="8"/>
    </row>
    <row r="2385" ht="13.5" customHeight="1">
      <c r="A2385" s="8" t="s">
        <v>1677</v>
      </c>
      <c r="B2385" s="8">
        <v>17765.0</v>
      </c>
      <c r="C2385" s="8"/>
      <c r="D2385" s="8"/>
      <c r="E2385" s="8"/>
      <c r="F2385" s="8"/>
    </row>
    <row r="2386" ht="13.5" customHeight="1">
      <c r="A2386" s="8" t="s">
        <v>1666</v>
      </c>
      <c r="B2386" s="8">
        <v>17958.0</v>
      </c>
      <c r="C2386" s="8"/>
      <c r="D2386" s="8"/>
      <c r="E2386" s="8"/>
      <c r="F2386" s="8"/>
    </row>
    <row r="2387" ht="13.5" customHeight="1">
      <c r="A2387" s="8" t="s">
        <v>1687</v>
      </c>
      <c r="B2387" s="8">
        <v>18375.0</v>
      </c>
      <c r="C2387" s="8"/>
      <c r="D2387" s="8"/>
      <c r="E2387" s="8"/>
      <c r="F2387" s="8"/>
    </row>
    <row r="2388" ht="13.5" customHeight="1">
      <c r="A2388" s="8" t="s">
        <v>1666</v>
      </c>
      <c r="B2388" s="8">
        <v>18532.0</v>
      </c>
      <c r="C2388" s="8"/>
      <c r="D2388" s="8"/>
      <c r="E2388" s="8"/>
      <c r="F2388" s="8"/>
    </row>
    <row r="2389" ht="13.5" customHeight="1">
      <c r="A2389" s="8" t="s">
        <v>1678</v>
      </c>
      <c r="B2389" s="8">
        <v>18627.0</v>
      </c>
      <c r="C2389" s="8"/>
      <c r="D2389" s="8"/>
      <c r="E2389" s="8"/>
      <c r="F2389" s="8"/>
    </row>
    <row r="2390" ht="13.5" customHeight="1">
      <c r="A2390" s="8" t="s">
        <v>354</v>
      </c>
      <c r="B2390" s="8">
        <v>18816.0</v>
      </c>
      <c r="C2390" s="8"/>
      <c r="D2390" s="8"/>
      <c r="E2390" s="8"/>
      <c r="F2390" s="8"/>
    </row>
    <row r="2391" ht="13.5" customHeight="1">
      <c r="A2391" s="8" t="s">
        <v>1687</v>
      </c>
      <c r="B2391" s="8">
        <v>18852.0</v>
      </c>
      <c r="C2391" s="8"/>
      <c r="D2391" s="8"/>
      <c r="E2391" s="8"/>
      <c r="F2391" s="8"/>
    </row>
    <row r="2392" ht="13.5" customHeight="1">
      <c r="A2392" s="8" t="s">
        <v>1675</v>
      </c>
      <c r="B2392" s="8">
        <v>19329.0</v>
      </c>
      <c r="C2392" s="8"/>
      <c r="D2392" s="8"/>
      <c r="E2392" s="8"/>
      <c r="F2392" s="8"/>
    </row>
    <row r="2393" ht="13.5" customHeight="1">
      <c r="A2393" s="8" t="s">
        <v>1670</v>
      </c>
      <c r="B2393" s="8">
        <v>19522.0</v>
      </c>
      <c r="C2393" s="8"/>
      <c r="D2393" s="8"/>
      <c r="E2393" s="8"/>
      <c r="F2393" s="8"/>
    </row>
    <row r="2394" ht="13.5" customHeight="1">
      <c r="A2394" s="8" t="s">
        <v>1694</v>
      </c>
      <c r="B2394" s="8">
        <v>19811.0</v>
      </c>
      <c r="C2394" s="8"/>
      <c r="D2394" s="8"/>
      <c r="E2394" s="8"/>
      <c r="F2394" s="8"/>
    </row>
    <row r="2395" ht="13.5" customHeight="1">
      <c r="A2395" s="8" t="s">
        <v>1628</v>
      </c>
      <c r="B2395" s="8">
        <v>19841.0</v>
      </c>
      <c r="C2395" s="8"/>
      <c r="D2395" s="8"/>
      <c r="E2395" s="8"/>
      <c r="F2395" s="8"/>
    </row>
    <row r="2396" ht="13.5" customHeight="1">
      <c r="A2396" s="8" t="s">
        <v>1679</v>
      </c>
      <c r="B2396" s="8">
        <v>19874.0</v>
      </c>
      <c r="C2396" s="8"/>
      <c r="D2396" s="8"/>
      <c r="E2396" s="8"/>
      <c r="F2396" s="8"/>
    </row>
    <row r="2397" ht="13.5" customHeight="1">
      <c r="A2397" s="8" t="s">
        <v>1695</v>
      </c>
      <c r="B2397" s="8">
        <v>20068.0</v>
      </c>
      <c r="C2397" s="8"/>
      <c r="D2397" s="8"/>
      <c r="E2397" s="8"/>
      <c r="F2397" s="8"/>
    </row>
    <row r="2398" ht="13.5" customHeight="1">
      <c r="A2398" s="8" t="s">
        <v>1611</v>
      </c>
      <c r="B2398" s="8">
        <v>20162.0</v>
      </c>
      <c r="C2398" s="8"/>
      <c r="D2398" s="8"/>
      <c r="E2398" s="8"/>
      <c r="F2398" s="8"/>
    </row>
    <row r="2399" ht="13.5" customHeight="1">
      <c r="A2399" s="8" t="s">
        <v>657</v>
      </c>
      <c r="B2399" s="8">
        <v>20354.0</v>
      </c>
      <c r="C2399" s="8"/>
      <c r="D2399" s="8"/>
      <c r="E2399" s="8"/>
      <c r="F2399" s="8"/>
    </row>
    <row r="2400" ht="13.5" customHeight="1">
      <c r="A2400" s="8" t="s">
        <v>1694</v>
      </c>
      <c r="B2400" s="8">
        <v>20384.0</v>
      </c>
      <c r="C2400" s="8"/>
      <c r="D2400" s="8"/>
      <c r="E2400" s="8"/>
      <c r="F2400" s="8"/>
    </row>
    <row r="2401" ht="13.5" customHeight="1">
      <c r="A2401" s="8" t="s">
        <v>1677</v>
      </c>
      <c r="B2401" s="8">
        <v>20710.0</v>
      </c>
      <c r="C2401" s="8"/>
      <c r="D2401" s="8"/>
      <c r="E2401" s="8"/>
      <c r="F2401" s="8"/>
    </row>
    <row r="2402" ht="13.5" customHeight="1">
      <c r="A2402" s="8" t="s">
        <v>969</v>
      </c>
      <c r="B2402" s="8">
        <v>20934.0</v>
      </c>
      <c r="C2402" s="8"/>
      <c r="D2402" s="8"/>
      <c r="E2402" s="8"/>
      <c r="F2402" s="8"/>
    </row>
    <row r="2403" ht="13.5" customHeight="1">
      <c r="A2403" s="8" t="s">
        <v>1698</v>
      </c>
      <c r="B2403" s="8">
        <v>21057.0</v>
      </c>
      <c r="C2403" s="8"/>
      <c r="D2403" s="8"/>
      <c r="E2403" s="8"/>
      <c r="F2403" s="8"/>
    </row>
    <row r="2404" ht="13.5" customHeight="1">
      <c r="A2404" s="8" t="s">
        <v>1072</v>
      </c>
      <c r="B2404" s="8">
        <v>21190.0</v>
      </c>
      <c r="C2404" s="8"/>
      <c r="D2404" s="8"/>
      <c r="E2404" s="8"/>
      <c r="F2404" s="8"/>
    </row>
    <row r="2405" ht="13.5" customHeight="1">
      <c r="A2405" s="8" t="s">
        <v>1686</v>
      </c>
      <c r="B2405" s="8">
        <v>21505.0</v>
      </c>
      <c r="C2405" s="8"/>
      <c r="D2405" s="8"/>
      <c r="E2405" s="8"/>
      <c r="F2405" s="8"/>
    </row>
    <row r="2406" ht="13.5" customHeight="1">
      <c r="A2406" s="8" t="s">
        <v>1689</v>
      </c>
      <c r="B2406" s="8">
        <v>22055.0</v>
      </c>
      <c r="C2406" s="8"/>
      <c r="D2406" s="8"/>
      <c r="E2406" s="8"/>
      <c r="F2406" s="8"/>
    </row>
    <row r="2407" ht="13.5" customHeight="1">
      <c r="A2407" s="8" t="s">
        <v>1678</v>
      </c>
      <c r="B2407" s="8">
        <v>22371.0</v>
      </c>
      <c r="C2407" s="8"/>
      <c r="D2407" s="8"/>
      <c r="E2407" s="8"/>
      <c r="F2407" s="8"/>
    </row>
    <row r="2408" ht="13.5" customHeight="1">
      <c r="A2408" s="8" t="s">
        <v>1699</v>
      </c>
      <c r="B2408" s="8">
        <v>22498.0</v>
      </c>
      <c r="C2408" s="8"/>
      <c r="D2408" s="8"/>
      <c r="E2408" s="8"/>
      <c r="F2408" s="8"/>
    </row>
    <row r="2409" ht="13.5" customHeight="1">
      <c r="A2409" s="8" t="s">
        <v>1686</v>
      </c>
      <c r="B2409" s="8">
        <v>22562.0</v>
      </c>
      <c r="C2409" s="8"/>
      <c r="D2409" s="8"/>
      <c r="E2409" s="8"/>
      <c r="F2409" s="8"/>
    </row>
    <row r="2410" ht="13.5" customHeight="1">
      <c r="A2410" s="8" t="s">
        <v>1686</v>
      </c>
      <c r="B2410" s="8">
        <v>23392.0</v>
      </c>
      <c r="C2410" s="8"/>
      <c r="D2410" s="8"/>
      <c r="E2410" s="8"/>
      <c r="F2410" s="8"/>
    </row>
    <row r="2411" ht="13.5" customHeight="1">
      <c r="A2411" s="8" t="s">
        <v>1698</v>
      </c>
      <c r="B2411" s="8">
        <v>23782.0</v>
      </c>
      <c r="C2411" s="8"/>
      <c r="D2411" s="8"/>
      <c r="E2411" s="8"/>
      <c r="F2411" s="8"/>
    </row>
    <row r="2412" ht="13.5" customHeight="1">
      <c r="A2412" s="8" t="s">
        <v>1659</v>
      </c>
      <c r="B2412" s="8">
        <v>24069.0</v>
      </c>
      <c r="C2412" s="8"/>
      <c r="D2412" s="8"/>
      <c r="E2412" s="8"/>
      <c r="F2412" s="8"/>
    </row>
    <row r="2413" ht="13.5" customHeight="1">
      <c r="A2413" s="8" t="s">
        <v>1675</v>
      </c>
      <c r="B2413" s="8">
        <v>24099.0</v>
      </c>
      <c r="C2413" s="8"/>
      <c r="D2413" s="8"/>
      <c r="E2413" s="8"/>
      <c r="F2413" s="8"/>
    </row>
    <row r="2414" ht="13.5" customHeight="1">
      <c r="A2414" s="8" t="s">
        <v>1659</v>
      </c>
      <c r="B2414" s="8">
        <v>24228.0</v>
      </c>
      <c r="C2414" s="8"/>
      <c r="D2414" s="8"/>
      <c r="E2414" s="8"/>
      <c r="F2414" s="8"/>
    </row>
    <row r="2415" ht="13.5" customHeight="1">
      <c r="A2415" s="8" t="s">
        <v>1677</v>
      </c>
      <c r="B2415" s="8">
        <v>24231.0</v>
      </c>
      <c r="C2415" s="8"/>
      <c r="D2415" s="8"/>
      <c r="E2415" s="8"/>
      <c r="F2415" s="8"/>
    </row>
    <row r="2416" ht="13.5" customHeight="1">
      <c r="A2416" s="8" t="s">
        <v>1666</v>
      </c>
      <c r="B2416" s="8">
        <v>24613.0</v>
      </c>
      <c r="C2416" s="8"/>
      <c r="D2416" s="8"/>
      <c r="E2416" s="8"/>
      <c r="F2416" s="8"/>
    </row>
    <row r="2417" ht="13.5" customHeight="1">
      <c r="A2417" s="8" t="s">
        <v>1694</v>
      </c>
      <c r="B2417" s="8">
        <v>24647.0</v>
      </c>
      <c r="C2417" s="8"/>
      <c r="D2417" s="8"/>
      <c r="E2417" s="8"/>
      <c r="F2417" s="8"/>
    </row>
    <row r="2418" ht="13.5" customHeight="1">
      <c r="A2418" s="8" t="s">
        <v>1680</v>
      </c>
      <c r="B2418" s="8">
        <v>24672.0</v>
      </c>
      <c r="C2418" s="8"/>
      <c r="D2418" s="8"/>
      <c r="E2418" s="8"/>
      <c r="F2418" s="8"/>
    </row>
    <row r="2419" ht="13.5" customHeight="1">
      <c r="A2419" s="8" t="s">
        <v>657</v>
      </c>
      <c r="B2419" s="8">
        <v>24740.0</v>
      </c>
      <c r="C2419" s="8"/>
      <c r="D2419" s="8"/>
      <c r="E2419" s="8"/>
      <c r="F2419" s="8"/>
    </row>
    <row r="2420" ht="13.5" customHeight="1">
      <c r="A2420" s="8" t="s">
        <v>969</v>
      </c>
      <c r="B2420" s="8">
        <v>25479.0</v>
      </c>
      <c r="C2420" s="8"/>
      <c r="D2420" s="8"/>
      <c r="E2420" s="8"/>
      <c r="F2420" s="8"/>
    </row>
    <row r="2421" ht="13.5" customHeight="1">
      <c r="A2421" s="8" t="s">
        <v>1701</v>
      </c>
      <c r="B2421" s="8">
        <v>25985.0</v>
      </c>
      <c r="C2421" s="8"/>
      <c r="D2421" s="8"/>
      <c r="E2421" s="8"/>
      <c r="F2421" s="8"/>
    </row>
    <row r="2422" ht="13.5" customHeight="1">
      <c r="A2422" s="8" t="s">
        <v>1563</v>
      </c>
      <c r="B2422" s="8">
        <v>26341.0</v>
      </c>
      <c r="C2422" s="8"/>
      <c r="D2422" s="8"/>
      <c r="E2422" s="8"/>
      <c r="F2422" s="8"/>
    </row>
    <row r="2423" ht="13.5" customHeight="1">
      <c r="A2423" s="8" t="s">
        <v>1563</v>
      </c>
      <c r="B2423" s="8">
        <v>26407.0</v>
      </c>
      <c r="C2423" s="8"/>
      <c r="D2423" s="8"/>
      <c r="E2423" s="8"/>
      <c r="F2423" s="8"/>
    </row>
    <row r="2424" ht="13.5" customHeight="1">
      <c r="A2424" s="8" t="s">
        <v>657</v>
      </c>
      <c r="B2424" s="8">
        <v>26432.0</v>
      </c>
      <c r="C2424" s="8"/>
      <c r="D2424" s="8"/>
      <c r="E2424" s="8"/>
      <c r="F2424" s="8"/>
    </row>
    <row r="2425" ht="13.5" customHeight="1">
      <c r="A2425" s="8" t="s">
        <v>657</v>
      </c>
      <c r="B2425" s="8">
        <v>26630.0</v>
      </c>
      <c r="C2425" s="8"/>
      <c r="D2425" s="8"/>
      <c r="E2425" s="8"/>
      <c r="F2425" s="8"/>
    </row>
    <row r="2426" ht="13.5" customHeight="1">
      <c r="A2426" s="8" t="s">
        <v>1695</v>
      </c>
      <c r="B2426" s="8">
        <v>26660.0</v>
      </c>
      <c r="C2426" s="8"/>
      <c r="D2426" s="8"/>
      <c r="E2426" s="8"/>
      <c r="F2426" s="8"/>
    </row>
    <row r="2427" ht="13.5" customHeight="1">
      <c r="A2427" s="8" t="s">
        <v>1702</v>
      </c>
      <c r="B2427" s="8">
        <v>26818.0</v>
      </c>
      <c r="C2427" s="8"/>
      <c r="D2427" s="8"/>
      <c r="E2427" s="8"/>
      <c r="F2427" s="8"/>
    </row>
    <row r="2428" ht="13.5" customHeight="1">
      <c r="A2428" s="8" t="s">
        <v>1659</v>
      </c>
      <c r="B2428" s="8">
        <v>27011.0</v>
      </c>
      <c r="C2428" s="8"/>
      <c r="D2428" s="8"/>
      <c r="E2428" s="8"/>
      <c r="F2428" s="8"/>
    </row>
    <row r="2429" ht="13.5" customHeight="1">
      <c r="A2429" s="8" t="s">
        <v>1661</v>
      </c>
      <c r="B2429" s="8">
        <v>27841.0</v>
      </c>
      <c r="C2429" s="8"/>
      <c r="D2429" s="8"/>
      <c r="E2429" s="8"/>
      <c r="F2429" s="8"/>
    </row>
    <row r="2430" ht="13.5" customHeight="1">
      <c r="A2430" s="8" t="s">
        <v>1695</v>
      </c>
      <c r="B2430" s="8">
        <v>28581.0</v>
      </c>
      <c r="C2430" s="8"/>
      <c r="D2430" s="8"/>
      <c r="E2430" s="8"/>
      <c r="F2430" s="8"/>
    </row>
    <row r="2431" ht="13.5" customHeight="1">
      <c r="A2431" s="8" t="s">
        <v>1670</v>
      </c>
      <c r="B2431" s="8">
        <v>28611.0</v>
      </c>
      <c r="C2431" s="8"/>
      <c r="D2431" s="8"/>
      <c r="E2431" s="8"/>
      <c r="F2431" s="8"/>
    </row>
    <row r="2432" ht="13.5" customHeight="1">
      <c r="A2432" s="8" t="s">
        <v>1695</v>
      </c>
      <c r="B2432" s="8">
        <v>28647.0</v>
      </c>
      <c r="C2432" s="8"/>
      <c r="D2432" s="8"/>
      <c r="E2432" s="8"/>
      <c r="F2432" s="8"/>
    </row>
    <row r="2433" ht="13.5" customHeight="1">
      <c r="A2433" s="8" t="s">
        <v>1705</v>
      </c>
      <c r="B2433" s="8">
        <v>28736.0</v>
      </c>
      <c r="C2433" s="8"/>
      <c r="D2433" s="8"/>
      <c r="E2433" s="8"/>
      <c r="F2433" s="8"/>
    </row>
    <row r="2434" ht="13.5" customHeight="1">
      <c r="A2434" s="8" t="s">
        <v>1678</v>
      </c>
      <c r="B2434" s="8">
        <v>28835.0</v>
      </c>
      <c r="C2434" s="8"/>
      <c r="D2434" s="8"/>
      <c r="E2434" s="8"/>
      <c r="F2434" s="8"/>
    </row>
    <row r="2435" ht="13.5" customHeight="1">
      <c r="A2435" s="8" t="s">
        <v>657</v>
      </c>
      <c r="B2435" s="8">
        <v>29220.0</v>
      </c>
      <c r="C2435" s="8"/>
      <c r="D2435" s="8"/>
      <c r="E2435" s="8"/>
      <c r="F2435" s="8"/>
    </row>
    <row r="2436" ht="13.5" customHeight="1">
      <c r="A2436" s="8" t="s">
        <v>1661</v>
      </c>
      <c r="B2436" s="8">
        <v>30114.0</v>
      </c>
      <c r="C2436" s="8"/>
      <c r="D2436" s="8"/>
      <c r="E2436" s="8"/>
      <c r="F2436" s="8"/>
    </row>
    <row r="2437" ht="13.5" customHeight="1">
      <c r="A2437" s="8" t="s">
        <v>1661</v>
      </c>
      <c r="B2437" s="8">
        <v>30336.0</v>
      </c>
      <c r="C2437" s="8"/>
      <c r="D2437" s="8"/>
      <c r="E2437" s="8"/>
      <c r="F2437" s="8"/>
    </row>
    <row r="2438" ht="13.5" customHeight="1">
      <c r="A2438" s="8" t="s">
        <v>1677</v>
      </c>
      <c r="B2438" s="8">
        <v>30725.0</v>
      </c>
      <c r="C2438" s="8"/>
      <c r="D2438" s="8"/>
      <c r="E2438" s="8"/>
      <c r="F2438" s="8"/>
    </row>
    <row r="2439" ht="13.5" customHeight="1">
      <c r="A2439" s="8" t="s">
        <v>1628</v>
      </c>
      <c r="B2439" s="8">
        <v>30784.0</v>
      </c>
      <c r="C2439" s="8"/>
      <c r="D2439" s="8"/>
      <c r="E2439" s="8"/>
      <c r="F2439" s="8"/>
    </row>
    <row r="2440" ht="13.5" customHeight="1">
      <c r="A2440" s="8" t="s">
        <v>1661</v>
      </c>
      <c r="B2440" s="8">
        <v>31040.0</v>
      </c>
      <c r="C2440" s="8"/>
      <c r="D2440" s="8"/>
      <c r="E2440" s="8"/>
      <c r="F2440" s="8"/>
    </row>
    <row r="2441" ht="13.5" customHeight="1">
      <c r="A2441" s="8" t="s">
        <v>1686</v>
      </c>
      <c r="B2441" s="8">
        <v>31846.0</v>
      </c>
      <c r="C2441" s="8"/>
      <c r="D2441" s="8"/>
      <c r="E2441" s="8"/>
      <c r="F2441" s="8"/>
    </row>
    <row r="2442" ht="13.5" customHeight="1">
      <c r="A2442" s="8" t="s">
        <v>1680</v>
      </c>
      <c r="B2442" s="8">
        <v>32038.0</v>
      </c>
      <c r="C2442" s="8"/>
      <c r="D2442" s="8"/>
      <c r="E2442" s="8"/>
      <c r="F2442" s="8"/>
    </row>
    <row r="2443" ht="13.5" customHeight="1">
      <c r="A2443" s="8" t="s">
        <v>1692</v>
      </c>
      <c r="B2443" s="8">
        <v>32065.0</v>
      </c>
      <c r="C2443" s="8"/>
      <c r="D2443" s="8"/>
      <c r="E2443" s="8"/>
      <c r="F2443" s="8"/>
    </row>
    <row r="2444" ht="13.5" customHeight="1">
      <c r="A2444" s="8" t="s">
        <v>1608</v>
      </c>
      <c r="B2444" s="8">
        <v>32326.0</v>
      </c>
      <c r="C2444" s="8"/>
      <c r="D2444" s="8"/>
      <c r="E2444" s="8"/>
      <c r="F2444" s="8"/>
    </row>
    <row r="2445" ht="13.5" customHeight="1">
      <c r="A2445" s="8" t="s">
        <v>1707</v>
      </c>
      <c r="B2445" s="8">
        <v>32613.0</v>
      </c>
      <c r="C2445" s="8"/>
      <c r="D2445" s="8"/>
      <c r="E2445" s="8"/>
      <c r="F2445" s="8"/>
    </row>
    <row r="2446" ht="13.5" customHeight="1">
      <c r="A2446" s="8" t="s">
        <v>969</v>
      </c>
      <c r="B2446" s="8">
        <v>32741.0</v>
      </c>
      <c r="C2446" s="8"/>
      <c r="D2446" s="8"/>
      <c r="E2446" s="8"/>
      <c r="F2446" s="8"/>
    </row>
    <row r="2447" ht="13.5" customHeight="1">
      <c r="A2447" s="8" t="s">
        <v>862</v>
      </c>
      <c r="B2447" s="8">
        <v>32903.0</v>
      </c>
      <c r="C2447" s="8"/>
      <c r="D2447" s="8"/>
      <c r="E2447" s="8"/>
      <c r="F2447" s="8"/>
    </row>
    <row r="2448" ht="13.5" customHeight="1">
      <c r="A2448" s="8" t="s">
        <v>1701</v>
      </c>
      <c r="B2448" s="8">
        <v>33031.0</v>
      </c>
      <c r="C2448" s="8"/>
      <c r="D2448" s="8"/>
      <c r="E2448" s="8"/>
      <c r="F2448" s="8"/>
    </row>
    <row r="2449" ht="13.5" customHeight="1">
      <c r="A2449" s="8" t="s">
        <v>1661</v>
      </c>
      <c r="B2449" s="8">
        <v>33152.0</v>
      </c>
      <c r="C2449" s="8"/>
      <c r="D2449" s="8"/>
      <c r="E2449" s="8"/>
      <c r="F2449" s="8"/>
    </row>
    <row r="2450" ht="13.5" customHeight="1">
      <c r="A2450" s="8" t="s">
        <v>1677</v>
      </c>
      <c r="B2450" s="8">
        <v>33217.0</v>
      </c>
      <c r="C2450" s="8"/>
      <c r="D2450" s="8"/>
      <c r="E2450" s="8"/>
      <c r="F2450" s="8"/>
    </row>
    <row r="2451" ht="13.5" customHeight="1">
      <c r="A2451" s="8" t="s">
        <v>1687</v>
      </c>
      <c r="B2451" s="8">
        <v>33606.0</v>
      </c>
      <c r="C2451" s="8"/>
      <c r="D2451" s="8"/>
      <c r="E2451" s="8"/>
      <c r="F2451" s="8"/>
    </row>
    <row r="2452" ht="13.5" customHeight="1">
      <c r="A2452" s="8" t="s">
        <v>1687</v>
      </c>
      <c r="B2452" s="8">
        <v>33666.0</v>
      </c>
      <c r="C2452" s="8"/>
      <c r="D2452" s="8"/>
      <c r="E2452" s="8"/>
      <c r="F2452" s="8"/>
    </row>
    <row r="2453" ht="13.5" customHeight="1">
      <c r="A2453" s="8" t="s">
        <v>1701</v>
      </c>
      <c r="B2453" s="8">
        <v>33764.0</v>
      </c>
      <c r="C2453" s="8"/>
      <c r="D2453" s="8"/>
      <c r="E2453" s="8"/>
      <c r="F2453" s="8"/>
    </row>
    <row r="2454" ht="13.5" customHeight="1">
      <c r="A2454" s="8" t="s">
        <v>862</v>
      </c>
      <c r="B2454" s="8">
        <v>33921.0</v>
      </c>
      <c r="C2454" s="8"/>
      <c r="D2454" s="8"/>
      <c r="E2454" s="8"/>
      <c r="F2454" s="8"/>
    </row>
    <row r="2455" ht="13.5" customHeight="1">
      <c r="A2455" s="8" t="s">
        <v>1072</v>
      </c>
      <c r="B2455" s="8">
        <v>33956.0</v>
      </c>
      <c r="C2455" s="8"/>
      <c r="D2455" s="8"/>
      <c r="E2455" s="8"/>
      <c r="F2455" s="8"/>
    </row>
    <row r="2456" ht="13.5" customHeight="1">
      <c r="A2456" s="8" t="s">
        <v>1608</v>
      </c>
      <c r="B2456" s="8">
        <v>34022.0</v>
      </c>
      <c r="C2456" s="8"/>
      <c r="D2456" s="8"/>
      <c r="E2456" s="8"/>
      <c r="F2456" s="8"/>
    </row>
    <row r="2457" ht="13.5" customHeight="1">
      <c r="A2457" s="8" t="s">
        <v>1687</v>
      </c>
      <c r="B2457" s="8">
        <v>34148.0</v>
      </c>
      <c r="C2457" s="8"/>
      <c r="D2457" s="8"/>
      <c r="E2457" s="8"/>
      <c r="F2457" s="8"/>
    </row>
    <row r="2458" ht="13.5" customHeight="1">
      <c r="A2458" s="8" t="s">
        <v>1563</v>
      </c>
      <c r="B2458" s="8">
        <v>34182.0</v>
      </c>
      <c r="C2458" s="8"/>
      <c r="D2458" s="8"/>
      <c r="E2458" s="8"/>
      <c r="F2458" s="8"/>
    </row>
    <row r="2459" ht="13.5" customHeight="1">
      <c r="A2459" s="8" t="s">
        <v>969</v>
      </c>
      <c r="B2459" s="8">
        <v>34337.0</v>
      </c>
      <c r="C2459" s="8"/>
      <c r="D2459" s="8"/>
      <c r="E2459" s="8"/>
      <c r="F2459" s="8"/>
    </row>
    <row r="2460" ht="13.5" customHeight="1">
      <c r="A2460" s="8" t="s">
        <v>1676</v>
      </c>
      <c r="B2460" s="8">
        <v>34657.0</v>
      </c>
      <c r="C2460" s="8"/>
      <c r="D2460" s="8"/>
      <c r="E2460" s="8"/>
      <c r="F2460" s="8"/>
    </row>
    <row r="2461" ht="13.5" customHeight="1">
      <c r="A2461" s="8" t="s">
        <v>1660</v>
      </c>
      <c r="B2461" s="8">
        <v>34727.0</v>
      </c>
      <c r="C2461" s="8"/>
      <c r="D2461" s="8"/>
      <c r="E2461" s="8"/>
      <c r="F2461" s="8"/>
    </row>
    <row r="2462" ht="13.5" customHeight="1">
      <c r="A2462" s="8" t="s">
        <v>1661</v>
      </c>
      <c r="B2462" s="8">
        <v>34881.0</v>
      </c>
      <c r="C2462" s="8"/>
      <c r="D2462" s="8"/>
      <c r="E2462" s="8"/>
      <c r="F2462" s="8"/>
    </row>
    <row r="2463" ht="13.5" customHeight="1">
      <c r="A2463" s="8" t="s">
        <v>1695</v>
      </c>
      <c r="B2463" s="8">
        <v>34882.0</v>
      </c>
      <c r="C2463" s="8"/>
      <c r="D2463" s="8"/>
      <c r="E2463" s="8"/>
      <c r="F2463" s="8"/>
    </row>
    <row r="2464" ht="13.5" customHeight="1">
      <c r="A2464" s="8" t="s">
        <v>1687</v>
      </c>
      <c r="B2464" s="8">
        <v>34916.0</v>
      </c>
      <c r="C2464" s="8"/>
      <c r="D2464" s="8"/>
      <c r="E2464" s="8"/>
      <c r="F2464" s="8"/>
    </row>
    <row r="2465" ht="13.5" customHeight="1">
      <c r="A2465" s="8" t="s">
        <v>1666</v>
      </c>
      <c r="B2465" s="8">
        <v>35041.0</v>
      </c>
      <c r="C2465" s="8"/>
      <c r="D2465" s="8"/>
      <c r="E2465" s="8"/>
      <c r="F2465" s="8"/>
    </row>
    <row r="2466" ht="13.5" customHeight="1">
      <c r="A2466" s="8" t="s">
        <v>1677</v>
      </c>
      <c r="B2466" s="8">
        <v>35302.0</v>
      </c>
      <c r="C2466" s="8"/>
      <c r="D2466" s="8"/>
      <c r="E2466" s="8"/>
      <c r="F2466" s="8"/>
    </row>
    <row r="2467" ht="13.5" customHeight="1">
      <c r="A2467" s="8" t="s">
        <v>1679</v>
      </c>
      <c r="B2467" s="8">
        <v>35841.0</v>
      </c>
      <c r="C2467" s="8"/>
      <c r="D2467" s="8"/>
      <c r="E2467" s="8"/>
      <c r="F2467" s="8"/>
    </row>
    <row r="2468" ht="13.5" customHeight="1">
      <c r="A2468" s="8" t="s">
        <v>1691</v>
      </c>
      <c r="B2468" s="8">
        <v>36034.0</v>
      </c>
      <c r="C2468" s="8"/>
      <c r="D2468" s="8"/>
      <c r="E2468" s="8"/>
      <c r="F2468" s="8"/>
    </row>
    <row r="2469" ht="13.5" customHeight="1">
      <c r="A2469" s="8" t="s">
        <v>1702</v>
      </c>
      <c r="B2469" s="8">
        <v>36065.0</v>
      </c>
      <c r="C2469" s="8"/>
      <c r="D2469" s="8"/>
      <c r="E2469" s="8"/>
      <c r="F2469" s="8"/>
    </row>
    <row r="2470" ht="13.5" customHeight="1">
      <c r="A2470" s="8" t="s">
        <v>1659</v>
      </c>
      <c r="B2470" s="8">
        <v>36355.0</v>
      </c>
      <c r="C2470" s="8"/>
      <c r="D2470" s="8"/>
      <c r="E2470" s="8"/>
      <c r="F2470" s="8"/>
    </row>
    <row r="2471" ht="13.5" customHeight="1">
      <c r="A2471" s="8" t="s">
        <v>1660</v>
      </c>
      <c r="B2471" s="8">
        <v>36358.0</v>
      </c>
      <c r="C2471" s="8"/>
      <c r="D2471" s="8"/>
      <c r="E2471" s="8"/>
      <c r="F2471" s="8"/>
    </row>
    <row r="2472" ht="13.5" customHeight="1">
      <c r="A2472" s="8" t="s">
        <v>1662</v>
      </c>
      <c r="B2472" s="8">
        <v>36739.0</v>
      </c>
      <c r="C2472" s="8"/>
      <c r="D2472" s="8"/>
      <c r="E2472" s="8"/>
      <c r="F2472" s="8"/>
    </row>
    <row r="2473" ht="13.5" customHeight="1">
      <c r="A2473" s="8" t="s">
        <v>1692</v>
      </c>
      <c r="B2473" s="8">
        <v>36743.0</v>
      </c>
      <c r="C2473" s="8"/>
      <c r="D2473" s="8"/>
      <c r="E2473" s="8"/>
      <c r="F2473" s="8"/>
    </row>
    <row r="2474" ht="13.5" customHeight="1">
      <c r="A2474" s="8" t="s">
        <v>1708</v>
      </c>
      <c r="B2474" s="8">
        <v>36864.0</v>
      </c>
      <c r="C2474" s="8"/>
      <c r="D2474" s="8"/>
      <c r="E2474" s="8"/>
      <c r="F2474" s="8"/>
    </row>
    <row r="2475" ht="13.5" customHeight="1">
      <c r="A2475" s="8" t="s">
        <v>1695</v>
      </c>
      <c r="B2475" s="8">
        <v>37188.0</v>
      </c>
      <c r="C2475" s="8"/>
      <c r="D2475" s="8"/>
      <c r="E2475" s="8"/>
      <c r="F2475" s="8"/>
    </row>
    <row r="2476" ht="13.5" customHeight="1">
      <c r="A2476" s="8" t="s">
        <v>1674</v>
      </c>
      <c r="B2476" s="8">
        <v>37414.0</v>
      </c>
      <c r="C2476" s="8"/>
      <c r="D2476" s="8"/>
      <c r="E2476" s="8"/>
      <c r="F2476" s="8"/>
    </row>
    <row r="2477" ht="13.5" customHeight="1">
      <c r="A2477" s="8" t="s">
        <v>1072</v>
      </c>
      <c r="B2477" s="8">
        <v>37638.0</v>
      </c>
      <c r="C2477" s="8"/>
      <c r="D2477" s="8"/>
      <c r="E2477" s="8"/>
      <c r="F2477" s="8"/>
    </row>
    <row r="2478" ht="13.5" customHeight="1">
      <c r="A2478" s="8" t="s">
        <v>1679</v>
      </c>
      <c r="B2478" s="8">
        <v>37734.0</v>
      </c>
      <c r="C2478" s="8"/>
      <c r="D2478" s="8"/>
      <c r="E2478" s="8"/>
      <c r="F2478" s="8"/>
    </row>
    <row r="2479" ht="13.5" customHeight="1">
      <c r="A2479" s="8" t="s">
        <v>1670</v>
      </c>
      <c r="B2479" s="8">
        <v>37763.0</v>
      </c>
      <c r="C2479" s="8"/>
      <c r="D2479" s="8"/>
      <c r="E2479" s="8"/>
      <c r="F2479" s="8"/>
    </row>
    <row r="2480" ht="13.5" customHeight="1">
      <c r="A2480" s="8" t="s">
        <v>1628</v>
      </c>
      <c r="B2480" s="8">
        <v>37859.0</v>
      </c>
      <c r="C2480" s="8"/>
      <c r="D2480" s="8"/>
      <c r="E2480" s="8"/>
      <c r="F2480" s="8"/>
    </row>
    <row r="2481" ht="13.5" customHeight="1">
      <c r="A2481" s="8" t="s">
        <v>1710</v>
      </c>
      <c r="B2481" s="8">
        <v>38048.0</v>
      </c>
      <c r="C2481" s="8"/>
      <c r="D2481" s="8"/>
      <c r="E2481" s="8"/>
      <c r="F2481" s="8"/>
    </row>
    <row r="2482" ht="13.5" customHeight="1">
      <c r="A2482" s="8" t="s">
        <v>1707</v>
      </c>
      <c r="B2482" s="8">
        <v>38305.0</v>
      </c>
      <c r="C2482" s="8"/>
      <c r="D2482" s="8"/>
      <c r="E2482" s="8"/>
      <c r="F2482" s="8"/>
    </row>
    <row r="2483" ht="13.5" customHeight="1">
      <c r="A2483" s="8" t="s">
        <v>1677</v>
      </c>
      <c r="B2483" s="8">
        <v>38371.0</v>
      </c>
      <c r="C2483" s="8"/>
      <c r="D2483" s="8"/>
      <c r="E2483" s="8"/>
      <c r="F2483" s="8"/>
    </row>
    <row r="2484" ht="13.5" customHeight="1">
      <c r="A2484" s="8" t="s">
        <v>1679</v>
      </c>
      <c r="B2484" s="8">
        <v>38789.0</v>
      </c>
      <c r="C2484" s="8"/>
      <c r="D2484" s="8"/>
      <c r="E2484" s="8"/>
      <c r="F2484" s="8"/>
    </row>
    <row r="2485" ht="13.5" customHeight="1">
      <c r="A2485" s="8" t="s">
        <v>1628</v>
      </c>
      <c r="B2485" s="8">
        <v>39076.0</v>
      </c>
      <c r="C2485" s="8"/>
      <c r="D2485" s="8"/>
      <c r="E2485" s="8"/>
      <c r="F2485" s="8"/>
    </row>
    <row r="2486" ht="13.5" customHeight="1">
      <c r="A2486" s="8" t="s">
        <v>1608</v>
      </c>
      <c r="B2486" s="8">
        <v>39173.0</v>
      </c>
      <c r="C2486" s="8"/>
      <c r="D2486" s="8"/>
      <c r="E2486" s="8"/>
      <c r="F2486" s="8"/>
    </row>
    <row r="2487" ht="13.5" customHeight="1">
      <c r="A2487" s="8" t="s">
        <v>1694</v>
      </c>
      <c r="B2487" s="8">
        <v>39335.0</v>
      </c>
      <c r="C2487" s="8"/>
      <c r="D2487" s="8"/>
      <c r="E2487" s="8"/>
      <c r="F2487" s="8"/>
    </row>
    <row r="2488" ht="13.5" customHeight="1">
      <c r="A2488" s="8" t="s">
        <v>1659</v>
      </c>
      <c r="B2488" s="8">
        <v>39744.0</v>
      </c>
      <c r="C2488" s="8"/>
      <c r="D2488" s="8"/>
      <c r="E2488" s="8"/>
      <c r="F2488" s="8"/>
    </row>
    <row r="2489" ht="13.5" customHeight="1">
      <c r="A2489" s="8" t="s">
        <v>1673</v>
      </c>
      <c r="B2489" s="8">
        <v>39878.0</v>
      </c>
      <c r="C2489" s="8"/>
      <c r="D2489" s="8"/>
      <c r="E2489" s="8"/>
      <c r="F2489" s="8"/>
    </row>
    <row r="2490" ht="13.5" customHeight="1">
      <c r="A2490" s="8" t="s">
        <v>1673</v>
      </c>
      <c r="B2490" s="8">
        <v>39972.0</v>
      </c>
      <c r="C2490" s="8"/>
      <c r="D2490" s="8"/>
      <c r="E2490" s="8"/>
      <c r="F2490" s="8"/>
    </row>
    <row r="2491" ht="13.5" customHeight="1">
      <c r="A2491" s="8" t="s">
        <v>1674</v>
      </c>
      <c r="B2491" s="8">
        <v>40643.0</v>
      </c>
      <c r="C2491" s="8"/>
      <c r="D2491" s="8"/>
      <c r="E2491" s="8"/>
      <c r="F2491" s="8"/>
    </row>
    <row r="2492" ht="13.5" customHeight="1">
      <c r="A2492" s="8" t="s">
        <v>1698</v>
      </c>
      <c r="B2492" s="8">
        <v>40870.0</v>
      </c>
      <c r="C2492" s="8"/>
      <c r="D2492" s="8"/>
      <c r="E2492" s="8"/>
      <c r="F2492" s="8"/>
    </row>
    <row r="2493" ht="13.5" customHeight="1">
      <c r="A2493" s="8" t="s">
        <v>1695</v>
      </c>
      <c r="B2493" s="8">
        <v>40934.0</v>
      </c>
      <c r="C2493" s="8"/>
      <c r="D2493" s="8"/>
      <c r="E2493" s="8"/>
      <c r="F2493" s="8"/>
    </row>
    <row r="2494" ht="13.5" customHeight="1">
      <c r="A2494" s="8" t="s">
        <v>1694</v>
      </c>
      <c r="B2494" s="8">
        <v>41254.0</v>
      </c>
      <c r="C2494" s="8"/>
      <c r="D2494" s="8"/>
      <c r="E2494" s="8"/>
      <c r="F2494" s="8"/>
    </row>
    <row r="2495" ht="13.5" customHeight="1">
      <c r="A2495" s="8" t="s">
        <v>1611</v>
      </c>
      <c r="B2495" s="8">
        <v>41472.0</v>
      </c>
      <c r="C2495" s="8"/>
      <c r="D2495" s="8"/>
      <c r="E2495" s="8"/>
      <c r="F2495" s="8"/>
    </row>
    <row r="2496" ht="13.5" customHeight="1">
      <c r="A2496" s="8" t="s">
        <v>1671</v>
      </c>
      <c r="B2496" s="8">
        <v>41830.0</v>
      </c>
      <c r="C2496" s="8"/>
      <c r="D2496" s="8"/>
      <c r="E2496" s="8"/>
      <c r="F2496" s="8"/>
    </row>
    <row r="2497" ht="13.5" customHeight="1">
      <c r="A2497" s="8" t="s">
        <v>1659</v>
      </c>
      <c r="B2497" s="8">
        <v>42144.0</v>
      </c>
      <c r="C2497" s="8"/>
      <c r="D2497" s="8"/>
      <c r="E2497" s="8"/>
      <c r="F2497" s="8"/>
    </row>
    <row r="2498" ht="13.5" customHeight="1">
      <c r="A2498" s="8" t="s">
        <v>1662</v>
      </c>
      <c r="B2498" s="8">
        <v>42439.0</v>
      </c>
      <c r="C2498" s="8"/>
      <c r="D2498" s="8"/>
      <c r="E2498" s="8"/>
      <c r="F2498" s="8"/>
    </row>
    <row r="2499" ht="13.5" customHeight="1">
      <c r="A2499" s="8" t="s">
        <v>1713</v>
      </c>
      <c r="B2499" s="8">
        <v>42758.0</v>
      </c>
      <c r="C2499" s="8"/>
      <c r="D2499" s="8"/>
      <c r="E2499" s="8"/>
      <c r="F2499" s="8"/>
    </row>
    <row r="2500" ht="13.5" customHeight="1">
      <c r="A2500" s="8" t="s">
        <v>1687</v>
      </c>
      <c r="B2500" s="8">
        <v>42950.0</v>
      </c>
      <c r="C2500" s="8"/>
      <c r="D2500" s="8"/>
      <c r="E2500" s="8"/>
      <c r="F2500" s="8"/>
    </row>
    <row r="2501" ht="13.5" customHeight="1">
      <c r="A2501" s="8" t="s">
        <v>1708</v>
      </c>
      <c r="B2501" s="8">
        <v>42951.0</v>
      </c>
      <c r="C2501" s="8"/>
      <c r="D2501" s="8"/>
      <c r="E2501" s="8"/>
      <c r="F2501" s="8"/>
    </row>
    <row r="2502" ht="13.5" customHeight="1">
      <c r="A2502" s="8" t="s">
        <v>1568</v>
      </c>
      <c r="B2502" s="8">
        <v>43172.0</v>
      </c>
      <c r="C2502" s="8"/>
      <c r="D2502" s="8"/>
      <c r="E2502" s="8"/>
      <c r="F2502" s="8"/>
    </row>
    <row r="2503" ht="13.5" customHeight="1">
      <c r="A2503" s="8" t="s">
        <v>1699</v>
      </c>
      <c r="B2503" s="8">
        <v>43270.0</v>
      </c>
      <c r="C2503" s="8"/>
      <c r="D2503" s="8"/>
      <c r="E2503" s="8"/>
      <c r="F2503" s="8"/>
    </row>
    <row r="2504" ht="13.5" customHeight="1">
      <c r="A2504" s="8" t="s">
        <v>1681</v>
      </c>
      <c r="B2504" s="8">
        <v>43271.0</v>
      </c>
      <c r="C2504" s="8"/>
      <c r="D2504" s="8"/>
      <c r="E2504" s="8"/>
      <c r="F2504" s="8"/>
    </row>
    <row r="2505" ht="13.5" customHeight="1">
      <c r="A2505" s="8" t="s">
        <v>1692</v>
      </c>
      <c r="B2505" s="8">
        <v>43745.0</v>
      </c>
      <c r="C2505" s="8"/>
      <c r="D2505" s="8"/>
      <c r="E2505" s="8"/>
      <c r="F2505" s="8"/>
    </row>
    <row r="2506" ht="13.5" customHeight="1">
      <c r="A2506" s="8" t="s">
        <v>1705</v>
      </c>
      <c r="B2506" s="8">
        <v>43779.0</v>
      </c>
      <c r="C2506" s="8"/>
      <c r="D2506" s="8"/>
      <c r="E2506" s="8"/>
      <c r="F2506" s="8"/>
    </row>
    <row r="2507" ht="13.5" customHeight="1">
      <c r="A2507" s="8" t="s">
        <v>1660</v>
      </c>
      <c r="B2507" s="8">
        <v>43877.0</v>
      </c>
      <c r="C2507" s="8"/>
      <c r="D2507" s="8"/>
      <c r="E2507" s="8"/>
      <c r="F2507" s="8"/>
    </row>
    <row r="2508" ht="13.5" customHeight="1">
      <c r="A2508" s="8" t="s">
        <v>1659</v>
      </c>
      <c r="B2508" s="8">
        <v>43907.0</v>
      </c>
      <c r="C2508" s="8"/>
      <c r="D2508" s="8"/>
      <c r="E2508" s="8"/>
      <c r="F2508" s="8"/>
    </row>
    <row r="2509" ht="13.5" customHeight="1">
      <c r="A2509" s="8" t="s">
        <v>1659</v>
      </c>
      <c r="B2509" s="8">
        <v>43940.0</v>
      </c>
      <c r="C2509" s="8"/>
      <c r="D2509" s="8"/>
      <c r="E2509" s="8"/>
      <c r="F2509" s="8"/>
    </row>
    <row r="2510" ht="13.5" customHeight="1">
      <c r="A2510" s="8" t="s">
        <v>1670</v>
      </c>
      <c r="B2510" s="8">
        <v>44036.0</v>
      </c>
      <c r="C2510" s="8"/>
      <c r="D2510" s="8"/>
      <c r="E2510" s="8"/>
      <c r="F2510" s="8"/>
    </row>
    <row r="2511" ht="13.5" customHeight="1">
      <c r="A2511" s="8" t="s">
        <v>1713</v>
      </c>
      <c r="B2511" s="8">
        <v>44225.0</v>
      </c>
      <c r="C2511" s="8"/>
      <c r="D2511" s="8"/>
      <c r="E2511" s="8"/>
      <c r="F2511" s="8"/>
    </row>
    <row r="2512" ht="13.5" customHeight="1">
      <c r="A2512" s="8" t="s">
        <v>1690</v>
      </c>
      <c r="B2512" s="8">
        <v>44352.0</v>
      </c>
      <c r="C2512" s="8"/>
      <c r="D2512" s="8"/>
      <c r="E2512" s="8"/>
      <c r="F2512" s="8"/>
    </row>
    <row r="2513" ht="13.5" customHeight="1">
      <c r="A2513" s="8" t="s">
        <v>1611</v>
      </c>
      <c r="B2513" s="8">
        <v>44487.0</v>
      </c>
      <c r="C2513" s="8"/>
      <c r="D2513" s="8"/>
      <c r="E2513" s="8"/>
      <c r="F2513" s="8"/>
    </row>
    <row r="2514" ht="13.5" customHeight="1">
      <c r="A2514" s="8" t="s">
        <v>1677</v>
      </c>
      <c r="B2514" s="8">
        <v>44775.0</v>
      </c>
      <c r="C2514" s="8"/>
      <c r="D2514" s="8"/>
      <c r="E2514" s="8"/>
      <c r="F2514" s="8"/>
    </row>
    <row r="2515" ht="13.5" customHeight="1">
      <c r="A2515" s="8" t="s">
        <v>1568</v>
      </c>
      <c r="B2515" s="8">
        <v>46337.0</v>
      </c>
      <c r="C2515" s="8"/>
      <c r="D2515" s="8"/>
      <c r="E2515" s="8"/>
      <c r="F2515" s="8"/>
    </row>
    <row r="2516" ht="13.5" customHeight="1">
      <c r="A2516" s="8" t="s">
        <v>1659</v>
      </c>
      <c r="B2516" s="8">
        <v>46562.0</v>
      </c>
      <c r="C2516" s="8"/>
      <c r="D2516" s="8"/>
      <c r="E2516" s="8"/>
      <c r="F2516" s="8"/>
    </row>
    <row r="2517" ht="13.5" customHeight="1">
      <c r="A2517" s="8" t="s">
        <v>1707</v>
      </c>
      <c r="B2517" s="8">
        <v>46597.0</v>
      </c>
      <c r="C2517" s="8"/>
      <c r="D2517" s="8"/>
      <c r="E2517" s="8"/>
      <c r="F2517" s="8"/>
    </row>
    <row r="2518" ht="13.5" customHeight="1">
      <c r="A2518" s="8" t="s">
        <v>1659</v>
      </c>
      <c r="B2518" s="8">
        <v>46725.0</v>
      </c>
      <c r="C2518" s="8"/>
      <c r="D2518" s="8"/>
      <c r="E2518" s="8"/>
      <c r="F2518" s="8"/>
    </row>
    <row r="2519" ht="13.5" customHeight="1">
      <c r="A2519" s="8" t="s">
        <v>1661</v>
      </c>
      <c r="B2519" s="8">
        <v>46787.0</v>
      </c>
      <c r="C2519" s="8"/>
      <c r="D2519" s="8"/>
      <c r="E2519" s="8"/>
      <c r="F2519" s="8"/>
    </row>
    <row r="2520" ht="13.5" customHeight="1">
      <c r="A2520" s="8" t="s">
        <v>1713</v>
      </c>
      <c r="B2520" s="8">
        <v>46916.0</v>
      </c>
      <c r="C2520" s="8"/>
      <c r="D2520" s="8"/>
      <c r="E2520" s="8"/>
      <c r="F2520" s="8"/>
    </row>
    <row r="2521" ht="13.5" customHeight="1">
      <c r="A2521" s="8" t="s">
        <v>1674</v>
      </c>
      <c r="B2521" s="8">
        <v>47265.0</v>
      </c>
      <c r="C2521" s="8"/>
      <c r="D2521" s="8"/>
      <c r="E2521" s="8"/>
      <c r="F2521" s="8"/>
    </row>
    <row r="2522" ht="13.5" customHeight="1">
      <c r="A2522" s="8" t="s">
        <v>1695</v>
      </c>
      <c r="B2522" s="8">
        <v>48487.0</v>
      </c>
      <c r="C2522" s="8"/>
      <c r="D2522" s="8"/>
      <c r="E2522" s="8"/>
      <c r="F2522" s="8"/>
    </row>
    <row r="2523" ht="13.5" customHeight="1">
      <c r="A2523" s="8" t="s">
        <v>1702</v>
      </c>
      <c r="B2523" s="8">
        <v>48774.0</v>
      </c>
      <c r="C2523" s="8"/>
      <c r="D2523" s="8"/>
      <c r="E2523" s="8"/>
      <c r="F2523" s="8"/>
    </row>
    <row r="2524" ht="13.5" customHeight="1">
      <c r="A2524" s="8" t="s">
        <v>1680</v>
      </c>
      <c r="B2524" s="8">
        <v>49381.0</v>
      </c>
      <c r="C2524" s="8"/>
      <c r="D2524" s="8"/>
      <c r="E2524" s="8"/>
      <c r="F2524" s="8"/>
    </row>
    <row r="2525" ht="13.5" customHeight="1">
      <c r="A2525" s="8" t="s">
        <v>1666</v>
      </c>
      <c r="B2525" s="8">
        <v>49666.0</v>
      </c>
      <c r="C2525" s="8"/>
      <c r="D2525" s="8"/>
      <c r="E2525" s="8"/>
      <c r="F2525" s="8"/>
    </row>
    <row r="2526" ht="13.5" customHeight="1">
      <c r="A2526" s="8" t="s">
        <v>1676</v>
      </c>
      <c r="B2526" s="8">
        <v>49762.0</v>
      </c>
      <c r="C2526" s="8"/>
      <c r="D2526" s="8"/>
      <c r="E2526" s="8"/>
      <c r="F2526" s="8"/>
    </row>
    <row r="2527" ht="13.5" customHeight="1">
      <c r="A2527" s="8" t="s">
        <v>1681</v>
      </c>
      <c r="B2527" s="8">
        <v>49831.0</v>
      </c>
      <c r="C2527" s="8"/>
      <c r="D2527" s="8"/>
      <c r="E2527" s="8"/>
      <c r="F2527" s="8"/>
    </row>
    <row r="2528" ht="13.5" customHeight="1">
      <c r="A2528" s="8" t="s">
        <v>969</v>
      </c>
      <c r="B2528" s="8">
        <v>49892.0</v>
      </c>
      <c r="C2528" s="8"/>
      <c r="D2528" s="8"/>
      <c r="E2528" s="8"/>
      <c r="F2528" s="8"/>
    </row>
    <row r="2529" ht="13.5" customHeight="1">
      <c r="A2529" s="8" t="s">
        <v>1611</v>
      </c>
      <c r="B2529" s="8">
        <v>49988.0</v>
      </c>
      <c r="C2529" s="8"/>
      <c r="D2529" s="8"/>
      <c r="E2529" s="8"/>
      <c r="F2529" s="8"/>
    </row>
    <row r="2530" ht="13.5" customHeight="1">
      <c r="A2530" s="8" t="s">
        <v>1568</v>
      </c>
      <c r="B2530" s="8">
        <v>50308.0</v>
      </c>
      <c r="C2530" s="8"/>
      <c r="D2530" s="8"/>
      <c r="E2530" s="8"/>
      <c r="F2530" s="8"/>
    </row>
    <row r="2531" ht="13.5" customHeight="1">
      <c r="A2531" s="8" t="s">
        <v>1193</v>
      </c>
      <c r="B2531" s="8">
        <v>50692.0</v>
      </c>
      <c r="C2531" s="8"/>
      <c r="D2531" s="8"/>
      <c r="E2531" s="8"/>
      <c r="F2531" s="8"/>
    </row>
    <row r="2532" ht="13.5" customHeight="1">
      <c r="A2532" s="8" t="s">
        <v>1500</v>
      </c>
      <c r="B2532" s="8">
        <v>50725.0</v>
      </c>
      <c r="C2532" s="8"/>
      <c r="D2532" s="8"/>
      <c r="E2532" s="8"/>
      <c r="F2532" s="8"/>
    </row>
    <row r="2533" ht="13.5" customHeight="1">
      <c r="A2533" s="8" t="s">
        <v>1691</v>
      </c>
      <c r="B2533" s="8">
        <v>50982.0</v>
      </c>
      <c r="C2533" s="8"/>
      <c r="D2533" s="8"/>
      <c r="E2533" s="8"/>
      <c r="F2533" s="8"/>
    </row>
    <row r="2534" ht="13.5" customHeight="1">
      <c r="A2534" s="8" t="s">
        <v>1707</v>
      </c>
      <c r="B2534" s="8">
        <v>51008.0</v>
      </c>
      <c r="C2534" s="8"/>
      <c r="D2534" s="8"/>
      <c r="E2534" s="8"/>
      <c r="F2534" s="8"/>
    </row>
    <row r="2535" ht="13.5" customHeight="1">
      <c r="A2535" s="8" t="s">
        <v>1568</v>
      </c>
      <c r="B2535" s="8">
        <v>51463.0</v>
      </c>
      <c r="C2535" s="8"/>
      <c r="D2535" s="8"/>
      <c r="E2535" s="8"/>
      <c r="F2535" s="8"/>
    </row>
    <row r="2536" ht="13.5" customHeight="1">
      <c r="A2536" s="8" t="s">
        <v>1660</v>
      </c>
      <c r="B2536" s="8">
        <v>51943.0</v>
      </c>
      <c r="C2536" s="8"/>
      <c r="D2536" s="8"/>
      <c r="E2536" s="8"/>
      <c r="F2536" s="8"/>
    </row>
    <row r="2537" ht="13.5" customHeight="1">
      <c r="A2537" s="8" t="s">
        <v>1698</v>
      </c>
      <c r="B2537" s="8">
        <v>52039.0</v>
      </c>
      <c r="C2537" s="8"/>
      <c r="D2537" s="8"/>
      <c r="E2537" s="8"/>
      <c r="F2537" s="8"/>
    </row>
    <row r="2538" ht="13.5" customHeight="1">
      <c r="A2538" s="8" t="s">
        <v>1677</v>
      </c>
      <c r="B2538" s="8">
        <v>52290.0</v>
      </c>
      <c r="C2538" s="8"/>
      <c r="D2538" s="8"/>
      <c r="E2538" s="8"/>
      <c r="F2538" s="8"/>
    </row>
    <row r="2539" ht="13.5" customHeight="1">
      <c r="A2539" s="8" t="s">
        <v>1659</v>
      </c>
      <c r="B2539" s="8">
        <v>52480.0</v>
      </c>
      <c r="C2539" s="8"/>
      <c r="D2539" s="8"/>
      <c r="E2539" s="8"/>
      <c r="F2539" s="8"/>
    </row>
    <row r="2540" ht="13.5" customHeight="1">
      <c r="A2540" s="8" t="s">
        <v>1660</v>
      </c>
      <c r="B2540" s="8">
        <v>52486.0</v>
      </c>
      <c r="C2540" s="8"/>
      <c r="D2540" s="8"/>
      <c r="E2540" s="8"/>
      <c r="F2540" s="8"/>
    </row>
    <row r="2541" ht="13.5" customHeight="1">
      <c r="A2541" s="8" t="s">
        <v>969</v>
      </c>
      <c r="B2541" s="8">
        <v>52519.0</v>
      </c>
      <c r="C2541" s="8"/>
      <c r="D2541" s="8"/>
      <c r="E2541" s="8"/>
      <c r="F2541" s="8"/>
    </row>
    <row r="2542" ht="13.5" customHeight="1">
      <c r="A2542" s="8" t="s">
        <v>1660</v>
      </c>
      <c r="B2542" s="8">
        <v>53188.0</v>
      </c>
      <c r="C2542" s="8"/>
      <c r="D2542" s="8"/>
      <c r="E2542" s="8"/>
      <c r="F2542" s="8"/>
    </row>
    <row r="2543" ht="13.5" customHeight="1">
      <c r="A2543" s="8" t="s">
        <v>1689</v>
      </c>
      <c r="B2543" s="8">
        <v>53223.0</v>
      </c>
      <c r="C2543" s="8"/>
      <c r="D2543" s="8"/>
      <c r="E2543" s="8"/>
      <c r="F2543" s="8"/>
    </row>
    <row r="2544" ht="13.5" customHeight="1">
      <c r="A2544" s="8" t="s">
        <v>1681</v>
      </c>
      <c r="B2544" s="8">
        <v>53248.0</v>
      </c>
      <c r="C2544" s="8"/>
      <c r="D2544" s="8"/>
      <c r="E2544" s="8"/>
      <c r="F2544" s="8"/>
    </row>
    <row r="2545" ht="13.5" customHeight="1">
      <c r="A2545" s="8" t="s">
        <v>1681</v>
      </c>
      <c r="B2545" s="8">
        <v>53411.0</v>
      </c>
      <c r="C2545" s="8"/>
      <c r="D2545" s="8"/>
      <c r="E2545" s="8"/>
      <c r="F2545" s="8"/>
    </row>
    <row r="2546" ht="13.5" customHeight="1">
      <c r="A2546" s="8" t="s">
        <v>1660</v>
      </c>
      <c r="B2546" s="8">
        <v>53668.0</v>
      </c>
      <c r="C2546" s="8"/>
      <c r="D2546" s="8"/>
      <c r="E2546" s="8"/>
      <c r="F2546" s="8"/>
    </row>
    <row r="2547" ht="13.5" customHeight="1">
      <c r="A2547" s="8" t="s">
        <v>1193</v>
      </c>
      <c r="B2547" s="8">
        <v>53730.0</v>
      </c>
      <c r="C2547" s="8"/>
      <c r="D2547" s="8"/>
      <c r="E2547" s="8"/>
      <c r="F2547" s="8"/>
    </row>
    <row r="2548" ht="13.5" customHeight="1">
      <c r="A2548" s="8" t="s">
        <v>1686</v>
      </c>
      <c r="B2548" s="8">
        <v>54020.0</v>
      </c>
      <c r="C2548" s="8"/>
      <c r="D2548" s="8"/>
      <c r="E2548" s="8"/>
      <c r="F2548" s="8"/>
    </row>
    <row r="2549" ht="13.5" customHeight="1">
      <c r="A2549" s="8" t="s">
        <v>728</v>
      </c>
      <c r="B2549" s="8">
        <v>54368.0</v>
      </c>
      <c r="C2549" s="8"/>
      <c r="D2549" s="8"/>
      <c r="E2549" s="8"/>
      <c r="F2549" s="8"/>
    </row>
    <row r="2550" ht="13.5" customHeight="1">
      <c r="A2550" s="8" t="s">
        <v>1568</v>
      </c>
      <c r="B2550" s="8">
        <v>54721.0</v>
      </c>
      <c r="C2550" s="8"/>
      <c r="D2550" s="8"/>
      <c r="E2550" s="8"/>
      <c r="F2550" s="8"/>
    </row>
    <row r="2551" ht="13.5" customHeight="1">
      <c r="A2551" s="8" t="s">
        <v>1112</v>
      </c>
      <c r="B2551" s="8">
        <v>55013.0</v>
      </c>
      <c r="C2551" s="8"/>
      <c r="D2551" s="8"/>
      <c r="E2551" s="8"/>
      <c r="F2551" s="8"/>
    </row>
    <row r="2552" ht="13.5" customHeight="1">
      <c r="A2552" s="8" t="s">
        <v>1689</v>
      </c>
      <c r="B2552" s="8">
        <v>55077.0</v>
      </c>
      <c r="C2552" s="8"/>
      <c r="D2552" s="8"/>
      <c r="E2552" s="8"/>
      <c r="F2552" s="8"/>
    </row>
    <row r="2553" ht="13.5" customHeight="1">
      <c r="A2553" s="8" t="s">
        <v>728</v>
      </c>
      <c r="B2553" s="8">
        <v>55206.0</v>
      </c>
      <c r="C2553" s="8"/>
      <c r="D2553" s="8"/>
      <c r="E2553" s="8"/>
      <c r="F2553" s="8"/>
    </row>
    <row r="2554" ht="13.5" customHeight="1">
      <c r="A2554" s="8" t="s">
        <v>1689</v>
      </c>
      <c r="B2554" s="8">
        <v>55492.0</v>
      </c>
      <c r="C2554" s="8"/>
      <c r="D2554" s="8"/>
      <c r="E2554" s="8"/>
      <c r="F2554" s="8"/>
    </row>
    <row r="2555" ht="13.5" customHeight="1">
      <c r="A2555" s="8" t="s">
        <v>1699</v>
      </c>
      <c r="B2555" s="8">
        <v>55744.0</v>
      </c>
      <c r="C2555" s="8"/>
      <c r="D2555" s="8"/>
      <c r="E2555" s="8"/>
      <c r="F2555" s="8"/>
    </row>
    <row r="2556" ht="13.5" customHeight="1">
      <c r="A2556" s="8" t="s">
        <v>1695</v>
      </c>
      <c r="B2556" s="8">
        <v>55968.0</v>
      </c>
      <c r="C2556" s="8"/>
      <c r="D2556" s="8"/>
      <c r="E2556" s="8"/>
      <c r="F2556" s="8"/>
    </row>
    <row r="2557" ht="13.5" customHeight="1">
      <c r="A2557" s="8" t="s">
        <v>1679</v>
      </c>
      <c r="B2557" s="8">
        <v>56288.0</v>
      </c>
      <c r="C2557" s="8"/>
      <c r="D2557" s="8"/>
      <c r="E2557" s="8"/>
      <c r="F2557" s="8"/>
    </row>
    <row r="2558" ht="13.5" customHeight="1">
      <c r="A2558" s="8" t="s">
        <v>1717</v>
      </c>
      <c r="B2558" s="8">
        <v>56291.0</v>
      </c>
      <c r="C2558" s="8"/>
      <c r="D2558" s="8"/>
      <c r="E2558" s="8"/>
      <c r="F2558" s="8"/>
    </row>
    <row r="2559" ht="13.5" customHeight="1">
      <c r="A2559" s="8" t="s">
        <v>1673</v>
      </c>
      <c r="B2559" s="8">
        <v>56486.0</v>
      </c>
      <c r="C2559" s="8"/>
      <c r="D2559" s="8"/>
      <c r="E2559" s="8"/>
      <c r="F2559" s="8"/>
    </row>
    <row r="2560" ht="13.5" customHeight="1">
      <c r="A2560" s="8" t="s">
        <v>1717</v>
      </c>
      <c r="B2560" s="8">
        <v>56514.0</v>
      </c>
      <c r="C2560" s="8"/>
      <c r="D2560" s="8"/>
      <c r="E2560" s="8"/>
      <c r="F2560" s="8"/>
    </row>
    <row r="2561" ht="13.5" customHeight="1">
      <c r="A2561" s="8" t="s">
        <v>1691</v>
      </c>
      <c r="B2561" s="8">
        <v>56672.0</v>
      </c>
      <c r="C2561" s="8"/>
      <c r="D2561" s="8"/>
      <c r="E2561" s="8"/>
      <c r="F2561" s="8"/>
    </row>
    <row r="2562" ht="13.5" customHeight="1">
      <c r="A2562" s="8" t="s">
        <v>1702</v>
      </c>
      <c r="B2562" s="8">
        <v>56931.0</v>
      </c>
      <c r="C2562" s="8"/>
      <c r="D2562" s="8"/>
      <c r="E2562" s="8"/>
      <c r="F2562" s="8"/>
    </row>
    <row r="2563" ht="13.5" customHeight="1">
      <c r="A2563" s="8" t="s">
        <v>1676</v>
      </c>
      <c r="B2563" s="8">
        <v>57025.0</v>
      </c>
      <c r="C2563" s="8"/>
      <c r="D2563" s="8"/>
      <c r="E2563" s="8"/>
      <c r="F2563" s="8"/>
    </row>
    <row r="2564" ht="13.5" customHeight="1">
      <c r="A2564" s="8" t="s">
        <v>1702</v>
      </c>
      <c r="B2564" s="8">
        <v>57061.0</v>
      </c>
      <c r="C2564" s="8"/>
      <c r="D2564" s="8"/>
      <c r="E2564" s="8"/>
      <c r="F2564" s="8"/>
    </row>
    <row r="2565" ht="13.5" customHeight="1">
      <c r="A2565" s="8" t="s">
        <v>1670</v>
      </c>
      <c r="B2565" s="8">
        <v>57217.0</v>
      </c>
      <c r="C2565" s="8"/>
      <c r="D2565" s="8"/>
      <c r="E2565" s="8"/>
      <c r="F2565" s="8"/>
    </row>
    <row r="2566" ht="13.5" customHeight="1">
      <c r="A2566" s="8" t="s">
        <v>1699</v>
      </c>
      <c r="B2566" s="8">
        <v>57504.0</v>
      </c>
      <c r="C2566" s="8"/>
      <c r="D2566" s="8"/>
      <c r="E2566" s="8"/>
      <c r="F2566" s="8"/>
    </row>
    <row r="2567" ht="13.5" customHeight="1">
      <c r="A2567" s="8" t="s">
        <v>1679</v>
      </c>
      <c r="B2567" s="8">
        <v>57666.0</v>
      </c>
      <c r="C2567" s="8"/>
      <c r="D2567" s="8"/>
      <c r="E2567" s="8"/>
      <c r="F2567" s="8"/>
    </row>
    <row r="2568" ht="13.5" customHeight="1">
      <c r="A2568" s="8" t="s">
        <v>1702</v>
      </c>
      <c r="B2568" s="8">
        <v>58496.0</v>
      </c>
      <c r="C2568" s="8"/>
      <c r="D2568" s="8"/>
      <c r="E2568" s="8"/>
      <c r="F2568" s="8"/>
    </row>
    <row r="2569" ht="13.5" customHeight="1">
      <c r="A2569" s="8" t="s">
        <v>1702</v>
      </c>
      <c r="B2569" s="8">
        <v>58628.0</v>
      </c>
      <c r="C2569" s="8"/>
      <c r="D2569" s="8"/>
      <c r="E2569" s="8"/>
      <c r="F2569" s="8"/>
    </row>
    <row r="2570" ht="13.5" customHeight="1">
      <c r="A2570" s="8" t="s">
        <v>1718</v>
      </c>
      <c r="B2570" s="8">
        <v>58854.0</v>
      </c>
      <c r="C2570" s="8"/>
      <c r="D2570" s="8"/>
      <c r="E2570" s="8"/>
      <c r="F2570" s="8"/>
    </row>
    <row r="2571" ht="13.5" customHeight="1">
      <c r="A2571" s="8" t="s">
        <v>1672</v>
      </c>
      <c r="B2571" s="8">
        <v>58917.0</v>
      </c>
      <c r="C2571" s="8"/>
      <c r="D2571" s="8"/>
      <c r="E2571" s="8"/>
      <c r="F2571" s="8"/>
    </row>
    <row r="2572" ht="13.5" customHeight="1">
      <c r="A2572" s="8" t="s">
        <v>1072</v>
      </c>
      <c r="B2572" s="8">
        <v>59104.0</v>
      </c>
      <c r="C2572" s="8"/>
      <c r="D2572" s="8"/>
      <c r="E2572" s="8"/>
      <c r="F2572" s="8"/>
    </row>
    <row r="2573" ht="13.5" customHeight="1">
      <c r="A2573" s="8" t="s">
        <v>1672</v>
      </c>
      <c r="B2573" s="8">
        <v>59937.0</v>
      </c>
      <c r="C2573" s="8"/>
      <c r="D2573" s="8"/>
      <c r="E2573" s="8"/>
      <c r="F2573" s="8"/>
    </row>
    <row r="2574" ht="13.5" customHeight="1">
      <c r="A2574" s="8" t="s">
        <v>1495</v>
      </c>
      <c r="B2574" s="8">
        <v>386.0</v>
      </c>
      <c r="C2574" s="8"/>
      <c r="D2574" s="8"/>
      <c r="E2574" s="8"/>
      <c r="F2574" s="8"/>
    </row>
    <row r="2575" ht="13.5" customHeight="1">
      <c r="A2575" s="8" t="s">
        <v>1720</v>
      </c>
      <c r="B2575" s="8">
        <v>416.0</v>
      </c>
      <c r="C2575" s="8"/>
      <c r="D2575" s="8"/>
      <c r="E2575" s="8"/>
      <c r="F2575" s="8"/>
    </row>
    <row r="2576" ht="13.5" customHeight="1">
      <c r="A2576" s="8" t="s">
        <v>1721</v>
      </c>
      <c r="B2576" s="8">
        <v>513.0</v>
      </c>
      <c r="C2576" s="8"/>
      <c r="D2576" s="8"/>
      <c r="E2576" s="8"/>
      <c r="F2576" s="8"/>
    </row>
    <row r="2577" ht="13.5" customHeight="1">
      <c r="A2577" s="8" t="s">
        <v>1721</v>
      </c>
      <c r="B2577" s="8">
        <v>611.0</v>
      </c>
      <c r="C2577" s="8"/>
      <c r="D2577" s="8"/>
      <c r="E2577" s="8"/>
      <c r="F2577" s="8"/>
    </row>
    <row r="2578" ht="13.5" customHeight="1">
      <c r="A2578" s="8" t="s">
        <v>1722</v>
      </c>
      <c r="B2578" s="8">
        <v>802.0</v>
      </c>
      <c r="C2578" s="8"/>
      <c r="D2578" s="8"/>
      <c r="E2578" s="8"/>
      <c r="F2578" s="8"/>
    </row>
    <row r="2579" ht="13.5" customHeight="1">
      <c r="A2579" s="8" t="s">
        <v>1723</v>
      </c>
      <c r="B2579" s="8">
        <v>960.0</v>
      </c>
      <c r="C2579" s="8"/>
      <c r="D2579" s="8"/>
      <c r="E2579" s="8"/>
      <c r="F2579" s="8"/>
    </row>
    <row r="2580" ht="13.5" customHeight="1">
      <c r="A2580" s="8" t="s">
        <v>1229</v>
      </c>
      <c r="B2580" s="8">
        <v>965.0</v>
      </c>
      <c r="C2580" s="8"/>
      <c r="D2580" s="8"/>
      <c r="E2580" s="8"/>
      <c r="F2580" s="8"/>
    </row>
    <row r="2581" ht="13.5" customHeight="1">
      <c r="A2581" s="8" t="s">
        <v>1720</v>
      </c>
      <c r="B2581" s="8">
        <v>1127.0</v>
      </c>
      <c r="C2581" s="8"/>
      <c r="D2581" s="8"/>
      <c r="E2581" s="8"/>
      <c r="F2581" s="8"/>
    </row>
    <row r="2582" ht="13.5" customHeight="1">
      <c r="A2582" s="8" t="s">
        <v>1724</v>
      </c>
      <c r="B2582" s="8">
        <v>1507.0</v>
      </c>
      <c r="C2582" s="8"/>
      <c r="D2582" s="8"/>
      <c r="E2582" s="8"/>
      <c r="F2582" s="8"/>
    </row>
    <row r="2583" ht="13.5" customHeight="1">
      <c r="A2583" s="8" t="s">
        <v>1725</v>
      </c>
      <c r="B2583" s="8">
        <v>1665.0</v>
      </c>
      <c r="C2583" s="8"/>
      <c r="D2583" s="8"/>
      <c r="E2583" s="8"/>
      <c r="F2583" s="8"/>
    </row>
    <row r="2584" ht="13.5" customHeight="1">
      <c r="A2584" s="8" t="s">
        <v>1726</v>
      </c>
      <c r="B2584" s="8">
        <v>1952.0</v>
      </c>
      <c r="C2584" s="8"/>
      <c r="D2584" s="8"/>
      <c r="E2584" s="8"/>
      <c r="F2584" s="8"/>
    </row>
    <row r="2585" ht="13.5" customHeight="1">
      <c r="A2585" s="8" t="s">
        <v>1727</v>
      </c>
      <c r="B2585" s="8">
        <v>1953.0</v>
      </c>
      <c r="C2585" s="8"/>
      <c r="D2585" s="8"/>
      <c r="E2585" s="8"/>
      <c r="F2585" s="8"/>
    </row>
    <row r="2586" ht="13.5" customHeight="1">
      <c r="A2586" s="8" t="s">
        <v>1727</v>
      </c>
      <c r="B2586" s="8">
        <v>2213.0</v>
      </c>
      <c r="C2586" s="8"/>
      <c r="D2586" s="8"/>
      <c r="E2586" s="8"/>
      <c r="F2586" s="8"/>
    </row>
    <row r="2587" ht="13.5" customHeight="1">
      <c r="A2587" s="8" t="s">
        <v>1728</v>
      </c>
      <c r="B2587" s="8">
        <v>2368.0</v>
      </c>
      <c r="C2587" s="8"/>
      <c r="D2587" s="8"/>
      <c r="E2587" s="8"/>
      <c r="F2587" s="8"/>
    </row>
    <row r="2588" ht="13.5" customHeight="1">
      <c r="A2588" s="8" t="s">
        <v>1724</v>
      </c>
      <c r="B2588" s="8">
        <v>2560.0</v>
      </c>
      <c r="C2588" s="8"/>
      <c r="D2588" s="8"/>
      <c r="E2588" s="8"/>
      <c r="F2588" s="8"/>
    </row>
    <row r="2589" ht="13.5" customHeight="1">
      <c r="A2589" s="8" t="s">
        <v>622</v>
      </c>
      <c r="B2589" s="8">
        <v>2754.0</v>
      </c>
      <c r="C2589" s="8"/>
      <c r="D2589" s="8"/>
      <c r="E2589" s="8"/>
      <c r="F2589" s="8"/>
    </row>
    <row r="2590" ht="13.5" customHeight="1">
      <c r="A2590" s="8" t="s">
        <v>1730</v>
      </c>
      <c r="B2590" s="8">
        <v>2755.0</v>
      </c>
      <c r="C2590" s="8"/>
      <c r="D2590" s="8"/>
      <c r="E2590" s="8"/>
      <c r="F2590" s="8"/>
    </row>
    <row r="2591" ht="13.5" customHeight="1">
      <c r="A2591" s="8" t="s">
        <v>1731</v>
      </c>
      <c r="B2591" s="8">
        <v>3333.0</v>
      </c>
      <c r="C2591" s="8"/>
      <c r="D2591" s="8"/>
      <c r="E2591" s="8"/>
      <c r="F2591" s="8"/>
    </row>
    <row r="2592" ht="13.5" customHeight="1">
      <c r="A2592" s="8" t="s">
        <v>1733</v>
      </c>
      <c r="B2592" s="8">
        <v>3460.0</v>
      </c>
      <c r="C2592" s="8"/>
      <c r="D2592" s="8"/>
      <c r="E2592" s="8"/>
      <c r="F2592" s="8"/>
    </row>
    <row r="2593" ht="13.5" customHeight="1">
      <c r="A2593" s="8" t="s">
        <v>1734</v>
      </c>
      <c r="B2593" s="8">
        <v>3591.0</v>
      </c>
      <c r="C2593" s="8"/>
      <c r="D2593" s="8"/>
      <c r="E2593" s="8"/>
      <c r="F2593" s="8"/>
    </row>
    <row r="2594" ht="13.5" customHeight="1">
      <c r="A2594" s="8" t="s">
        <v>1229</v>
      </c>
      <c r="B2594" s="8">
        <v>4006.0</v>
      </c>
      <c r="C2594" s="8"/>
      <c r="D2594" s="8"/>
      <c r="E2594" s="8"/>
      <c r="F2594" s="8"/>
    </row>
    <row r="2595" ht="13.5" customHeight="1">
      <c r="A2595" s="8" t="s">
        <v>1731</v>
      </c>
      <c r="B2595" s="8">
        <v>4193.0</v>
      </c>
      <c r="C2595" s="8"/>
      <c r="D2595" s="8"/>
      <c r="E2595" s="8"/>
      <c r="F2595" s="8"/>
    </row>
    <row r="2596" ht="13.5" customHeight="1">
      <c r="A2596" s="8" t="s">
        <v>1731</v>
      </c>
      <c r="B2596" s="8">
        <v>4387.0</v>
      </c>
      <c r="C2596" s="8"/>
      <c r="D2596" s="8"/>
      <c r="E2596" s="8"/>
      <c r="F2596" s="8"/>
    </row>
    <row r="2597" ht="13.5" customHeight="1">
      <c r="A2597" s="8" t="s">
        <v>1731</v>
      </c>
      <c r="B2597" s="8">
        <v>4512.0</v>
      </c>
      <c r="C2597" s="8"/>
      <c r="D2597" s="8"/>
      <c r="E2597" s="8"/>
      <c r="F2597" s="8"/>
    </row>
    <row r="2598" ht="13.5" customHeight="1">
      <c r="A2598" s="8" t="s">
        <v>1728</v>
      </c>
      <c r="B2598" s="8">
        <v>4839.0</v>
      </c>
      <c r="C2598" s="8"/>
      <c r="D2598" s="8"/>
      <c r="E2598" s="8"/>
      <c r="F2598" s="8"/>
    </row>
    <row r="2599" ht="13.5" customHeight="1">
      <c r="A2599" s="8" t="s">
        <v>1735</v>
      </c>
      <c r="B2599" s="8">
        <v>4935.0</v>
      </c>
      <c r="C2599" s="8"/>
      <c r="D2599" s="8"/>
      <c r="E2599" s="8"/>
      <c r="F2599" s="8"/>
    </row>
    <row r="2600" ht="13.5" customHeight="1">
      <c r="A2600" s="8" t="s">
        <v>1725</v>
      </c>
      <c r="B2600" s="8">
        <v>6403.0</v>
      </c>
      <c r="C2600" s="8"/>
      <c r="D2600" s="8"/>
      <c r="E2600" s="8"/>
      <c r="F2600" s="8"/>
    </row>
    <row r="2601" ht="13.5" customHeight="1">
      <c r="A2601" s="8" t="s">
        <v>1736</v>
      </c>
      <c r="B2601" s="8">
        <v>6754.0</v>
      </c>
      <c r="C2601" s="8"/>
      <c r="D2601" s="8"/>
      <c r="E2601" s="8"/>
      <c r="F2601" s="8"/>
    </row>
    <row r="2602" ht="13.5" customHeight="1">
      <c r="A2602" s="8" t="s">
        <v>1728</v>
      </c>
      <c r="B2602" s="8">
        <v>7619.0</v>
      </c>
      <c r="C2602" s="8"/>
      <c r="D2602" s="8"/>
      <c r="E2602" s="8"/>
      <c r="F2602" s="8"/>
    </row>
    <row r="2603" ht="13.5" customHeight="1">
      <c r="A2603" s="8" t="s">
        <v>1722</v>
      </c>
      <c r="B2603" s="8">
        <v>7744.0</v>
      </c>
      <c r="C2603" s="8"/>
      <c r="D2603" s="8"/>
      <c r="E2603" s="8"/>
      <c r="F2603" s="8"/>
    </row>
    <row r="2604" ht="13.5" customHeight="1">
      <c r="A2604" s="8" t="s">
        <v>1720</v>
      </c>
      <c r="B2604" s="8">
        <v>8006.0</v>
      </c>
      <c r="C2604" s="8"/>
      <c r="D2604" s="8"/>
      <c r="E2604" s="8"/>
      <c r="F2604" s="8"/>
    </row>
    <row r="2605" ht="13.5" customHeight="1">
      <c r="A2605" s="8" t="s">
        <v>973</v>
      </c>
      <c r="B2605" s="8">
        <v>8224.0</v>
      </c>
      <c r="C2605" s="8"/>
      <c r="D2605" s="8"/>
      <c r="E2605" s="8"/>
      <c r="F2605" s="8"/>
    </row>
    <row r="2606" ht="13.5" customHeight="1">
      <c r="A2606" s="8" t="s">
        <v>1229</v>
      </c>
      <c r="B2606" s="8">
        <v>8323.0</v>
      </c>
      <c r="C2606" s="8"/>
      <c r="D2606" s="8"/>
      <c r="E2606" s="8"/>
      <c r="F2606" s="8"/>
    </row>
    <row r="2607" ht="13.5" customHeight="1">
      <c r="A2607" s="8" t="s">
        <v>1738</v>
      </c>
      <c r="B2607" s="8">
        <v>8480.0</v>
      </c>
      <c r="C2607" s="8"/>
      <c r="D2607" s="8"/>
      <c r="E2607" s="8"/>
      <c r="F2607" s="8"/>
    </row>
    <row r="2608" ht="13.5" customHeight="1">
      <c r="A2608" s="8" t="s">
        <v>1725</v>
      </c>
      <c r="B2608" s="8">
        <v>9568.0</v>
      </c>
      <c r="C2608" s="8"/>
      <c r="D2608" s="8"/>
      <c r="E2608" s="8"/>
      <c r="F2608" s="8"/>
    </row>
    <row r="2609" ht="13.5" customHeight="1">
      <c r="A2609" s="8" t="s">
        <v>1734</v>
      </c>
      <c r="B2609" s="8">
        <v>9701.0</v>
      </c>
      <c r="C2609" s="8"/>
      <c r="D2609" s="8"/>
      <c r="E2609" s="8"/>
      <c r="F2609" s="8"/>
    </row>
    <row r="2610" ht="13.5" customHeight="1">
      <c r="A2610" s="8" t="s">
        <v>1739</v>
      </c>
      <c r="B2610" s="8">
        <v>9926.0</v>
      </c>
      <c r="C2610" s="8"/>
      <c r="D2610" s="8"/>
      <c r="E2610" s="8"/>
      <c r="F2610" s="8"/>
    </row>
    <row r="2611" ht="13.5" customHeight="1">
      <c r="A2611" s="8" t="s">
        <v>1728</v>
      </c>
      <c r="B2611" s="8">
        <v>10373.0</v>
      </c>
      <c r="C2611" s="8"/>
      <c r="D2611" s="8"/>
      <c r="E2611" s="8"/>
      <c r="F2611" s="8"/>
    </row>
    <row r="2612" ht="13.5" customHeight="1">
      <c r="A2612" s="8" t="s">
        <v>1740</v>
      </c>
      <c r="B2612" s="8">
        <v>11111.0</v>
      </c>
      <c r="C2612" s="8"/>
      <c r="D2612" s="8"/>
      <c r="E2612" s="8"/>
      <c r="F2612" s="8"/>
    </row>
    <row r="2613" ht="13.5" customHeight="1">
      <c r="A2613" s="8" t="s">
        <v>1137</v>
      </c>
      <c r="B2613" s="8">
        <v>11173.0</v>
      </c>
      <c r="C2613" s="8"/>
      <c r="D2613" s="8"/>
      <c r="E2613" s="8"/>
      <c r="F2613" s="8"/>
    </row>
    <row r="2614" ht="13.5" customHeight="1">
      <c r="A2614" s="8" t="s">
        <v>1741</v>
      </c>
      <c r="B2614" s="8">
        <v>11239.0</v>
      </c>
      <c r="C2614" s="8"/>
      <c r="D2614" s="8"/>
      <c r="E2614" s="8"/>
      <c r="F2614" s="8"/>
    </row>
    <row r="2615" ht="13.5" customHeight="1">
      <c r="A2615" s="8" t="s">
        <v>1742</v>
      </c>
      <c r="B2615" s="8">
        <v>11396.0</v>
      </c>
      <c r="C2615" s="8"/>
      <c r="D2615" s="8"/>
      <c r="E2615" s="8"/>
      <c r="F2615" s="8"/>
    </row>
    <row r="2616" ht="13.5" customHeight="1">
      <c r="A2616" s="8" t="s">
        <v>1495</v>
      </c>
      <c r="B2616" s="8">
        <v>11808.0</v>
      </c>
      <c r="C2616" s="8"/>
      <c r="D2616" s="8"/>
      <c r="E2616" s="8"/>
      <c r="F2616" s="8"/>
    </row>
    <row r="2617" ht="13.5" customHeight="1">
      <c r="A2617" s="8" t="s">
        <v>1495</v>
      </c>
      <c r="B2617" s="8">
        <v>11874.0</v>
      </c>
      <c r="C2617" s="8"/>
      <c r="D2617" s="8"/>
      <c r="E2617" s="8"/>
      <c r="F2617" s="8"/>
    </row>
    <row r="2618" ht="13.5" customHeight="1">
      <c r="A2618" s="8" t="s">
        <v>1741</v>
      </c>
      <c r="B2618" s="8">
        <v>12322.0</v>
      </c>
      <c r="C2618" s="8"/>
      <c r="D2618" s="8"/>
      <c r="E2618" s="8"/>
      <c r="F2618" s="8"/>
    </row>
    <row r="2619" ht="13.5" customHeight="1">
      <c r="A2619" s="8" t="s">
        <v>1733</v>
      </c>
      <c r="B2619" s="8">
        <v>12480.0</v>
      </c>
      <c r="C2619" s="8"/>
      <c r="D2619" s="8"/>
      <c r="E2619" s="8"/>
      <c r="F2619" s="8"/>
    </row>
    <row r="2620" ht="13.5" customHeight="1">
      <c r="A2620" s="8" t="s">
        <v>1744</v>
      </c>
      <c r="B2620" s="8">
        <v>12516.0</v>
      </c>
      <c r="C2620" s="8"/>
      <c r="D2620" s="8"/>
      <c r="E2620" s="8"/>
      <c r="F2620" s="8"/>
    </row>
    <row r="2621" ht="13.5" customHeight="1">
      <c r="A2621" s="8" t="s">
        <v>1746</v>
      </c>
      <c r="B2621" s="8">
        <v>13088.0</v>
      </c>
      <c r="C2621" s="8"/>
      <c r="D2621" s="8"/>
      <c r="E2621" s="8"/>
      <c r="F2621" s="8"/>
    </row>
    <row r="2622" ht="13.5" customHeight="1">
      <c r="A2622" s="8" t="s">
        <v>1735</v>
      </c>
      <c r="B2622" s="8">
        <v>13121.0</v>
      </c>
      <c r="C2622" s="8"/>
      <c r="D2622" s="8"/>
      <c r="E2622" s="8"/>
      <c r="F2622" s="8"/>
    </row>
    <row r="2623" ht="13.5" customHeight="1">
      <c r="A2623" s="8" t="s">
        <v>1723</v>
      </c>
      <c r="B2623" s="8">
        <v>13348.0</v>
      </c>
      <c r="C2623" s="8"/>
      <c r="D2623" s="8"/>
      <c r="E2623" s="8"/>
      <c r="F2623" s="8"/>
    </row>
    <row r="2624" ht="13.5" customHeight="1">
      <c r="A2624" s="8" t="s">
        <v>1747</v>
      </c>
      <c r="B2624" s="8">
        <v>13413.0</v>
      </c>
      <c r="C2624" s="8"/>
      <c r="D2624" s="8"/>
      <c r="E2624" s="8"/>
      <c r="F2624" s="8"/>
    </row>
    <row r="2625" ht="13.5" customHeight="1">
      <c r="A2625" s="8" t="s">
        <v>1748</v>
      </c>
      <c r="B2625" s="8">
        <v>13447.0</v>
      </c>
      <c r="C2625" s="8"/>
      <c r="D2625" s="8"/>
      <c r="E2625" s="8"/>
      <c r="F2625" s="8"/>
    </row>
    <row r="2626" ht="13.5" customHeight="1">
      <c r="A2626" s="8" t="s">
        <v>1733</v>
      </c>
      <c r="B2626" s="8">
        <v>13638.0</v>
      </c>
      <c r="C2626" s="8"/>
      <c r="D2626" s="8"/>
      <c r="E2626" s="8"/>
      <c r="F2626" s="8"/>
    </row>
    <row r="2627" ht="13.5" customHeight="1">
      <c r="A2627" s="8" t="s">
        <v>1688</v>
      </c>
      <c r="B2627" s="8">
        <v>13761.0</v>
      </c>
      <c r="C2627" s="8"/>
      <c r="D2627" s="8"/>
      <c r="E2627" s="8"/>
      <c r="F2627" s="8"/>
    </row>
    <row r="2628" ht="13.5" customHeight="1">
      <c r="A2628" s="8" t="s">
        <v>1750</v>
      </c>
      <c r="B2628" s="8">
        <v>14247.0</v>
      </c>
      <c r="C2628" s="8"/>
      <c r="D2628" s="8"/>
      <c r="E2628" s="8"/>
      <c r="F2628" s="8"/>
    </row>
    <row r="2629" ht="13.5" customHeight="1">
      <c r="A2629" s="8" t="s">
        <v>1733</v>
      </c>
      <c r="B2629" s="8">
        <v>14755.0</v>
      </c>
      <c r="C2629" s="8"/>
      <c r="D2629" s="8"/>
      <c r="E2629" s="8"/>
      <c r="F2629" s="8"/>
    </row>
    <row r="2630" ht="13.5" customHeight="1">
      <c r="A2630" s="8" t="s">
        <v>1738</v>
      </c>
      <c r="B2630" s="8">
        <v>14854.0</v>
      </c>
      <c r="C2630" s="8"/>
      <c r="D2630" s="8"/>
      <c r="E2630" s="8"/>
      <c r="F2630" s="8"/>
    </row>
    <row r="2631" ht="13.5" customHeight="1">
      <c r="A2631" s="8" t="s">
        <v>1688</v>
      </c>
      <c r="B2631" s="8">
        <v>15078.0</v>
      </c>
      <c r="C2631" s="8"/>
      <c r="D2631" s="8"/>
      <c r="E2631" s="8"/>
      <c r="F2631" s="8"/>
    </row>
    <row r="2632" ht="13.5" customHeight="1">
      <c r="A2632" s="8" t="s">
        <v>1229</v>
      </c>
      <c r="B2632" s="8">
        <v>15744.0</v>
      </c>
      <c r="C2632" s="8"/>
      <c r="D2632" s="8"/>
      <c r="E2632" s="8"/>
      <c r="F2632" s="8"/>
    </row>
    <row r="2633" ht="13.5" customHeight="1">
      <c r="A2633" s="8" t="s">
        <v>1382</v>
      </c>
      <c r="B2633" s="8">
        <v>16454.0</v>
      </c>
      <c r="C2633" s="8"/>
      <c r="D2633" s="8"/>
      <c r="E2633" s="8"/>
      <c r="F2633" s="8"/>
    </row>
    <row r="2634" ht="13.5" customHeight="1">
      <c r="A2634" s="8" t="s">
        <v>1728</v>
      </c>
      <c r="B2634" s="8">
        <v>16676.0</v>
      </c>
      <c r="C2634" s="8"/>
      <c r="D2634" s="8"/>
      <c r="E2634" s="8"/>
      <c r="F2634" s="8"/>
    </row>
    <row r="2635" ht="13.5" customHeight="1">
      <c r="A2635" s="8" t="s">
        <v>1728</v>
      </c>
      <c r="B2635" s="8">
        <v>16897.0</v>
      </c>
      <c r="C2635" s="8"/>
      <c r="D2635" s="8"/>
      <c r="E2635" s="8"/>
      <c r="F2635" s="8"/>
    </row>
    <row r="2636" ht="13.5" customHeight="1">
      <c r="A2636" s="8" t="s">
        <v>1720</v>
      </c>
      <c r="B2636" s="8">
        <v>16999.0</v>
      </c>
      <c r="C2636" s="8"/>
      <c r="D2636" s="8"/>
      <c r="E2636" s="8"/>
      <c r="F2636" s="8"/>
    </row>
    <row r="2637" ht="13.5" customHeight="1">
      <c r="A2637" s="8" t="s">
        <v>1722</v>
      </c>
      <c r="B2637" s="8">
        <v>17091.0</v>
      </c>
      <c r="C2637" s="8"/>
      <c r="D2637" s="8"/>
      <c r="E2637" s="8"/>
      <c r="F2637" s="8"/>
    </row>
    <row r="2638" ht="13.5" customHeight="1">
      <c r="A2638" s="8" t="s">
        <v>1742</v>
      </c>
      <c r="B2638" s="8">
        <v>17249.0</v>
      </c>
      <c r="C2638" s="8"/>
      <c r="D2638" s="8"/>
      <c r="E2638" s="8"/>
      <c r="F2638" s="8"/>
    </row>
    <row r="2639" ht="13.5" customHeight="1">
      <c r="A2639" s="8" t="s">
        <v>1189</v>
      </c>
      <c r="B2639" s="8">
        <v>17670.0</v>
      </c>
      <c r="C2639" s="8"/>
      <c r="D2639" s="8"/>
      <c r="E2639" s="8"/>
      <c r="F2639" s="8"/>
    </row>
    <row r="2640" ht="13.5" customHeight="1">
      <c r="A2640" s="8" t="s">
        <v>1744</v>
      </c>
      <c r="B2640" s="8">
        <v>17797.0</v>
      </c>
      <c r="C2640" s="8"/>
      <c r="D2640" s="8"/>
      <c r="E2640" s="8"/>
      <c r="F2640" s="8"/>
    </row>
    <row r="2641" ht="13.5" customHeight="1">
      <c r="A2641" s="8" t="s">
        <v>1740</v>
      </c>
      <c r="B2641" s="8">
        <v>18213.0</v>
      </c>
      <c r="C2641" s="8"/>
      <c r="D2641" s="8"/>
      <c r="E2641" s="8"/>
      <c r="F2641" s="8"/>
    </row>
    <row r="2642" ht="13.5" customHeight="1">
      <c r="A2642" s="8" t="s">
        <v>1750</v>
      </c>
      <c r="B2642" s="8">
        <v>18241.0</v>
      </c>
      <c r="C2642" s="8"/>
      <c r="D2642" s="8"/>
      <c r="E2642" s="8"/>
      <c r="F2642" s="8"/>
    </row>
    <row r="2643" ht="13.5" customHeight="1">
      <c r="A2643" s="8" t="s">
        <v>1382</v>
      </c>
      <c r="B2643" s="8">
        <v>18244.0</v>
      </c>
      <c r="C2643" s="8"/>
      <c r="D2643" s="8"/>
      <c r="E2643" s="8"/>
      <c r="F2643" s="8"/>
    </row>
    <row r="2644" ht="13.5" customHeight="1">
      <c r="A2644" s="8" t="s">
        <v>1751</v>
      </c>
      <c r="B2644" s="8">
        <v>18465.0</v>
      </c>
      <c r="C2644" s="8"/>
      <c r="D2644" s="8"/>
      <c r="E2644" s="8"/>
      <c r="F2644" s="8"/>
    </row>
    <row r="2645" ht="13.5" customHeight="1">
      <c r="A2645" s="8" t="s">
        <v>1229</v>
      </c>
      <c r="B2645" s="8">
        <v>18528.0</v>
      </c>
      <c r="C2645" s="8"/>
      <c r="D2645" s="8"/>
      <c r="E2645" s="8"/>
      <c r="F2645" s="8"/>
    </row>
    <row r="2646" ht="13.5" customHeight="1">
      <c r="A2646" s="8" t="s">
        <v>1733</v>
      </c>
      <c r="B2646" s="8">
        <v>18917.0</v>
      </c>
      <c r="C2646" s="8"/>
      <c r="D2646" s="8"/>
      <c r="E2646" s="8"/>
      <c r="F2646" s="8"/>
    </row>
    <row r="2647" ht="13.5" customHeight="1">
      <c r="A2647" s="8" t="s">
        <v>1736</v>
      </c>
      <c r="B2647" s="8">
        <v>19493.0</v>
      </c>
      <c r="C2647" s="8"/>
      <c r="D2647" s="8"/>
      <c r="E2647" s="8"/>
      <c r="F2647" s="8"/>
    </row>
    <row r="2648" ht="13.5" customHeight="1">
      <c r="A2648" s="8" t="s">
        <v>1688</v>
      </c>
      <c r="B2648" s="8">
        <v>19616.0</v>
      </c>
      <c r="C2648" s="8"/>
      <c r="D2648" s="8"/>
      <c r="E2648" s="8"/>
      <c r="F2648" s="8"/>
    </row>
    <row r="2649" ht="13.5" customHeight="1">
      <c r="A2649" s="8" t="s">
        <v>1731</v>
      </c>
      <c r="B2649" s="8">
        <v>20390.0</v>
      </c>
      <c r="C2649" s="8"/>
      <c r="D2649" s="8"/>
      <c r="E2649" s="8"/>
      <c r="F2649" s="8"/>
    </row>
    <row r="2650" ht="13.5" customHeight="1">
      <c r="A2650" s="8" t="s">
        <v>1736</v>
      </c>
      <c r="B2650" s="8">
        <v>20451.0</v>
      </c>
      <c r="C2650" s="8"/>
      <c r="D2650" s="8"/>
      <c r="E2650" s="8"/>
      <c r="F2650" s="8"/>
    </row>
    <row r="2651" ht="13.5" customHeight="1">
      <c r="A2651" s="8" t="s">
        <v>1726</v>
      </c>
      <c r="B2651" s="8">
        <v>20486.0</v>
      </c>
      <c r="C2651" s="8"/>
      <c r="D2651" s="8"/>
      <c r="E2651" s="8"/>
      <c r="F2651" s="8"/>
    </row>
    <row r="2652" ht="13.5" customHeight="1">
      <c r="A2652" s="8" t="s">
        <v>1721</v>
      </c>
      <c r="B2652" s="8">
        <v>20899.0</v>
      </c>
      <c r="C2652" s="8"/>
      <c r="D2652" s="8"/>
      <c r="E2652" s="8"/>
      <c r="F2652" s="8"/>
    </row>
    <row r="2653" ht="13.5" customHeight="1">
      <c r="A2653" s="8" t="s">
        <v>1744</v>
      </c>
      <c r="B2653" s="8">
        <v>21089.0</v>
      </c>
      <c r="C2653" s="8"/>
      <c r="D2653" s="8"/>
      <c r="E2653" s="8"/>
      <c r="F2653" s="8"/>
    </row>
    <row r="2654" ht="13.5" customHeight="1">
      <c r="A2654" s="8" t="s">
        <v>1754</v>
      </c>
      <c r="B2654" s="8">
        <v>21634.0</v>
      </c>
      <c r="C2654" s="8"/>
      <c r="D2654" s="8"/>
      <c r="E2654" s="8"/>
      <c r="F2654" s="8"/>
    </row>
    <row r="2655" ht="13.5" customHeight="1">
      <c r="A2655" s="8" t="s">
        <v>1721</v>
      </c>
      <c r="B2655" s="8">
        <v>21665.0</v>
      </c>
      <c r="C2655" s="8"/>
      <c r="D2655" s="8"/>
      <c r="E2655" s="8"/>
      <c r="F2655" s="8"/>
    </row>
    <row r="2656" ht="13.5" customHeight="1">
      <c r="A2656" s="8" t="s">
        <v>1735</v>
      </c>
      <c r="B2656" s="8">
        <v>21729.0</v>
      </c>
      <c r="C2656" s="8"/>
      <c r="D2656" s="8"/>
      <c r="E2656" s="8"/>
      <c r="F2656" s="8"/>
    </row>
    <row r="2657" ht="13.5" customHeight="1">
      <c r="A2657" s="8" t="s">
        <v>1744</v>
      </c>
      <c r="B2657" s="8">
        <v>21796.0</v>
      </c>
      <c r="C2657" s="8"/>
      <c r="D2657" s="8"/>
      <c r="E2657" s="8"/>
      <c r="F2657" s="8"/>
    </row>
    <row r="2658" ht="13.5" customHeight="1">
      <c r="A2658" s="8" t="s">
        <v>1728</v>
      </c>
      <c r="B2658" s="8">
        <v>21958.0</v>
      </c>
      <c r="C2658" s="8"/>
      <c r="D2658" s="8"/>
      <c r="E2658" s="8"/>
      <c r="F2658" s="8"/>
    </row>
    <row r="2659" ht="13.5" customHeight="1">
      <c r="A2659" s="8" t="s">
        <v>1733</v>
      </c>
      <c r="B2659" s="8">
        <v>22468.0</v>
      </c>
      <c r="C2659" s="8"/>
      <c r="D2659" s="8"/>
      <c r="E2659" s="8"/>
      <c r="F2659" s="8"/>
    </row>
    <row r="2660" ht="13.5" customHeight="1">
      <c r="A2660" s="8" t="s">
        <v>1725</v>
      </c>
      <c r="B2660" s="8">
        <v>22626.0</v>
      </c>
      <c r="C2660" s="8"/>
      <c r="D2660" s="8"/>
      <c r="E2660" s="8"/>
      <c r="F2660" s="8"/>
    </row>
    <row r="2661" ht="13.5" customHeight="1">
      <c r="A2661" s="8" t="s">
        <v>1720</v>
      </c>
      <c r="B2661" s="8">
        <v>23205.0</v>
      </c>
      <c r="C2661" s="8"/>
      <c r="D2661" s="8"/>
      <c r="E2661" s="8"/>
      <c r="F2661" s="8"/>
    </row>
    <row r="2662" ht="13.5" customHeight="1">
      <c r="A2662" s="8" t="s">
        <v>1722</v>
      </c>
      <c r="B2662" s="8">
        <v>23394.0</v>
      </c>
      <c r="C2662" s="8"/>
      <c r="D2662" s="8"/>
      <c r="E2662" s="8"/>
      <c r="F2662" s="8"/>
    </row>
    <row r="2663" ht="13.5" customHeight="1">
      <c r="A2663" s="8" t="s">
        <v>1688</v>
      </c>
      <c r="B2663" s="8">
        <v>24390.0</v>
      </c>
      <c r="C2663" s="8"/>
      <c r="D2663" s="8"/>
      <c r="E2663" s="8"/>
      <c r="F2663" s="8"/>
    </row>
    <row r="2664" ht="13.5" customHeight="1">
      <c r="A2664" s="8" t="s">
        <v>1746</v>
      </c>
      <c r="B2664" s="8">
        <v>24643.0</v>
      </c>
      <c r="C2664" s="8"/>
      <c r="D2664" s="8"/>
      <c r="E2664" s="8"/>
      <c r="F2664" s="8"/>
    </row>
    <row r="2665" ht="13.5" customHeight="1">
      <c r="A2665" s="8" t="s">
        <v>1137</v>
      </c>
      <c r="B2665" s="8">
        <v>24679.0</v>
      </c>
      <c r="C2665" s="8"/>
      <c r="D2665" s="8"/>
      <c r="E2665" s="8"/>
      <c r="F2665" s="8"/>
    </row>
    <row r="2666" ht="13.5" customHeight="1">
      <c r="A2666" s="8" t="s">
        <v>1728</v>
      </c>
      <c r="B2666" s="8">
        <v>25062.0</v>
      </c>
      <c r="C2666" s="8"/>
      <c r="D2666" s="8"/>
      <c r="E2666" s="8"/>
      <c r="F2666" s="8"/>
    </row>
    <row r="2667" ht="13.5" customHeight="1">
      <c r="A2667" s="8" t="s">
        <v>1742</v>
      </c>
      <c r="B2667" s="8">
        <v>25152.0</v>
      </c>
      <c r="C2667" s="8"/>
      <c r="D2667" s="8"/>
      <c r="E2667" s="8"/>
      <c r="F2667" s="8"/>
    </row>
    <row r="2668" ht="13.5" customHeight="1">
      <c r="A2668" s="8" t="s">
        <v>1723</v>
      </c>
      <c r="B2668" s="8">
        <v>25478.0</v>
      </c>
      <c r="C2668" s="8"/>
      <c r="D2668" s="8"/>
      <c r="E2668" s="8"/>
      <c r="F2668" s="8"/>
    </row>
    <row r="2669" ht="13.5" customHeight="1">
      <c r="A2669" s="8" t="s">
        <v>1721</v>
      </c>
      <c r="B2669" s="8">
        <v>26469.0</v>
      </c>
      <c r="C2669" s="8"/>
      <c r="D2669" s="8"/>
      <c r="E2669" s="8"/>
      <c r="F2669" s="8"/>
    </row>
    <row r="2670" ht="13.5" customHeight="1">
      <c r="A2670" s="8" t="s">
        <v>1724</v>
      </c>
      <c r="B2670" s="8">
        <v>26470.0</v>
      </c>
      <c r="C2670" s="8"/>
      <c r="D2670" s="8"/>
      <c r="E2670" s="8"/>
      <c r="F2670" s="8"/>
    </row>
    <row r="2671" ht="13.5" customHeight="1">
      <c r="A2671" s="8" t="s">
        <v>1757</v>
      </c>
      <c r="B2671" s="8">
        <v>26565.0</v>
      </c>
      <c r="C2671" s="8"/>
      <c r="D2671" s="8"/>
      <c r="E2671" s="8"/>
      <c r="F2671" s="8"/>
    </row>
    <row r="2672" ht="13.5" customHeight="1">
      <c r="A2672" s="8" t="s">
        <v>1723</v>
      </c>
      <c r="B2672" s="8">
        <v>26852.0</v>
      </c>
      <c r="C2672" s="8"/>
      <c r="D2672" s="8"/>
      <c r="E2672" s="8"/>
      <c r="F2672" s="8"/>
    </row>
    <row r="2673" ht="13.5" customHeight="1">
      <c r="A2673" s="8" t="s">
        <v>1568</v>
      </c>
      <c r="B2673" s="8">
        <v>27299.0</v>
      </c>
      <c r="C2673" s="8"/>
      <c r="D2673" s="8"/>
      <c r="E2673" s="8"/>
      <c r="F2673" s="8"/>
    </row>
    <row r="2674" ht="13.5" customHeight="1">
      <c r="A2674" s="8" t="s">
        <v>1758</v>
      </c>
      <c r="B2674" s="8">
        <v>27300.0</v>
      </c>
      <c r="C2674" s="8"/>
      <c r="D2674" s="8"/>
      <c r="E2674" s="8"/>
      <c r="F2674" s="8"/>
    </row>
    <row r="2675" ht="13.5" customHeight="1">
      <c r="A2675" s="8" t="s">
        <v>1738</v>
      </c>
      <c r="B2675" s="8">
        <v>27557.0</v>
      </c>
      <c r="C2675" s="8"/>
      <c r="D2675" s="8"/>
      <c r="E2675" s="8"/>
      <c r="F2675" s="8"/>
    </row>
    <row r="2676" ht="13.5" customHeight="1">
      <c r="A2676" s="8" t="s">
        <v>1754</v>
      </c>
      <c r="B2676" s="8">
        <v>27654.0</v>
      </c>
      <c r="C2676" s="8"/>
      <c r="D2676" s="8"/>
      <c r="E2676" s="8"/>
      <c r="F2676" s="8"/>
    </row>
    <row r="2677" ht="13.5" customHeight="1">
      <c r="A2677" s="8" t="s">
        <v>1725</v>
      </c>
      <c r="B2677" s="8">
        <v>27684.0</v>
      </c>
      <c r="C2677" s="8"/>
      <c r="D2677" s="8"/>
      <c r="E2677" s="8"/>
      <c r="F2677" s="8"/>
    </row>
    <row r="2678" ht="13.5" customHeight="1">
      <c r="A2678" s="8" t="s">
        <v>1759</v>
      </c>
      <c r="B2678" s="8">
        <v>27811.0</v>
      </c>
      <c r="C2678" s="8"/>
      <c r="D2678" s="8"/>
      <c r="E2678" s="8"/>
      <c r="F2678" s="8"/>
    </row>
    <row r="2679" ht="13.5" customHeight="1">
      <c r="A2679" s="8" t="s">
        <v>1721</v>
      </c>
      <c r="B2679" s="8">
        <v>28064.0</v>
      </c>
      <c r="C2679" s="8"/>
      <c r="D2679" s="8"/>
      <c r="E2679" s="8"/>
      <c r="F2679" s="8"/>
    </row>
    <row r="2680" ht="13.5" customHeight="1">
      <c r="A2680" s="8" t="s">
        <v>1750</v>
      </c>
      <c r="B2680" s="8">
        <v>28258.0</v>
      </c>
      <c r="C2680" s="8"/>
      <c r="D2680" s="8"/>
      <c r="E2680" s="8"/>
      <c r="F2680" s="8"/>
    </row>
    <row r="2681" ht="13.5" customHeight="1">
      <c r="A2681" s="8" t="s">
        <v>1733</v>
      </c>
      <c r="B2681" s="8">
        <v>28321.0</v>
      </c>
      <c r="C2681" s="8"/>
      <c r="D2681" s="8"/>
      <c r="E2681" s="8"/>
      <c r="F2681" s="8"/>
    </row>
    <row r="2682" ht="13.5" customHeight="1">
      <c r="A2682" s="8" t="s">
        <v>1189</v>
      </c>
      <c r="B2682" s="8">
        <v>28454.0</v>
      </c>
      <c r="C2682" s="8"/>
      <c r="D2682" s="8"/>
      <c r="E2682" s="8"/>
      <c r="F2682" s="8"/>
    </row>
    <row r="2683" ht="13.5" customHeight="1">
      <c r="A2683" s="8" t="s">
        <v>1728</v>
      </c>
      <c r="B2683" s="8">
        <v>29255.0</v>
      </c>
      <c r="C2683" s="8"/>
      <c r="D2683" s="8"/>
      <c r="E2683" s="8"/>
      <c r="F2683" s="8"/>
    </row>
    <row r="2684" ht="13.5" customHeight="1">
      <c r="A2684" s="8" t="s">
        <v>1229</v>
      </c>
      <c r="B2684" s="8">
        <v>29383.0</v>
      </c>
      <c r="C2684" s="8"/>
      <c r="D2684" s="8"/>
      <c r="E2684" s="8"/>
      <c r="F2684" s="8"/>
    </row>
    <row r="2685" ht="13.5" customHeight="1">
      <c r="A2685" s="8" t="s">
        <v>1728</v>
      </c>
      <c r="B2685" s="8">
        <v>29507.0</v>
      </c>
      <c r="C2685" s="8"/>
      <c r="D2685" s="8"/>
      <c r="E2685" s="8"/>
      <c r="F2685" s="8"/>
    </row>
    <row r="2686" ht="13.5" customHeight="1">
      <c r="A2686" s="8" t="s">
        <v>1728</v>
      </c>
      <c r="B2686" s="8">
        <v>29572.0</v>
      </c>
      <c r="C2686" s="8"/>
      <c r="D2686" s="8"/>
      <c r="E2686" s="8"/>
      <c r="F2686" s="8"/>
    </row>
    <row r="2687" ht="13.5" customHeight="1">
      <c r="A2687" s="8" t="s">
        <v>1759</v>
      </c>
      <c r="B2687" s="8">
        <v>29889.0</v>
      </c>
      <c r="C2687" s="8"/>
      <c r="D2687" s="8"/>
      <c r="E2687" s="8"/>
      <c r="F2687" s="8"/>
    </row>
    <row r="2688" ht="13.5" customHeight="1">
      <c r="A2688" s="8" t="s">
        <v>1742</v>
      </c>
      <c r="B2688" s="8">
        <v>29894.0</v>
      </c>
      <c r="C2688" s="8"/>
      <c r="D2688" s="8"/>
      <c r="E2688" s="8"/>
      <c r="F2688" s="8"/>
    </row>
    <row r="2689" ht="13.5" customHeight="1">
      <c r="A2689" s="8" t="s">
        <v>1726</v>
      </c>
      <c r="B2689" s="8">
        <v>30054.0</v>
      </c>
      <c r="C2689" s="8"/>
      <c r="D2689" s="8"/>
      <c r="E2689" s="8"/>
      <c r="F2689" s="8"/>
    </row>
    <row r="2690" ht="13.5" customHeight="1">
      <c r="A2690" s="8" t="s">
        <v>1754</v>
      </c>
      <c r="B2690" s="8">
        <v>30208.0</v>
      </c>
      <c r="C2690" s="8"/>
      <c r="D2690" s="8"/>
      <c r="E2690" s="8"/>
      <c r="F2690" s="8"/>
    </row>
    <row r="2691" ht="13.5" customHeight="1">
      <c r="A2691" s="8" t="s">
        <v>1750</v>
      </c>
      <c r="B2691" s="8">
        <v>30369.0</v>
      </c>
      <c r="C2691" s="8"/>
      <c r="D2691" s="8"/>
      <c r="E2691" s="8"/>
      <c r="F2691" s="8"/>
    </row>
    <row r="2692" ht="13.5" customHeight="1">
      <c r="A2692" s="8" t="s">
        <v>1724</v>
      </c>
      <c r="B2692" s="8">
        <v>30726.0</v>
      </c>
      <c r="C2692" s="8"/>
      <c r="D2692" s="8"/>
      <c r="E2692" s="8"/>
      <c r="F2692" s="8"/>
    </row>
    <row r="2693" ht="13.5" customHeight="1">
      <c r="A2693" s="8" t="s">
        <v>1722</v>
      </c>
      <c r="B2693" s="8">
        <v>30727.0</v>
      </c>
      <c r="C2693" s="8"/>
      <c r="D2693" s="8"/>
      <c r="E2693" s="8"/>
      <c r="F2693" s="8"/>
    </row>
    <row r="2694" ht="13.5" customHeight="1">
      <c r="A2694" s="8" t="s">
        <v>1735</v>
      </c>
      <c r="B2694" s="8">
        <v>30915.0</v>
      </c>
      <c r="C2694" s="8"/>
      <c r="D2694" s="8"/>
      <c r="E2694" s="8"/>
      <c r="F2694" s="8"/>
    </row>
    <row r="2695" ht="13.5" customHeight="1">
      <c r="A2695" s="8" t="s">
        <v>1189</v>
      </c>
      <c r="B2695" s="8">
        <v>31072.0</v>
      </c>
      <c r="C2695" s="8"/>
      <c r="D2695" s="8"/>
      <c r="E2695" s="8"/>
      <c r="F2695" s="8"/>
    </row>
    <row r="2696" ht="13.5" customHeight="1">
      <c r="A2696" s="8" t="s">
        <v>1721</v>
      </c>
      <c r="B2696" s="8">
        <v>31073.0</v>
      </c>
      <c r="C2696" s="8"/>
      <c r="D2696" s="8"/>
      <c r="E2696" s="8"/>
      <c r="F2696" s="8"/>
    </row>
    <row r="2697" ht="13.5" customHeight="1">
      <c r="A2697" s="8" t="s">
        <v>1721</v>
      </c>
      <c r="B2697" s="8">
        <v>31138.0</v>
      </c>
      <c r="C2697" s="8"/>
      <c r="D2697" s="8"/>
      <c r="E2697" s="8"/>
      <c r="F2697" s="8"/>
    </row>
    <row r="2698" ht="13.5" customHeight="1">
      <c r="A2698" s="8" t="s">
        <v>1728</v>
      </c>
      <c r="B2698" s="8">
        <v>31173.0</v>
      </c>
      <c r="C2698" s="8"/>
      <c r="D2698" s="8"/>
      <c r="E2698" s="8"/>
      <c r="F2698" s="8"/>
    </row>
    <row r="2699" ht="13.5" customHeight="1">
      <c r="A2699" s="8" t="s">
        <v>1751</v>
      </c>
      <c r="B2699" s="8">
        <v>31812.0</v>
      </c>
      <c r="C2699" s="8"/>
      <c r="D2699" s="8"/>
      <c r="E2699" s="8"/>
      <c r="F2699" s="8"/>
    </row>
    <row r="2700" ht="13.5" customHeight="1">
      <c r="A2700" s="8" t="s">
        <v>1723</v>
      </c>
      <c r="B2700" s="8">
        <v>32002.0</v>
      </c>
      <c r="C2700" s="8"/>
      <c r="D2700" s="8"/>
      <c r="E2700" s="8"/>
      <c r="F2700" s="8"/>
    </row>
    <row r="2701" ht="13.5" customHeight="1">
      <c r="A2701" s="8" t="s">
        <v>1415</v>
      </c>
      <c r="B2701" s="8">
        <v>32323.0</v>
      </c>
      <c r="C2701" s="8"/>
      <c r="D2701" s="8"/>
      <c r="E2701" s="8"/>
      <c r="F2701" s="8"/>
    </row>
    <row r="2702" ht="13.5" customHeight="1">
      <c r="A2702" s="8" t="s">
        <v>1765</v>
      </c>
      <c r="B2702" s="8">
        <v>32454.0</v>
      </c>
      <c r="C2702" s="8"/>
      <c r="D2702" s="8"/>
      <c r="E2702" s="8"/>
      <c r="F2702" s="8"/>
    </row>
    <row r="2703" ht="13.5" customHeight="1">
      <c r="A2703" s="8" t="s">
        <v>1738</v>
      </c>
      <c r="B2703" s="8">
        <v>32516.0</v>
      </c>
      <c r="C2703" s="8"/>
      <c r="D2703" s="8"/>
      <c r="E2703" s="8"/>
      <c r="F2703" s="8"/>
    </row>
    <row r="2704" ht="13.5" customHeight="1">
      <c r="A2704" s="8" t="s">
        <v>1735</v>
      </c>
      <c r="B2704" s="8">
        <v>32608.0</v>
      </c>
      <c r="C2704" s="8"/>
      <c r="D2704" s="8"/>
      <c r="E2704" s="8"/>
      <c r="F2704" s="8"/>
    </row>
    <row r="2705" ht="13.5" customHeight="1">
      <c r="A2705" s="8" t="s">
        <v>1744</v>
      </c>
      <c r="B2705" s="8">
        <v>33510.0</v>
      </c>
      <c r="C2705" s="8"/>
      <c r="D2705" s="8"/>
      <c r="E2705" s="8"/>
      <c r="F2705" s="8"/>
    </row>
    <row r="2706" ht="13.5" customHeight="1">
      <c r="A2706" s="8" t="s">
        <v>1725</v>
      </c>
      <c r="B2706" s="8">
        <v>33541.0</v>
      </c>
      <c r="C2706" s="8"/>
      <c r="D2706" s="8"/>
      <c r="E2706" s="8"/>
      <c r="F2706" s="8"/>
    </row>
    <row r="2707" ht="13.5" customHeight="1">
      <c r="A2707" s="8" t="s">
        <v>1744</v>
      </c>
      <c r="B2707" s="8">
        <v>33573.0</v>
      </c>
      <c r="C2707" s="8"/>
      <c r="D2707" s="8"/>
      <c r="E2707" s="8"/>
      <c r="F2707" s="8"/>
    </row>
    <row r="2708" ht="13.5" customHeight="1">
      <c r="A2708" s="8" t="s">
        <v>1622</v>
      </c>
      <c r="B2708" s="8">
        <v>34371.0</v>
      </c>
      <c r="C2708" s="8"/>
      <c r="D2708" s="8"/>
      <c r="E2708" s="8"/>
      <c r="F2708" s="8"/>
    </row>
    <row r="2709" ht="13.5" customHeight="1">
      <c r="A2709" s="8" t="s">
        <v>1747</v>
      </c>
      <c r="B2709" s="8">
        <v>34530.0</v>
      </c>
      <c r="C2709" s="8"/>
      <c r="D2709" s="8"/>
      <c r="E2709" s="8"/>
      <c r="F2709" s="8"/>
    </row>
    <row r="2710" ht="13.5" customHeight="1">
      <c r="A2710" s="8" t="s">
        <v>1725</v>
      </c>
      <c r="B2710" s="8">
        <v>34562.0</v>
      </c>
      <c r="C2710" s="8"/>
      <c r="D2710" s="8"/>
      <c r="E2710" s="8"/>
      <c r="F2710" s="8"/>
    </row>
    <row r="2711" ht="13.5" customHeight="1">
      <c r="A2711" s="8" t="s">
        <v>1568</v>
      </c>
      <c r="B2711" s="8">
        <v>35430.0</v>
      </c>
      <c r="C2711" s="8"/>
      <c r="D2711" s="8"/>
      <c r="E2711" s="8"/>
      <c r="F2711" s="8"/>
    </row>
    <row r="2712" ht="13.5" customHeight="1">
      <c r="A2712" s="8" t="s">
        <v>1757</v>
      </c>
      <c r="B2712" s="8">
        <v>35588.0</v>
      </c>
      <c r="C2712" s="8"/>
      <c r="D2712" s="8"/>
      <c r="E2712" s="8"/>
      <c r="F2712" s="8"/>
    </row>
    <row r="2713" ht="13.5" customHeight="1">
      <c r="A2713" s="8" t="s">
        <v>1733</v>
      </c>
      <c r="B2713" s="8">
        <v>35712.0</v>
      </c>
      <c r="C2713" s="8"/>
      <c r="D2713" s="8"/>
      <c r="E2713" s="8"/>
      <c r="F2713" s="8"/>
    </row>
    <row r="2714" ht="13.5" customHeight="1">
      <c r="A2714" s="8" t="s">
        <v>1754</v>
      </c>
      <c r="B2714" s="8">
        <v>36130.0</v>
      </c>
      <c r="C2714" s="8"/>
      <c r="D2714" s="8"/>
      <c r="E2714" s="8"/>
      <c r="F2714" s="8"/>
    </row>
    <row r="2715" ht="13.5" customHeight="1">
      <c r="A2715" s="8" t="s">
        <v>1189</v>
      </c>
      <c r="B2715" s="8">
        <v>36416.0</v>
      </c>
      <c r="C2715" s="8"/>
      <c r="D2715" s="8"/>
      <c r="E2715" s="8"/>
      <c r="F2715" s="8"/>
    </row>
    <row r="2716" ht="13.5" customHeight="1">
      <c r="A2716" s="8" t="s">
        <v>1738</v>
      </c>
      <c r="B2716" s="8">
        <v>36418.0</v>
      </c>
      <c r="C2716" s="8"/>
      <c r="D2716" s="8"/>
      <c r="E2716" s="8"/>
      <c r="F2716" s="8"/>
    </row>
    <row r="2717" ht="13.5" customHeight="1">
      <c r="A2717" s="8" t="s">
        <v>1688</v>
      </c>
      <c r="B2717" s="8">
        <v>36517.0</v>
      </c>
      <c r="C2717" s="8"/>
      <c r="D2717" s="8"/>
      <c r="E2717" s="8"/>
      <c r="F2717" s="8"/>
    </row>
    <row r="2718" ht="13.5" customHeight="1">
      <c r="A2718" s="8" t="s">
        <v>1727</v>
      </c>
      <c r="B2718" s="8">
        <v>36705.0</v>
      </c>
      <c r="C2718" s="8"/>
      <c r="D2718" s="8"/>
      <c r="E2718" s="8"/>
      <c r="F2718" s="8"/>
    </row>
    <row r="2719" ht="13.5" customHeight="1">
      <c r="A2719" s="8" t="s">
        <v>1724</v>
      </c>
      <c r="B2719" s="8">
        <v>36833.0</v>
      </c>
      <c r="C2719" s="8"/>
      <c r="D2719" s="8"/>
      <c r="E2719" s="8"/>
      <c r="F2719" s="8"/>
    </row>
    <row r="2720" ht="13.5" customHeight="1">
      <c r="A2720" s="8" t="s">
        <v>1735</v>
      </c>
      <c r="B2720" s="8">
        <v>36896.0</v>
      </c>
      <c r="C2720" s="8"/>
      <c r="D2720" s="8"/>
      <c r="E2720" s="8"/>
      <c r="F2720" s="8"/>
    </row>
    <row r="2721" ht="13.5" customHeight="1">
      <c r="A2721" s="8" t="s">
        <v>1415</v>
      </c>
      <c r="B2721" s="8">
        <v>37123.0</v>
      </c>
      <c r="C2721" s="8"/>
      <c r="D2721" s="8"/>
      <c r="E2721" s="8"/>
      <c r="F2721" s="8"/>
    </row>
    <row r="2722" ht="13.5" customHeight="1">
      <c r="A2722" s="8" t="s">
        <v>1229</v>
      </c>
      <c r="B2722" s="8">
        <v>37572.0</v>
      </c>
      <c r="C2722" s="8"/>
      <c r="D2722" s="8"/>
      <c r="E2722" s="8"/>
      <c r="F2722" s="8"/>
    </row>
    <row r="2723" ht="13.5" customHeight="1">
      <c r="A2723" s="8" t="s">
        <v>1726</v>
      </c>
      <c r="B2723" s="8">
        <v>37669.0</v>
      </c>
      <c r="C2723" s="8"/>
      <c r="D2723" s="8"/>
      <c r="E2723" s="8"/>
      <c r="F2723" s="8"/>
    </row>
    <row r="2724" ht="13.5" customHeight="1">
      <c r="A2724" s="8" t="s">
        <v>1739</v>
      </c>
      <c r="B2724" s="8">
        <v>38117.0</v>
      </c>
      <c r="C2724" s="8"/>
      <c r="D2724" s="8"/>
      <c r="E2724" s="8"/>
      <c r="F2724" s="8"/>
    </row>
    <row r="2725" ht="13.5" customHeight="1">
      <c r="A2725" s="8" t="s">
        <v>1746</v>
      </c>
      <c r="B2725" s="8">
        <v>38210.0</v>
      </c>
      <c r="C2725" s="8"/>
      <c r="D2725" s="8"/>
      <c r="E2725" s="8"/>
      <c r="F2725" s="8"/>
    </row>
    <row r="2726" ht="13.5" customHeight="1">
      <c r="A2726" s="8" t="s">
        <v>1767</v>
      </c>
      <c r="B2726" s="8">
        <v>38274.0</v>
      </c>
      <c r="C2726" s="8"/>
      <c r="D2726" s="8"/>
      <c r="E2726" s="8"/>
      <c r="F2726" s="8"/>
    </row>
    <row r="2727" ht="13.5" customHeight="1">
      <c r="A2727" s="8" t="s">
        <v>1189</v>
      </c>
      <c r="B2727" s="8">
        <v>38370.0</v>
      </c>
      <c r="C2727" s="8"/>
      <c r="D2727" s="8"/>
      <c r="E2727" s="8"/>
      <c r="F2727" s="8"/>
    </row>
    <row r="2728" ht="13.5" customHeight="1">
      <c r="A2728" s="8" t="s">
        <v>1751</v>
      </c>
      <c r="B2728" s="8">
        <v>38405.0</v>
      </c>
      <c r="C2728" s="8"/>
      <c r="D2728" s="8"/>
      <c r="E2728" s="8"/>
      <c r="F2728" s="8"/>
    </row>
    <row r="2729" ht="13.5" customHeight="1">
      <c r="A2729" s="8" t="s">
        <v>1730</v>
      </c>
      <c r="B2729" s="8">
        <v>38466.0</v>
      </c>
      <c r="C2729" s="8"/>
      <c r="D2729" s="8"/>
      <c r="E2729" s="8"/>
      <c r="F2729" s="8"/>
    </row>
    <row r="2730" ht="13.5" customHeight="1">
      <c r="A2730" s="8" t="s">
        <v>1740</v>
      </c>
      <c r="B2730" s="8">
        <v>38501.0</v>
      </c>
      <c r="C2730" s="8"/>
      <c r="D2730" s="8"/>
      <c r="E2730" s="8"/>
      <c r="F2730" s="8"/>
    </row>
    <row r="2731" ht="13.5" customHeight="1">
      <c r="A2731" s="8" t="s">
        <v>1748</v>
      </c>
      <c r="B2731" s="8">
        <v>38532.0</v>
      </c>
      <c r="C2731" s="8"/>
      <c r="D2731" s="8"/>
      <c r="E2731" s="8"/>
      <c r="F2731" s="8"/>
    </row>
    <row r="2732" ht="13.5" customHeight="1">
      <c r="A2732" s="8" t="s">
        <v>1746</v>
      </c>
      <c r="B2732" s="8">
        <v>38915.0</v>
      </c>
      <c r="C2732" s="8"/>
      <c r="D2732" s="8"/>
      <c r="E2732" s="8"/>
      <c r="F2732" s="8"/>
    </row>
    <row r="2733" ht="13.5" customHeight="1">
      <c r="A2733" s="8" t="s">
        <v>1382</v>
      </c>
      <c r="B2733" s="8">
        <v>38947.0</v>
      </c>
      <c r="C2733" s="8"/>
      <c r="D2733" s="8"/>
      <c r="E2733" s="8"/>
      <c r="F2733" s="8"/>
    </row>
    <row r="2734" ht="13.5" customHeight="1">
      <c r="A2734" s="8" t="s">
        <v>1742</v>
      </c>
      <c r="B2734" s="8">
        <v>39078.0</v>
      </c>
      <c r="C2734" s="8"/>
      <c r="D2734" s="8"/>
      <c r="E2734" s="8"/>
      <c r="F2734" s="8"/>
    </row>
    <row r="2735" ht="13.5" customHeight="1">
      <c r="A2735" s="8" t="s">
        <v>1723</v>
      </c>
      <c r="B2735" s="8">
        <v>39141.0</v>
      </c>
      <c r="C2735" s="8"/>
      <c r="D2735" s="8"/>
      <c r="E2735" s="8"/>
      <c r="F2735" s="8"/>
    </row>
    <row r="2736" ht="13.5" customHeight="1">
      <c r="A2736" s="8" t="s">
        <v>1758</v>
      </c>
      <c r="B2736" s="8">
        <v>39460.0</v>
      </c>
      <c r="C2736" s="8"/>
      <c r="D2736" s="8"/>
      <c r="E2736" s="8"/>
      <c r="F2736" s="8"/>
    </row>
    <row r="2737" ht="13.5" customHeight="1">
      <c r="A2737" s="8" t="s">
        <v>1726</v>
      </c>
      <c r="B2737" s="8">
        <v>39904.0</v>
      </c>
      <c r="C2737" s="8"/>
      <c r="D2737" s="8"/>
      <c r="E2737" s="8"/>
      <c r="F2737" s="8"/>
    </row>
    <row r="2738" ht="13.5" customHeight="1">
      <c r="A2738" s="8" t="s">
        <v>1382</v>
      </c>
      <c r="B2738" s="8">
        <v>39909.0</v>
      </c>
      <c r="C2738" s="8"/>
      <c r="D2738" s="8"/>
      <c r="E2738" s="8"/>
      <c r="F2738" s="8"/>
    </row>
    <row r="2739" ht="13.5" customHeight="1">
      <c r="A2739" s="8" t="s">
        <v>1731</v>
      </c>
      <c r="B2739" s="8">
        <v>40100.0</v>
      </c>
      <c r="C2739" s="8"/>
      <c r="D2739" s="8"/>
      <c r="E2739" s="8"/>
      <c r="F2739" s="8"/>
    </row>
    <row r="2740" ht="13.5" customHeight="1">
      <c r="A2740" s="8" t="s">
        <v>1728</v>
      </c>
      <c r="B2740" s="8">
        <v>40224.0</v>
      </c>
      <c r="C2740" s="8"/>
      <c r="D2740" s="8"/>
      <c r="E2740" s="8"/>
      <c r="F2740" s="8"/>
    </row>
    <row r="2741" ht="13.5" customHeight="1">
      <c r="A2741" s="8" t="s">
        <v>1723</v>
      </c>
      <c r="B2741" s="8">
        <v>40422.0</v>
      </c>
      <c r="C2741" s="8"/>
      <c r="D2741" s="8"/>
      <c r="E2741" s="8"/>
      <c r="F2741" s="8"/>
    </row>
    <row r="2742" ht="13.5" customHeight="1">
      <c r="A2742" s="8" t="s">
        <v>1622</v>
      </c>
      <c r="B2742" s="8">
        <v>40802.0</v>
      </c>
      <c r="C2742" s="8"/>
      <c r="D2742" s="8"/>
      <c r="E2742" s="8"/>
      <c r="F2742" s="8"/>
    </row>
    <row r="2743" ht="13.5" customHeight="1">
      <c r="A2743" s="8" t="s">
        <v>1740</v>
      </c>
      <c r="B2743" s="8">
        <v>40839.0</v>
      </c>
      <c r="C2743" s="8"/>
      <c r="D2743" s="8"/>
      <c r="E2743" s="8"/>
      <c r="F2743" s="8"/>
    </row>
    <row r="2744" ht="13.5" customHeight="1">
      <c r="A2744" s="8" t="s">
        <v>1759</v>
      </c>
      <c r="B2744" s="8">
        <v>40997.0</v>
      </c>
      <c r="C2744" s="8"/>
      <c r="D2744" s="8"/>
      <c r="E2744" s="8"/>
      <c r="F2744" s="8"/>
    </row>
    <row r="2745" ht="13.5" customHeight="1">
      <c r="A2745" s="8" t="s">
        <v>1746</v>
      </c>
      <c r="B2745" s="8">
        <v>41185.0</v>
      </c>
      <c r="C2745" s="8"/>
      <c r="D2745" s="8"/>
      <c r="E2745" s="8"/>
      <c r="F2745" s="8"/>
    </row>
    <row r="2746" ht="13.5" customHeight="1">
      <c r="A2746" s="8" t="s">
        <v>1733</v>
      </c>
      <c r="B2746" s="8">
        <v>41253.0</v>
      </c>
      <c r="C2746" s="8"/>
      <c r="D2746" s="8"/>
      <c r="E2746" s="8"/>
      <c r="F2746" s="8"/>
    </row>
    <row r="2747" ht="13.5" customHeight="1">
      <c r="A2747" s="8" t="s">
        <v>1724</v>
      </c>
      <c r="B2747" s="8">
        <v>41378.0</v>
      </c>
      <c r="C2747" s="8"/>
      <c r="D2747" s="8"/>
      <c r="E2747" s="8"/>
      <c r="F2747" s="8"/>
    </row>
    <row r="2748" ht="13.5" customHeight="1">
      <c r="A2748" s="8" t="s">
        <v>1742</v>
      </c>
      <c r="B2748" s="8">
        <v>41474.0</v>
      </c>
      <c r="C2748" s="8"/>
      <c r="D2748" s="8"/>
      <c r="E2748" s="8"/>
      <c r="F2748" s="8"/>
    </row>
    <row r="2749" ht="13.5" customHeight="1">
      <c r="A2749" s="8" t="s">
        <v>1568</v>
      </c>
      <c r="B2749" s="8">
        <v>41508.0</v>
      </c>
      <c r="C2749" s="8"/>
      <c r="D2749" s="8"/>
      <c r="E2749" s="8"/>
      <c r="F2749" s="8"/>
    </row>
    <row r="2750" ht="13.5" customHeight="1">
      <c r="A2750" s="8" t="s">
        <v>1688</v>
      </c>
      <c r="B2750" s="8">
        <v>41571.0</v>
      </c>
      <c r="C2750" s="8"/>
      <c r="D2750" s="8"/>
      <c r="E2750" s="8"/>
      <c r="F2750" s="8"/>
    </row>
    <row r="2751" ht="13.5" customHeight="1">
      <c r="A2751" s="8" t="s">
        <v>1726</v>
      </c>
      <c r="B2751" s="8">
        <v>41728.0</v>
      </c>
      <c r="C2751" s="8"/>
      <c r="D2751" s="8"/>
      <c r="E2751" s="8"/>
      <c r="F2751" s="8"/>
    </row>
    <row r="2752" ht="13.5" customHeight="1">
      <c r="A2752" s="8" t="s">
        <v>1688</v>
      </c>
      <c r="B2752" s="8">
        <v>41764.0</v>
      </c>
      <c r="C2752" s="8"/>
      <c r="D2752" s="8"/>
      <c r="E2752" s="8"/>
      <c r="F2752" s="8"/>
    </row>
    <row r="2753" ht="13.5" customHeight="1">
      <c r="A2753" s="8" t="s">
        <v>1722</v>
      </c>
      <c r="B2753" s="8">
        <v>42082.0</v>
      </c>
      <c r="C2753" s="8"/>
      <c r="D2753" s="8"/>
      <c r="E2753" s="8"/>
      <c r="F2753" s="8"/>
    </row>
    <row r="2754" ht="13.5" customHeight="1">
      <c r="A2754" s="8" t="s">
        <v>1724</v>
      </c>
      <c r="B2754" s="8">
        <v>42279.0</v>
      </c>
      <c r="C2754" s="8"/>
      <c r="D2754" s="8"/>
      <c r="E2754" s="8"/>
      <c r="F2754" s="8"/>
    </row>
    <row r="2755" ht="13.5" customHeight="1">
      <c r="A2755" s="8" t="s">
        <v>1727</v>
      </c>
      <c r="B2755" s="8">
        <v>42308.0</v>
      </c>
      <c r="C2755" s="8"/>
      <c r="D2755" s="8"/>
      <c r="E2755" s="8"/>
      <c r="F2755" s="8"/>
    </row>
    <row r="2756" ht="13.5" customHeight="1">
      <c r="A2756" s="8" t="s">
        <v>1229</v>
      </c>
      <c r="B2756" s="8">
        <v>42375.0</v>
      </c>
      <c r="C2756" s="8"/>
      <c r="D2756" s="8"/>
      <c r="E2756" s="8"/>
      <c r="F2756" s="8"/>
    </row>
    <row r="2757" ht="13.5" customHeight="1">
      <c r="A2757" s="8" t="s">
        <v>1738</v>
      </c>
      <c r="B2757" s="8">
        <v>42851.0</v>
      </c>
      <c r="C2757" s="8"/>
      <c r="D2757" s="8"/>
      <c r="E2757" s="8"/>
      <c r="F2757" s="8"/>
    </row>
    <row r="2758" ht="13.5" customHeight="1">
      <c r="A2758" s="8" t="s">
        <v>1758</v>
      </c>
      <c r="B2758" s="8">
        <v>43585.0</v>
      </c>
      <c r="C2758" s="8"/>
      <c r="D2758" s="8"/>
      <c r="E2758" s="8"/>
      <c r="F2758" s="8"/>
    </row>
    <row r="2759" ht="13.5" customHeight="1">
      <c r="A2759" s="8" t="s">
        <v>1724</v>
      </c>
      <c r="B2759" s="8">
        <v>43590.0</v>
      </c>
      <c r="C2759" s="8"/>
      <c r="D2759" s="8"/>
      <c r="E2759" s="8"/>
      <c r="F2759" s="8"/>
    </row>
    <row r="2760" ht="13.5" customHeight="1">
      <c r="A2760" s="8" t="s">
        <v>1739</v>
      </c>
      <c r="B2760" s="8">
        <v>43874.0</v>
      </c>
      <c r="C2760" s="8"/>
      <c r="D2760" s="8"/>
      <c r="E2760" s="8"/>
      <c r="F2760" s="8"/>
    </row>
    <row r="2761" ht="13.5" customHeight="1">
      <c r="A2761" s="8" t="s">
        <v>1738</v>
      </c>
      <c r="B2761" s="8">
        <v>45542.0</v>
      </c>
      <c r="C2761" s="8"/>
      <c r="D2761" s="8"/>
      <c r="E2761" s="8"/>
      <c r="F2761" s="8"/>
    </row>
    <row r="2762" ht="13.5" customHeight="1">
      <c r="A2762" s="8" t="s">
        <v>1741</v>
      </c>
      <c r="B2762" s="8">
        <v>45698.0</v>
      </c>
      <c r="C2762" s="8"/>
      <c r="D2762" s="8"/>
      <c r="E2762" s="8"/>
      <c r="F2762" s="8"/>
    </row>
    <row r="2763" ht="13.5" customHeight="1">
      <c r="A2763" s="8" t="s">
        <v>1751</v>
      </c>
      <c r="B2763" s="8">
        <v>45987.0</v>
      </c>
      <c r="C2763" s="8"/>
      <c r="D2763" s="8"/>
      <c r="E2763" s="8"/>
      <c r="F2763" s="8"/>
    </row>
    <row r="2764" ht="13.5" customHeight="1">
      <c r="A2764" s="8" t="s">
        <v>1736</v>
      </c>
      <c r="B2764" s="8">
        <v>46052.0</v>
      </c>
      <c r="C2764" s="8"/>
      <c r="D2764" s="8"/>
      <c r="E2764" s="8"/>
      <c r="F2764" s="8"/>
    </row>
    <row r="2765" ht="13.5" customHeight="1">
      <c r="A2765" s="8" t="s">
        <v>1734</v>
      </c>
      <c r="B2765" s="8">
        <v>46374.0</v>
      </c>
      <c r="C2765" s="8"/>
      <c r="D2765" s="8"/>
      <c r="E2765" s="8"/>
      <c r="F2765" s="8"/>
    </row>
    <row r="2766" ht="13.5" customHeight="1">
      <c r="A2766" s="8" t="s">
        <v>1765</v>
      </c>
      <c r="B2766" s="8">
        <v>46402.0</v>
      </c>
      <c r="C2766" s="8"/>
      <c r="D2766" s="8"/>
      <c r="E2766" s="8"/>
      <c r="F2766" s="8"/>
    </row>
    <row r="2767" ht="13.5" customHeight="1">
      <c r="A2767" s="8" t="s">
        <v>1725</v>
      </c>
      <c r="B2767" s="8">
        <v>46404.0</v>
      </c>
      <c r="C2767" s="8"/>
      <c r="D2767" s="8"/>
      <c r="E2767" s="8"/>
      <c r="F2767" s="8"/>
    </row>
    <row r="2768" ht="13.5" customHeight="1">
      <c r="A2768" s="8" t="s">
        <v>1744</v>
      </c>
      <c r="B2768" s="8">
        <v>46468.0</v>
      </c>
      <c r="C2768" s="8"/>
      <c r="D2768" s="8"/>
      <c r="E2768" s="8"/>
      <c r="F2768" s="8"/>
    </row>
    <row r="2769" ht="13.5" customHeight="1">
      <c r="A2769" s="8" t="s">
        <v>1730</v>
      </c>
      <c r="B2769" s="8">
        <v>46497.0</v>
      </c>
      <c r="C2769" s="8"/>
      <c r="D2769" s="8"/>
      <c r="E2769" s="8"/>
      <c r="F2769" s="8"/>
    </row>
    <row r="2770" ht="13.5" customHeight="1">
      <c r="A2770" s="8" t="s">
        <v>1735</v>
      </c>
      <c r="B2770" s="8">
        <v>47303.0</v>
      </c>
      <c r="C2770" s="8"/>
      <c r="D2770" s="8"/>
      <c r="E2770" s="8"/>
      <c r="F2770" s="8"/>
    </row>
    <row r="2771" ht="13.5" customHeight="1">
      <c r="A2771" s="8" t="s">
        <v>1736</v>
      </c>
      <c r="B2771" s="8">
        <v>47492.0</v>
      </c>
      <c r="C2771" s="8"/>
      <c r="D2771" s="8"/>
      <c r="E2771" s="8"/>
      <c r="F2771" s="8"/>
    </row>
    <row r="2772" ht="13.5" customHeight="1">
      <c r="A2772" s="8" t="s">
        <v>1733</v>
      </c>
      <c r="B2772" s="8">
        <v>47682.0</v>
      </c>
      <c r="C2772" s="8"/>
      <c r="D2772" s="8"/>
      <c r="E2772" s="8"/>
      <c r="F2772" s="8"/>
    </row>
    <row r="2773" ht="13.5" customHeight="1">
      <c r="A2773" s="8" t="s">
        <v>1733</v>
      </c>
      <c r="B2773" s="8">
        <v>48483.0</v>
      </c>
      <c r="C2773" s="8"/>
      <c r="D2773" s="8"/>
      <c r="E2773" s="8"/>
      <c r="F2773" s="8"/>
    </row>
    <row r="2774" ht="13.5" customHeight="1">
      <c r="A2774" s="8" t="s">
        <v>1725</v>
      </c>
      <c r="B2774" s="8">
        <v>48961.0</v>
      </c>
      <c r="C2774" s="8"/>
      <c r="D2774" s="8"/>
      <c r="E2774" s="8"/>
      <c r="F2774" s="8"/>
    </row>
    <row r="2775" ht="13.5" customHeight="1">
      <c r="A2775" s="8" t="s">
        <v>1751</v>
      </c>
      <c r="B2775" s="8">
        <v>49350.0</v>
      </c>
      <c r="C2775" s="8"/>
      <c r="D2775" s="8"/>
      <c r="E2775" s="8"/>
      <c r="F2775" s="8"/>
    </row>
    <row r="2776" ht="13.5" customHeight="1">
      <c r="A2776" s="8" t="s">
        <v>1724</v>
      </c>
      <c r="B2776" s="8">
        <v>49505.0</v>
      </c>
      <c r="C2776" s="8"/>
      <c r="D2776" s="8"/>
      <c r="E2776" s="8"/>
      <c r="F2776" s="8"/>
    </row>
    <row r="2777" ht="13.5" customHeight="1">
      <c r="A2777" s="8" t="s">
        <v>1415</v>
      </c>
      <c r="B2777" s="8">
        <v>49797.0</v>
      </c>
      <c r="C2777" s="8"/>
      <c r="D2777" s="8"/>
      <c r="E2777" s="8"/>
      <c r="F2777" s="8"/>
    </row>
    <row r="2778" ht="13.5" customHeight="1">
      <c r="A2778" s="8" t="s">
        <v>1744</v>
      </c>
      <c r="B2778" s="8">
        <v>50017.0</v>
      </c>
      <c r="C2778" s="8"/>
      <c r="D2778" s="8"/>
      <c r="E2778" s="8"/>
      <c r="F2778" s="8"/>
    </row>
    <row r="2779" ht="13.5" customHeight="1">
      <c r="A2779" s="8" t="s">
        <v>1011</v>
      </c>
      <c r="B2779" s="8">
        <v>50083.0</v>
      </c>
      <c r="C2779" s="8"/>
      <c r="D2779" s="8"/>
      <c r="E2779" s="8"/>
      <c r="F2779" s="8"/>
    </row>
    <row r="2780" ht="13.5" customHeight="1">
      <c r="A2780" s="8" t="s">
        <v>1736</v>
      </c>
      <c r="B2780" s="8">
        <v>50307.0</v>
      </c>
      <c r="C2780" s="8"/>
      <c r="D2780" s="8"/>
      <c r="E2780" s="8"/>
      <c r="F2780" s="8"/>
    </row>
    <row r="2781" ht="13.5" customHeight="1">
      <c r="A2781" s="8" t="s">
        <v>1723</v>
      </c>
      <c r="B2781" s="8">
        <v>50663.0</v>
      </c>
      <c r="C2781" s="8"/>
      <c r="D2781" s="8"/>
      <c r="E2781" s="8"/>
      <c r="F2781" s="8"/>
    </row>
    <row r="2782" ht="13.5" customHeight="1">
      <c r="A2782" s="8" t="s">
        <v>1728</v>
      </c>
      <c r="B2782" s="8">
        <v>50917.0</v>
      </c>
      <c r="C2782" s="8"/>
      <c r="D2782" s="8"/>
      <c r="E2782" s="8"/>
      <c r="F2782" s="8"/>
    </row>
    <row r="2783" ht="13.5" customHeight="1">
      <c r="A2783" s="8" t="s">
        <v>1189</v>
      </c>
      <c r="B2783" s="8">
        <v>50981.0</v>
      </c>
      <c r="C2783" s="8"/>
      <c r="D2783" s="8"/>
      <c r="E2783" s="8"/>
      <c r="F2783" s="8"/>
    </row>
    <row r="2784" ht="13.5" customHeight="1">
      <c r="A2784" s="8" t="s">
        <v>1189</v>
      </c>
      <c r="B2784" s="8">
        <v>51140.0</v>
      </c>
      <c r="C2784" s="8"/>
      <c r="D2784" s="8"/>
      <c r="E2784" s="8"/>
      <c r="F2784" s="8"/>
    </row>
    <row r="2785" ht="13.5" customHeight="1">
      <c r="A2785" s="8" t="s">
        <v>1326</v>
      </c>
      <c r="B2785" s="8">
        <v>51205.0</v>
      </c>
      <c r="C2785" s="8"/>
      <c r="D2785" s="8"/>
      <c r="E2785" s="8"/>
      <c r="F2785" s="8"/>
    </row>
    <row r="2786" ht="13.5" customHeight="1">
      <c r="A2786" s="8" t="s">
        <v>1725</v>
      </c>
      <c r="B2786" s="8">
        <v>51237.0</v>
      </c>
      <c r="C2786" s="8"/>
      <c r="D2786" s="8"/>
      <c r="E2786" s="8"/>
      <c r="F2786" s="8"/>
    </row>
    <row r="2787" ht="13.5" customHeight="1">
      <c r="A2787" s="8" t="s">
        <v>1758</v>
      </c>
      <c r="B2787" s="8">
        <v>51619.0</v>
      </c>
      <c r="C2787" s="8"/>
      <c r="D2787" s="8"/>
      <c r="E2787" s="8"/>
      <c r="F2787" s="8"/>
    </row>
    <row r="2788" ht="13.5" customHeight="1">
      <c r="A2788" s="8" t="s">
        <v>1736</v>
      </c>
      <c r="B2788" s="8">
        <v>51713.0</v>
      </c>
      <c r="C2788" s="8"/>
      <c r="D2788" s="8"/>
      <c r="E2788" s="8"/>
      <c r="F2788" s="8"/>
    </row>
    <row r="2789" ht="13.5" customHeight="1">
      <c r="A2789" s="8" t="s">
        <v>1726</v>
      </c>
      <c r="B2789" s="8">
        <v>52007.0</v>
      </c>
      <c r="C2789" s="8"/>
      <c r="D2789" s="8"/>
      <c r="E2789" s="8"/>
      <c r="F2789" s="8"/>
    </row>
    <row r="2790" ht="13.5" customHeight="1">
      <c r="A2790" s="8" t="s">
        <v>1725</v>
      </c>
      <c r="B2790" s="8">
        <v>52164.0</v>
      </c>
      <c r="C2790" s="8"/>
      <c r="D2790" s="8"/>
      <c r="E2790" s="8"/>
      <c r="F2790" s="8"/>
    </row>
    <row r="2791" ht="13.5" customHeight="1">
      <c r="A2791" s="8" t="s">
        <v>1723</v>
      </c>
      <c r="B2791" s="8">
        <v>52512.0</v>
      </c>
      <c r="C2791" s="8"/>
      <c r="D2791" s="8"/>
      <c r="E2791" s="8"/>
      <c r="F2791" s="8"/>
    </row>
    <row r="2792" ht="13.5" customHeight="1">
      <c r="A2792" s="8" t="s">
        <v>1757</v>
      </c>
      <c r="B2792" s="8">
        <v>52611.0</v>
      </c>
      <c r="C2792" s="8"/>
      <c r="D2792" s="8"/>
      <c r="E2792" s="8"/>
      <c r="F2792" s="8"/>
    </row>
    <row r="2793" ht="13.5" customHeight="1">
      <c r="A2793" s="8" t="s">
        <v>1744</v>
      </c>
      <c r="B2793" s="8">
        <v>52805.0</v>
      </c>
      <c r="C2793" s="8"/>
      <c r="D2793" s="8"/>
      <c r="E2793" s="8"/>
      <c r="F2793" s="8"/>
    </row>
    <row r="2794" ht="13.5" customHeight="1">
      <c r="A2794" s="8" t="s">
        <v>1767</v>
      </c>
      <c r="B2794" s="8">
        <v>52833.0</v>
      </c>
      <c r="C2794" s="8"/>
      <c r="D2794" s="8"/>
      <c r="E2794" s="8"/>
      <c r="F2794" s="8"/>
    </row>
    <row r="2795" ht="13.5" customHeight="1">
      <c r="A2795" s="8" t="s">
        <v>826</v>
      </c>
      <c r="B2795" s="8">
        <v>52930.0</v>
      </c>
      <c r="C2795" s="8"/>
      <c r="D2795" s="8"/>
      <c r="E2795" s="8"/>
      <c r="F2795" s="8"/>
    </row>
    <row r="2796" ht="13.5" customHeight="1">
      <c r="A2796" s="8" t="s">
        <v>905</v>
      </c>
      <c r="B2796" s="8">
        <v>53127.0</v>
      </c>
      <c r="C2796" s="8"/>
      <c r="D2796" s="8"/>
      <c r="E2796" s="8"/>
      <c r="F2796" s="8"/>
    </row>
    <row r="2797" ht="13.5" customHeight="1">
      <c r="A2797" s="8" t="s">
        <v>1726</v>
      </c>
      <c r="B2797" s="8">
        <v>53349.0</v>
      </c>
      <c r="C2797" s="8"/>
      <c r="D2797" s="8"/>
      <c r="E2797" s="8"/>
      <c r="F2797" s="8"/>
    </row>
    <row r="2798" ht="13.5" customHeight="1">
      <c r="A2798" s="8" t="s">
        <v>1733</v>
      </c>
      <c r="B2798" s="8">
        <v>53476.0</v>
      </c>
      <c r="C2798" s="8"/>
      <c r="D2798" s="8"/>
      <c r="E2798" s="8"/>
      <c r="F2798" s="8"/>
    </row>
    <row r="2799" ht="13.5" customHeight="1">
      <c r="A2799" s="8" t="s">
        <v>1751</v>
      </c>
      <c r="B2799" s="8">
        <v>53671.0</v>
      </c>
      <c r="C2799" s="8"/>
      <c r="D2799" s="8"/>
      <c r="E2799" s="8"/>
      <c r="F2799" s="8"/>
    </row>
    <row r="2800" ht="13.5" customHeight="1">
      <c r="A2800" s="8" t="s">
        <v>1751</v>
      </c>
      <c r="B2800" s="8">
        <v>53766.0</v>
      </c>
      <c r="C2800" s="8"/>
      <c r="D2800" s="8"/>
      <c r="E2800" s="8"/>
      <c r="F2800" s="8"/>
    </row>
    <row r="2801" ht="13.5" customHeight="1">
      <c r="A2801" s="8" t="s">
        <v>1731</v>
      </c>
      <c r="B2801" s="8">
        <v>53795.0</v>
      </c>
      <c r="C2801" s="8"/>
      <c r="D2801" s="8"/>
      <c r="E2801" s="8"/>
      <c r="F2801" s="8"/>
    </row>
    <row r="2802" ht="13.5" customHeight="1">
      <c r="A2802" s="8" t="s">
        <v>1721</v>
      </c>
      <c r="B2802" s="8">
        <v>54209.0</v>
      </c>
      <c r="C2802" s="8"/>
      <c r="D2802" s="8"/>
      <c r="E2802" s="8"/>
      <c r="F2802" s="8"/>
    </row>
    <row r="2803" ht="13.5" customHeight="1">
      <c r="A2803" s="8" t="s">
        <v>1765</v>
      </c>
      <c r="B2803" s="8">
        <v>54369.0</v>
      </c>
      <c r="C2803" s="8"/>
      <c r="D2803" s="8"/>
      <c r="E2803" s="8"/>
      <c r="F2803" s="8"/>
    </row>
    <row r="2804" ht="13.5" customHeight="1">
      <c r="A2804" s="8" t="s">
        <v>1326</v>
      </c>
      <c r="B2804" s="8">
        <v>54850.0</v>
      </c>
      <c r="C2804" s="8"/>
      <c r="D2804" s="8"/>
      <c r="E2804" s="8"/>
      <c r="F2804" s="8"/>
    </row>
    <row r="2805" ht="13.5" customHeight="1">
      <c r="A2805" s="8" t="s">
        <v>1758</v>
      </c>
      <c r="B2805" s="8">
        <v>54950.0</v>
      </c>
      <c r="C2805" s="8"/>
      <c r="D2805" s="8"/>
      <c r="E2805" s="8"/>
      <c r="F2805" s="8"/>
    </row>
    <row r="2806" ht="13.5" customHeight="1">
      <c r="A2806" s="8" t="s">
        <v>1688</v>
      </c>
      <c r="B2806" s="8">
        <v>55172.0</v>
      </c>
      <c r="C2806" s="8"/>
      <c r="D2806" s="8"/>
      <c r="E2806" s="8"/>
      <c r="F2806" s="8"/>
    </row>
    <row r="2807" ht="13.5" customHeight="1">
      <c r="A2807" s="8" t="s">
        <v>1730</v>
      </c>
      <c r="B2807" s="8">
        <v>55235.0</v>
      </c>
      <c r="C2807" s="8"/>
      <c r="D2807" s="8"/>
      <c r="E2807" s="8"/>
      <c r="F2807" s="8"/>
    </row>
    <row r="2808" ht="13.5" customHeight="1">
      <c r="A2808" s="8" t="s">
        <v>1728</v>
      </c>
      <c r="B2808" s="8">
        <v>55300.0</v>
      </c>
      <c r="C2808" s="8"/>
      <c r="D2808" s="8"/>
      <c r="E2808" s="8"/>
      <c r="F2808" s="8"/>
    </row>
    <row r="2809" ht="13.5" customHeight="1">
      <c r="A2809" s="8" t="s">
        <v>1011</v>
      </c>
      <c r="B2809" s="8">
        <v>55553.0</v>
      </c>
      <c r="C2809" s="8"/>
      <c r="D2809" s="8"/>
      <c r="E2809" s="8"/>
      <c r="F2809" s="8"/>
    </row>
    <row r="2810" ht="13.5" customHeight="1">
      <c r="A2810" s="8" t="s">
        <v>1725</v>
      </c>
      <c r="B2810" s="8">
        <v>55747.0</v>
      </c>
      <c r="C2810" s="8"/>
      <c r="D2810" s="8"/>
      <c r="E2810" s="8"/>
      <c r="F2810" s="8"/>
    </row>
    <row r="2811" ht="13.5" customHeight="1">
      <c r="A2811" s="8" t="s">
        <v>1688</v>
      </c>
      <c r="B2811" s="8">
        <v>55779.0</v>
      </c>
      <c r="C2811" s="8"/>
      <c r="D2811" s="8"/>
      <c r="E2811" s="8"/>
      <c r="F2811" s="8"/>
    </row>
    <row r="2812" ht="13.5" customHeight="1">
      <c r="A2812" s="8" t="s">
        <v>1725</v>
      </c>
      <c r="B2812" s="8">
        <v>56418.0</v>
      </c>
      <c r="C2812" s="8"/>
      <c r="D2812" s="8"/>
      <c r="E2812" s="8"/>
      <c r="F2812" s="8"/>
    </row>
    <row r="2813" ht="13.5" customHeight="1">
      <c r="A2813" s="8" t="s">
        <v>1747</v>
      </c>
      <c r="B2813" s="8">
        <v>56580.0</v>
      </c>
      <c r="C2813" s="8"/>
      <c r="D2813" s="8"/>
      <c r="E2813" s="8"/>
      <c r="F2813" s="8"/>
    </row>
    <row r="2814" ht="13.5" customHeight="1">
      <c r="A2814" s="8" t="s">
        <v>1622</v>
      </c>
      <c r="B2814" s="8">
        <v>56807.0</v>
      </c>
      <c r="C2814" s="8"/>
      <c r="D2814" s="8"/>
      <c r="E2814" s="8"/>
      <c r="F2814" s="8"/>
    </row>
    <row r="2815" ht="13.5" customHeight="1">
      <c r="A2815" s="8" t="s">
        <v>1733</v>
      </c>
      <c r="B2815" s="8">
        <v>56837.0</v>
      </c>
      <c r="C2815" s="8"/>
      <c r="D2815" s="8"/>
      <c r="E2815" s="8"/>
      <c r="F2815" s="8"/>
    </row>
    <row r="2816" ht="13.5" customHeight="1">
      <c r="A2816" s="8" t="s">
        <v>826</v>
      </c>
      <c r="B2816" s="8">
        <v>56995.0</v>
      </c>
      <c r="C2816" s="8"/>
      <c r="D2816" s="8"/>
      <c r="E2816" s="8"/>
      <c r="F2816" s="8"/>
    </row>
    <row r="2817" ht="13.5" customHeight="1">
      <c r="A2817" s="8" t="s">
        <v>1744</v>
      </c>
      <c r="B2817" s="8">
        <v>57091.0</v>
      </c>
      <c r="C2817" s="8"/>
      <c r="D2817" s="8"/>
      <c r="E2817" s="8"/>
      <c r="F2817" s="8"/>
    </row>
    <row r="2818" ht="13.5" customHeight="1">
      <c r="A2818" s="8" t="s">
        <v>1720</v>
      </c>
      <c r="B2818" s="8">
        <v>57155.0</v>
      </c>
      <c r="C2818" s="8"/>
      <c r="D2818" s="8"/>
      <c r="E2818" s="8"/>
      <c r="F2818" s="8"/>
    </row>
    <row r="2819" ht="13.5" customHeight="1">
      <c r="A2819" s="8" t="s">
        <v>1742</v>
      </c>
      <c r="B2819" s="8">
        <v>57185.0</v>
      </c>
      <c r="C2819" s="8"/>
      <c r="D2819" s="8"/>
      <c r="E2819" s="8"/>
      <c r="F2819" s="8"/>
    </row>
    <row r="2820" ht="13.5" customHeight="1">
      <c r="A2820" s="8" t="s">
        <v>1011</v>
      </c>
      <c r="B2820" s="8">
        <v>57409.0</v>
      </c>
      <c r="C2820" s="8"/>
      <c r="D2820" s="8"/>
      <c r="E2820" s="8"/>
      <c r="F2820" s="8"/>
    </row>
    <row r="2821" ht="13.5" customHeight="1">
      <c r="A2821" s="8" t="s">
        <v>1725</v>
      </c>
      <c r="B2821" s="8">
        <v>57542.0</v>
      </c>
      <c r="C2821" s="8"/>
      <c r="D2821" s="8"/>
      <c r="E2821" s="8"/>
      <c r="F2821" s="8"/>
    </row>
    <row r="2822" ht="13.5" customHeight="1">
      <c r="A2822" s="8" t="s">
        <v>1011</v>
      </c>
      <c r="B2822" s="8">
        <v>57639.0</v>
      </c>
      <c r="C2822" s="8"/>
      <c r="D2822" s="8"/>
      <c r="E2822" s="8"/>
      <c r="F2822" s="8"/>
    </row>
    <row r="2823" ht="13.5" customHeight="1">
      <c r="A2823" s="8" t="s">
        <v>1744</v>
      </c>
      <c r="B2823" s="8">
        <v>57856.0</v>
      </c>
      <c r="C2823" s="8"/>
      <c r="D2823" s="8"/>
      <c r="E2823" s="8"/>
      <c r="F2823" s="8"/>
    </row>
    <row r="2824" ht="13.5" customHeight="1">
      <c r="A2824" s="8" t="s">
        <v>1721</v>
      </c>
      <c r="B2824" s="8">
        <v>58435.0</v>
      </c>
      <c r="C2824" s="8"/>
      <c r="D2824" s="8"/>
      <c r="E2824" s="8"/>
      <c r="F2824" s="8"/>
    </row>
    <row r="2825" ht="13.5" customHeight="1">
      <c r="A2825" s="8" t="s">
        <v>1728</v>
      </c>
      <c r="B2825" s="8">
        <v>59009.0</v>
      </c>
      <c r="C2825" s="8"/>
      <c r="D2825" s="8"/>
      <c r="E2825" s="8"/>
      <c r="F2825" s="8"/>
    </row>
    <row r="2826" ht="13.5" customHeight="1">
      <c r="A2826" s="8" t="s">
        <v>1776</v>
      </c>
      <c r="B2826" s="8">
        <v>59491.0</v>
      </c>
      <c r="C2826" s="8"/>
      <c r="D2826" s="8"/>
      <c r="E2826" s="8"/>
      <c r="F2826" s="8"/>
    </row>
    <row r="2827" ht="13.5" customHeight="1">
      <c r="A2827" s="8" t="s">
        <v>1747</v>
      </c>
      <c r="B2827" s="8">
        <v>59554.0</v>
      </c>
      <c r="C2827" s="8"/>
      <c r="D2827" s="8"/>
      <c r="E2827" s="8"/>
      <c r="F2827" s="8"/>
    </row>
    <row r="2828" ht="13.5" customHeight="1">
      <c r="A2828" s="8" t="s">
        <v>1776</v>
      </c>
      <c r="B2828" s="8">
        <v>59559.0</v>
      </c>
      <c r="C2828" s="8"/>
      <c r="D2828" s="8"/>
      <c r="E2828" s="8"/>
      <c r="F2828" s="8"/>
    </row>
    <row r="2829" ht="13.5" customHeight="1">
      <c r="A2829" s="8" t="s">
        <v>1726</v>
      </c>
      <c r="B2829" s="8">
        <v>59745.0</v>
      </c>
      <c r="C2829" s="8"/>
      <c r="D2829" s="8"/>
      <c r="E2829" s="8"/>
      <c r="F2829" s="8"/>
    </row>
    <row r="2830" ht="13.5" customHeight="1">
      <c r="A2830" s="8" t="s">
        <v>1754</v>
      </c>
      <c r="B2830" s="8">
        <v>59906.0</v>
      </c>
      <c r="C2830" s="8"/>
      <c r="D2830" s="8"/>
      <c r="E2830" s="8"/>
      <c r="F2830" s="8"/>
    </row>
    <row r="2831" ht="13.5" customHeight="1">
      <c r="A2831" s="8" t="s">
        <v>1777</v>
      </c>
      <c r="B2831" s="8">
        <v>454.0</v>
      </c>
      <c r="C2831" s="8"/>
      <c r="D2831" s="8"/>
      <c r="E2831" s="8"/>
      <c r="F2831" s="8"/>
    </row>
    <row r="2832" ht="13.5" customHeight="1">
      <c r="A2832" s="8" t="s">
        <v>1778</v>
      </c>
      <c r="B2832" s="8">
        <v>549.0</v>
      </c>
      <c r="C2832" s="8"/>
      <c r="D2832" s="8"/>
      <c r="E2832" s="8"/>
      <c r="F2832" s="8"/>
    </row>
    <row r="2833" ht="13.5" customHeight="1">
      <c r="A2833" s="8" t="s">
        <v>1779</v>
      </c>
      <c r="B2833" s="8">
        <v>999.0</v>
      </c>
      <c r="C2833" s="8"/>
      <c r="D2833" s="8"/>
      <c r="E2833" s="8"/>
      <c r="F2833" s="8"/>
    </row>
    <row r="2834" ht="13.5" customHeight="1">
      <c r="A2834" s="8" t="s">
        <v>1385</v>
      </c>
      <c r="B2834" s="8">
        <v>1286.0</v>
      </c>
      <c r="C2834" s="8"/>
      <c r="D2834" s="8"/>
      <c r="E2834" s="8"/>
      <c r="F2834" s="8"/>
    </row>
    <row r="2835" ht="13.5" customHeight="1">
      <c r="A2835" s="8" t="s">
        <v>1778</v>
      </c>
      <c r="B2835" s="8">
        <v>1831.0</v>
      </c>
      <c r="C2835" s="8"/>
      <c r="D2835" s="8"/>
      <c r="E2835" s="8"/>
      <c r="F2835" s="8"/>
    </row>
    <row r="2836" ht="13.5" customHeight="1">
      <c r="A2836" s="8" t="s">
        <v>1780</v>
      </c>
      <c r="B2836" s="8">
        <v>1892.0</v>
      </c>
      <c r="C2836" s="8"/>
      <c r="D2836" s="8"/>
      <c r="E2836" s="8"/>
      <c r="F2836" s="8"/>
    </row>
    <row r="2837" ht="13.5" customHeight="1">
      <c r="A2837" s="8" t="s">
        <v>1464</v>
      </c>
      <c r="B2837" s="8">
        <v>1991.0</v>
      </c>
      <c r="C2837" s="8"/>
      <c r="D2837" s="8"/>
      <c r="E2837" s="8"/>
      <c r="F2837" s="8"/>
    </row>
    <row r="2838" ht="13.5" customHeight="1">
      <c r="A2838" s="8" t="s">
        <v>1759</v>
      </c>
      <c r="B2838" s="8">
        <v>4610.0</v>
      </c>
      <c r="C2838" s="8"/>
      <c r="D2838" s="8"/>
      <c r="E2838" s="8"/>
      <c r="F2838" s="8"/>
    </row>
    <row r="2839" ht="13.5" customHeight="1">
      <c r="A2839" s="8" t="s">
        <v>1779</v>
      </c>
      <c r="B2839" s="8">
        <v>5697.0</v>
      </c>
      <c r="C2839" s="8"/>
      <c r="D2839" s="8"/>
      <c r="E2839" s="8"/>
      <c r="F2839" s="8"/>
    </row>
    <row r="2840" ht="13.5" customHeight="1">
      <c r="A2840" s="8" t="s">
        <v>585</v>
      </c>
      <c r="B2840" s="8">
        <v>5986.0</v>
      </c>
      <c r="C2840" s="8"/>
      <c r="D2840" s="8"/>
      <c r="E2840" s="8"/>
      <c r="F2840" s="8"/>
    </row>
    <row r="2841" ht="13.5" customHeight="1">
      <c r="A2841" s="8" t="s">
        <v>1781</v>
      </c>
      <c r="B2841" s="8">
        <v>6053.0</v>
      </c>
      <c r="C2841" s="8"/>
      <c r="D2841" s="8"/>
      <c r="E2841" s="8"/>
      <c r="F2841" s="8"/>
    </row>
    <row r="2842" ht="13.5" customHeight="1">
      <c r="A2842" s="8" t="s">
        <v>1385</v>
      </c>
      <c r="B2842" s="8">
        <v>6432.0</v>
      </c>
      <c r="C2842" s="8"/>
      <c r="D2842" s="8"/>
      <c r="E2842" s="8"/>
      <c r="F2842" s="8"/>
    </row>
    <row r="2843" ht="13.5" customHeight="1">
      <c r="A2843" s="8" t="s">
        <v>1779</v>
      </c>
      <c r="B2843" s="8">
        <v>6502.0</v>
      </c>
      <c r="C2843" s="8"/>
      <c r="D2843" s="8"/>
      <c r="E2843" s="8"/>
      <c r="F2843" s="8"/>
    </row>
    <row r="2844" ht="13.5" customHeight="1">
      <c r="A2844" s="8" t="s">
        <v>818</v>
      </c>
      <c r="B2844" s="8">
        <v>6656.0</v>
      </c>
      <c r="C2844" s="8"/>
      <c r="D2844" s="8"/>
      <c r="E2844" s="8"/>
      <c r="F2844" s="8"/>
    </row>
    <row r="2845" ht="13.5" customHeight="1">
      <c r="A2845" s="8" t="s">
        <v>1781</v>
      </c>
      <c r="B2845" s="8">
        <v>7072.0</v>
      </c>
      <c r="C2845" s="8"/>
      <c r="D2845" s="8"/>
      <c r="E2845" s="8"/>
      <c r="F2845" s="8"/>
    </row>
    <row r="2846" ht="13.5" customHeight="1">
      <c r="A2846" s="8" t="s">
        <v>1782</v>
      </c>
      <c r="B2846" s="8">
        <v>7429.0</v>
      </c>
      <c r="C2846" s="8"/>
      <c r="D2846" s="8"/>
      <c r="E2846" s="8"/>
      <c r="F2846" s="8"/>
    </row>
    <row r="2847" ht="13.5" customHeight="1">
      <c r="A2847" s="8" t="s">
        <v>1783</v>
      </c>
      <c r="B2847" s="8">
        <v>7910.0</v>
      </c>
      <c r="C2847" s="8"/>
      <c r="D2847" s="8"/>
      <c r="E2847" s="8"/>
      <c r="F2847" s="8"/>
    </row>
    <row r="2848" ht="13.5" customHeight="1">
      <c r="A2848" s="8" t="s">
        <v>1784</v>
      </c>
      <c r="B2848" s="8">
        <v>8035.0</v>
      </c>
      <c r="C2848" s="8"/>
      <c r="D2848" s="8"/>
      <c r="E2848" s="8"/>
      <c r="F2848" s="8"/>
    </row>
    <row r="2849" ht="13.5" customHeight="1">
      <c r="A2849" s="8" t="s">
        <v>1785</v>
      </c>
      <c r="B2849" s="8">
        <v>8961.0</v>
      </c>
      <c r="C2849" s="8"/>
      <c r="D2849" s="8"/>
      <c r="E2849" s="8"/>
      <c r="F2849" s="8"/>
    </row>
    <row r="2850" ht="13.5" customHeight="1">
      <c r="A2850" s="8" t="s">
        <v>1777</v>
      </c>
      <c r="B2850" s="8">
        <v>9606.0</v>
      </c>
      <c r="C2850" s="8"/>
      <c r="D2850" s="8"/>
      <c r="E2850" s="8"/>
      <c r="F2850" s="8"/>
    </row>
    <row r="2851" ht="13.5" customHeight="1">
      <c r="A2851" s="8" t="s">
        <v>1787</v>
      </c>
      <c r="B2851" s="8">
        <v>9857.0</v>
      </c>
      <c r="C2851" s="8"/>
      <c r="D2851" s="8"/>
      <c r="E2851" s="8"/>
      <c r="F2851" s="8"/>
    </row>
    <row r="2852" ht="13.5" customHeight="1">
      <c r="A2852" s="8" t="s">
        <v>1788</v>
      </c>
      <c r="B2852" s="8">
        <v>11233.0</v>
      </c>
      <c r="C2852" s="8"/>
      <c r="D2852" s="8"/>
      <c r="E2852" s="8"/>
      <c r="F2852" s="8"/>
    </row>
    <row r="2853" ht="13.5" customHeight="1">
      <c r="A2853" s="8" t="s">
        <v>818</v>
      </c>
      <c r="B2853" s="8">
        <v>11493.0</v>
      </c>
      <c r="C2853" s="8"/>
      <c r="D2853" s="8"/>
      <c r="E2853" s="8"/>
      <c r="F2853" s="8"/>
    </row>
    <row r="2854" ht="13.5" customHeight="1">
      <c r="A2854" s="8" t="s">
        <v>556</v>
      </c>
      <c r="B2854" s="8">
        <v>11684.0</v>
      </c>
      <c r="C2854" s="8"/>
      <c r="D2854" s="8"/>
      <c r="E2854" s="8"/>
      <c r="F2854" s="8"/>
    </row>
    <row r="2855" ht="13.5" customHeight="1">
      <c r="A2855" s="8" t="s">
        <v>1779</v>
      </c>
      <c r="B2855" s="8">
        <v>11975.0</v>
      </c>
      <c r="C2855" s="8"/>
      <c r="D2855" s="8"/>
      <c r="E2855" s="8"/>
      <c r="F2855" s="8"/>
    </row>
    <row r="2856" ht="13.5" customHeight="1">
      <c r="A2856" s="8" t="s">
        <v>1385</v>
      </c>
      <c r="B2856" s="8">
        <v>13537.0</v>
      </c>
      <c r="C2856" s="8"/>
      <c r="D2856" s="8"/>
      <c r="E2856" s="8"/>
      <c r="F2856" s="8"/>
    </row>
    <row r="2857" ht="13.5" customHeight="1">
      <c r="A2857" s="8" t="s">
        <v>1782</v>
      </c>
      <c r="B2857" s="8">
        <v>13670.0</v>
      </c>
      <c r="C2857" s="8"/>
      <c r="D2857" s="8"/>
      <c r="E2857" s="8"/>
      <c r="F2857" s="8"/>
    </row>
    <row r="2858" ht="13.5" customHeight="1">
      <c r="A2858" s="8" t="s">
        <v>1778</v>
      </c>
      <c r="B2858" s="8">
        <v>13764.0</v>
      </c>
      <c r="C2858" s="8"/>
      <c r="D2858" s="8"/>
      <c r="E2858" s="8"/>
      <c r="F2858" s="8"/>
    </row>
    <row r="2859" ht="13.5" customHeight="1">
      <c r="A2859" s="8" t="s">
        <v>556</v>
      </c>
      <c r="B2859" s="8">
        <v>13953.0</v>
      </c>
      <c r="C2859" s="8"/>
      <c r="D2859" s="8"/>
      <c r="E2859" s="8"/>
      <c r="F2859" s="8"/>
    </row>
    <row r="2860" ht="13.5" customHeight="1">
      <c r="A2860" s="8" t="s">
        <v>1789</v>
      </c>
      <c r="B2860" s="8">
        <v>14119.0</v>
      </c>
      <c r="C2860" s="8"/>
      <c r="D2860" s="8"/>
      <c r="E2860" s="8"/>
      <c r="F2860" s="8"/>
    </row>
    <row r="2861" ht="13.5" customHeight="1">
      <c r="A2861" s="8" t="s">
        <v>1785</v>
      </c>
      <c r="B2861" s="8">
        <v>14402.0</v>
      </c>
      <c r="C2861" s="8"/>
      <c r="D2861" s="8"/>
      <c r="E2861" s="8"/>
      <c r="F2861" s="8"/>
    </row>
    <row r="2862" ht="13.5" customHeight="1">
      <c r="A2862" s="8" t="s">
        <v>1439</v>
      </c>
      <c r="B2862" s="8">
        <v>14499.0</v>
      </c>
      <c r="C2862" s="8"/>
      <c r="D2862" s="8"/>
      <c r="E2862" s="8"/>
      <c r="F2862" s="8"/>
    </row>
    <row r="2863" ht="13.5" customHeight="1">
      <c r="A2863" s="8" t="s">
        <v>1783</v>
      </c>
      <c r="B2863" s="8">
        <v>15079.0</v>
      </c>
      <c r="C2863" s="8"/>
      <c r="D2863" s="8"/>
      <c r="E2863" s="8"/>
      <c r="F2863" s="8"/>
    </row>
    <row r="2864" ht="13.5" customHeight="1">
      <c r="A2864" s="8" t="s">
        <v>1385</v>
      </c>
      <c r="B2864" s="8">
        <v>15236.0</v>
      </c>
      <c r="C2864" s="8"/>
      <c r="D2864" s="8"/>
      <c r="E2864" s="8"/>
      <c r="F2864" s="8"/>
    </row>
    <row r="2865" ht="13.5" customHeight="1">
      <c r="A2865" s="8" t="s">
        <v>1789</v>
      </c>
      <c r="B2865" s="8">
        <v>15397.0</v>
      </c>
      <c r="C2865" s="8"/>
      <c r="D2865" s="8"/>
      <c r="E2865" s="8"/>
      <c r="F2865" s="8"/>
    </row>
    <row r="2866" ht="13.5" customHeight="1">
      <c r="A2866" s="8" t="s">
        <v>1789</v>
      </c>
      <c r="B2866" s="8">
        <v>15719.0</v>
      </c>
      <c r="C2866" s="8"/>
      <c r="D2866" s="8"/>
      <c r="E2866" s="8"/>
      <c r="F2866" s="8"/>
    </row>
    <row r="2867" ht="13.5" customHeight="1">
      <c r="A2867" s="8" t="s">
        <v>818</v>
      </c>
      <c r="B2867" s="8">
        <v>16450.0</v>
      </c>
      <c r="C2867" s="8"/>
      <c r="D2867" s="8"/>
      <c r="E2867" s="8"/>
      <c r="F2867" s="8"/>
    </row>
    <row r="2868" ht="13.5" customHeight="1">
      <c r="A2868" s="8" t="s">
        <v>1778</v>
      </c>
      <c r="B2868" s="8">
        <v>17186.0</v>
      </c>
      <c r="C2868" s="8"/>
      <c r="D2868" s="8"/>
      <c r="E2868" s="8"/>
      <c r="F2868" s="8"/>
    </row>
    <row r="2869" ht="13.5" customHeight="1">
      <c r="A2869" s="8" t="s">
        <v>1439</v>
      </c>
      <c r="B2869" s="8">
        <v>17379.0</v>
      </c>
      <c r="C2869" s="8"/>
      <c r="D2869" s="8"/>
      <c r="E2869" s="8"/>
      <c r="F2869" s="8"/>
    </row>
    <row r="2870" ht="13.5" customHeight="1">
      <c r="A2870" s="8" t="s">
        <v>1791</v>
      </c>
      <c r="B2870" s="8">
        <v>17573.0</v>
      </c>
      <c r="C2870" s="8"/>
      <c r="D2870" s="8"/>
      <c r="E2870" s="8"/>
      <c r="F2870" s="8"/>
    </row>
    <row r="2871" ht="13.5" customHeight="1">
      <c r="A2871" s="8" t="s">
        <v>1782</v>
      </c>
      <c r="B2871" s="8">
        <v>18595.0</v>
      </c>
      <c r="C2871" s="8"/>
      <c r="D2871" s="8"/>
      <c r="E2871" s="8"/>
      <c r="F2871" s="8"/>
    </row>
    <row r="2872" ht="13.5" customHeight="1">
      <c r="A2872" s="8" t="s">
        <v>1759</v>
      </c>
      <c r="B2872" s="8">
        <v>19205.0</v>
      </c>
      <c r="C2872" s="8"/>
      <c r="D2872" s="8"/>
      <c r="E2872" s="8"/>
      <c r="F2872" s="8"/>
    </row>
    <row r="2873" ht="13.5" customHeight="1">
      <c r="A2873" s="8" t="s">
        <v>1791</v>
      </c>
      <c r="B2873" s="8">
        <v>19494.0</v>
      </c>
      <c r="C2873" s="8"/>
      <c r="D2873" s="8"/>
      <c r="E2873" s="8"/>
      <c r="F2873" s="8"/>
    </row>
    <row r="2874" ht="13.5" customHeight="1">
      <c r="A2874" s="8" t="s">
        <v>650</v>
      </c>
      <c r="B2874" s="8">
        <v>19523.0</v>
      </c>
      <c r="C2874" s="8"/>
      <c r="D2874" s="8"/>
      <c r="E2874" s="8"/>
      <c r="F2874" s="8"/>
    </row>
    <row r="2875" ht="13.5" customHeight="1">
      <c r="A2875" s="8" t="s">
        <v>1792</v>
      </c>
      <c r="B2875" s="8">
        <v>20482.0</v>
      </c>
      <c r="C2875" s="8"/>
      <c r="D2875" s="8"/>
      <c r="E2875" s="8"/>
      <c r="F2875" s="8"/>
    </row>
    <row r="2876" ht="13.5" customHeight="1">
      <c r="A2876" s="8" t="s">
        <v>1791</v>
      </c>
      <c r="B2876" s="8">
        <v>21445.0</v>
      </c>
      <c r="C2876" s="8"/>
      <c r="D2876" s="8"/>
      <c r="E2876" s="8"/>
      <c r="F2876" s="8"/>
    </row>
    <row r="2877" ht="13.5" customHeight="1">
      <c r="A2877" s="8" t="s">
        <v>1784</v>
      </c>
      <c r="B2877" s="8">
        <v>21573.0</v>
      </c>
      <c r="C2877" s="8"/>
      <c r="D2877" s="8"/>
      <c r="E2877" s="8"/>
      <c r="F2877" s="8"/>
    </row>
    <row r="2878" ht="13.5" customHeight="1">
      <c r="A2878" s="8" t="s">
        <v>1785</v>
      </c>
      <c r="B2878" s="8">
        <v>21795.0</v>
      </c>
      <c r="C2878" s="8"/>
      <c r="D2878" s="8"/>
      <c r="E2878" s="8"/>
      <c r="F2878" s="8"/>
    </row>
    <row r="2879" ht="13.5" customHeight="1">
      <c r="A2879" s="8" t="s">
        <v>1788</v>
      </c>
      <c r="B2879" s="8">
        <v>21859.0</v>
      </c>
      <c r="C2879" s="8"/>
      <c r="D2879" s="8"/>
      <c r="E2879" s="8"/>
      <c r="F2879" s="8"/>
    </row>
    <row r="2880" ht="13.5" customHeight="1">
      <c r="A2880" s="8" t="s">
        <v>1385</v>
      </c>
      <c r="B2880" s="8">
        <v>21989.0</v>
      </c>
      <c r="C2880" s="8"/>
      <c r="D2880" s="8"/>
      <c r="E2880" s="8"/>
      <c r="F2880" s="8"/>
    </row>
    <row r="2881" ht="13.5" customHeight="1">
      <c r="A2881" s="8" t="s">
        <v>1781</v>
      </c>
      <c r="B2881" s="8">
        <v>22688.0</v>
      </c>
      <c r="C2881" s="8"/>
      <c r="D2881" s="8"/>
      <c r="E2881" s="8"/>
      <c r="F2881" s="8"/>
    </row>
    <row r="2882" ht="13.5" customHeight="1">
      <c r="A2882" s="8" t="s">
        <v>1605</v>
      </c>
      <c r="B2882" s="8">
        <v>22916.0</v>
      </c>
      <c r="C2882" s="8"/>
      <c r="D2882" s="8"/>
      <c r="E2882" s="8"/>
      <c r="F2882" s="8"/>
    </row>
    <row r="2883" ht="13.5" customHeight="1">
      <c r="A2883" s="8" t="s">
        <v>1385</v>
      </c>
      <c r="B2883" s="8">
        <v>22951.0</v>
      </c>
      <c r="C2883" s="8"/>
      <c r="D2883" s="8"/>
      <c r="E2883" s="8"/>
      <c r="F2883" s="8"/>
    </row>
    <row r="2884" ht="13.5" customHeight="1">
      <c r="A2884" s="8" t="s">
        <v>135</v>
      </c>
      <c r="B2884" s="8">
        <v>23429.0</v>
      </c>
      <c r="C2884" s="8"/>
      <c r="D2884" s="8"/>
      <c r="E2884" s="8"/>
      <c r="F2884" s="8"/>
    </row>
    <row r="2885" ht="13.5" customHeight="1">
      <c r="A2885" s="8" t="s">
        <v>556</v>
      </c>
      <c r="B2885" s="8">
        <v>23681.0</v>
      </c>
      <c r="C2885" s="8"/>
      <c r="D2885" s="8"/>
      <c r="E2885" s="8"/>
      <c r="F2885" s="8"/>
    </row>
    <row r="2886" ht="13.5" customHeight="1">
      <c r="A2886" s="8" t="s">
        <v>716</v>
      </c>
      <c r="B2886" s="8">
        <v>24263.0</v>
      </c>
      <c r="C2886" s="8"/>
      <c r="D2886" s="8"/>
      <c r="E2886" s="8"/>
      <c r="F2886" s="8"/>
    </row>
    <row r="2887" ht="13.5" customHeight="1">
      <c r="A2887" s="8" t="s">
        <v>291</v>
      </c>
      <c r="B2887" s="8">
        <v>24455.0</v>
      </c>
      <c r="C2887" s="8"/>
      <c r="D2887" s="8"/>
      <c r="E2887" s="8"/>
      <c r="F2887" s="8"/>
    </row>
    <row r="2888" ht="13.5" customHeight="1">
      <c r="A2888" s="8" t="s">
        <v>1784</v>
      </c>
      <c r="B2888" s="8">
        <v>24707.0</v>
      </c>
      <c r="C2888" s="8"/>
      <c r="D2888" s="8"/>
      <c r="E2888" s="8"/>
      <c r="F2888" s="8"/>
    </row>
    <row r="2889" ht="13.5" customHeight="1">
      <c r="A2889" s="8" t="s">
        <v>1385</v>
      </c>
      <c r="B2889" s="8">
        <v>25091.0</v>
      </c>
      <c r="C2889" s="8"/>
      <c r="D2889" s="8"/>
      <c r="E2889" s="8"/>
      <c r="F2889" s="8"/>
    </row>
    <row r="2890" ht="13.5" customHeight="1">
      <c r="A2890" s="8" t="s">
        <v>1779</v>
      </c>
      <c r="B2890" s="8">
        <v>26305.0</v>
      </c>
      <c r="C2890" s="8"/>
      <c r="D2890" s="8"/>
      <c r="E2890" s="8"/>
      <c r="F2890" s="8"/>
    </row>
    <row r="2891" ht="13.5" customHeight="1">
      <c r="A2891" s="8" t="s">
        <v>1791</v>
      </c>
      <c r="B2891" s="8">
        <v>26982.0</v>
      </c>
      <c r="C2891" s="8"/>
      <c r="D2891" s="8"/>
      <c r="E2891" s="8"/>
      <c r="F2891" s="8"/>
    </row>
    <row r="2892" ht="13.5" customHeight="1">
      <c r="A2892" s="8" t="s">
        <v>1385</v>
      </c>
      <c r="B2892" s="8">
        <v>27106.0</v>
      </c>
      <c r="C2892" s="8"/>
      <c r="D2892" s="8"/>
      <c r="E2892" s="8"/>
      <c r="F2892" s="8"/>
    </row>
    <row r="2893" ht="13.5" customHeight="1">
      <c r="A2893" s="8" t="s">
        <v>716</v>
      </c>
      <c r="B2893" s="8">
        <v>27527.0</v>
      </c>
      <c r="C2893" s="8"/>
      <c r="D2893" s="8"/>
      <c r="E2893" s="8"/>
      <c r="F2893" s="8"/>
    </row>
    <row r="2894" ht="13.5" customHeight="1">
      <c r="A2894" s="8" t="s">
        <v>556</v>
      </c>
      <c r="B2894" s="8">
        <v>27746.0</v>
      </c>
      <c r="C2894" s="8"/>
      <c r="D2894" s="8"/>
      <c r="E2894" s="8"/>
      <c r="F2894" s="8"/>
    </row>
    <row r="2895" ht="13.5" customHeight="1">
      <c r="A2895" s="8" t="s">
        <v>1782</v>
      </c>
      <c r="B2895" s="8">
        <v>27974.0</v>
      </c>
      <c r="C2895" s="8"/>
      <c r="D2895" s="8"/>
      <c r="E2895" s="8"/>
      <c r="F2895" s="8"/>
    </row>
    <row r="2896" ht="13.5" customHeight="1">
      <c r="A2896" s="8" t="s">
        <v>1785</v>
      </c>
      <c r="B2896" s="8">
        <v>28774.0</v>
      </c>
      <c r="C2896" s="8"/>
      <c r="D2896" s="8"/>
      <c r="E2896" s="8"/>
      <c r="F2896" s="8"/>
    </row>
    <row r="2897" ht="13.5" customHeight="1">
      <c r="A2897" s="8" t="s">
        <v>1778</v>
      </c>
      <c r="B2897" s="8">
        <v>29607.0</v>
      </c>
      <c r="C2897" s="8"/>
      <c r="D2897" s="8"/>
      <c r="E2897" s="8"/>
      <c r="F2897" s="8"/>
    </row>
    <row r="2898" ht="13.5" customHeight="1">
      <c r="A2898" s="8" t="s">
        <v>1778</v>
      </c>
      <c r="B2898" s="8">
        <v>29730.0</v>
      </c>
      <c r="C2898" s="8"/>
      <c r="D2898" s="8"/>
      <c r="E2898" s="8"/>
      <c r="F2898" s="8"/>
    </row>
    <row r="2899" ht="13.5" customHeight="1">
      <c r="A2899" s="8" t="s">
        <v>1780</v>
      </c>
      <c r="B2899" s="8">
        <v>30144.0</v>
      </c>
      <c r="C2899" s="8"/>
      <c r="D2899" s="8"/>
      <c r="E2899" s="8"/>
      <c r="F2899" s="8"/>
    </row>
    <row r="2900" ht="13.5" customHeight="1">
      <c r="A2900" s="8" t="s">
        <v>716</v>
      </c>
      <c r="B2900" s="8">
        <v>31266.0</v>
      </c>
      <c r="C2900" s="8"/>
      <c r="D2900" s="8"/>
      <c r="E2900" s="8"/>
      <c r="F2900" s="8"/>
    </row>
    <row r="2901" ht="13.5" customHeight="1">
      <c r="A2901" s="8" t="s">
        <v>1385</v>
      </c>
      <c r="B2901" s="8">
        <v>31456.0</v>
      </c>
      <c r="C2901" s="8"/>
      <c r="D2901" s="8"/>
      <c r="E2901" s="8"/>
      <c r="F2901" s="8"/>
    </row>
    <row r="2902" ht="13.5" customHeight="1">
      <c r="A2902" s="8" t="s">
        <v>1779</v>
      </c>
      <c r="B2902" s="8">
        <v>31522.0</v>
      </c>
      <c r="C2902" s="8"/>
      <c r="D2902" s="8"/>
      <c r="E2902" s="8"/>
      <c r="F2902" s="8"/>
    </row>
    <row r="2903" ht="13.5" customHeight="1">
      <c r="A2903" s="8" t="s">
        <v>1784</v>
      </c>
      <c r="B2903" s="8">
        <v>33319.0</v>
      </c>
      <c r="C2903" s="8"/>
      <c r="D2903" s="8"/>
      <c r="E2903" s="8"/>
      <c r="F2903" s="8"/>
    </row>
    <row r="2904" ht="13.5" customHeight="1">
      <c r="A2904" s="8" t="s">
        <v>1777</v>
      </c>
      <c r="B2904" s="8">
        <v>33635.0</v>
      </c>
      <c r="C2904" s="8"/>
      <c r="D2904" s="8"/>
      <c r="E2904" s="8"/>
      <c r="F2904" s="8"/>
    </row>
    <row r="2905" ht="13.5" customHeight="1">
      <c r="A2905" s="8" t="s">
        <v>716</v>
      </c>
      <c r="B2905" s="8">
        <v>33988.0</v>
      </c>
      <c r="C2905" s="8"/>
      <c r="D2905" s="8"/>
      <c r="E2905" s="8"/>
      <c r="F2905" s="8"/>
    </row>
    <row r="2906" ht="13.5" customHeight="1">
      <c r="A2906" s="8" t="s">
        <v>650</v>
      </c>
      <c r="B2906" s="8">
        <v>34087.0</v>
      </c>
      <c r="C2906" s="8"/>
      <c r="D2906" s="8"/>
      <c r="E2906" s="8"/>
      <c r="F2906" s="8"/>
    </row>
    <row r="2907" ht="13.5" customHeight="1">
      <c r="A2907" s="8" t="s">
        <v>1791</v>
      </c>
      <c r="B2907" s="8">
        <v>34691.0</v>
      </c>
      <c r="C2907" s="8"/>
      <c r="D2907" s="8"/>
      <c r="E2907" s="8"/>
      <c r="F2907" s="8"/>
    </row>
    <row r="2908" ht="13.5" customHeight="1">
      <c r="A2908" s="8" t="s">
        <v>650</v>
      </c>
      <c r="B2908" s="8">
        <v>34785.0</v>
      </c>
      <c r="C2908" s="8"/>
      <c r="D2908" s="8"/>
      <c r="E2908" s="8"/>
      <c r="F2908" s="8"/>
    </row>
    <row r="2909" ht="13.5" customHeight="1">
      <c r="A2909" s="8" t="s">
        <v>1605</v>
      </c>
      <c r="B2909" s="8">
        <v>34883.0</v>
      </c>
      <c r="C2909" s="8"/>
      <c r="D2909" s="8"/>
      <c r="E2909" s="8"/>
      <c r="F2909" s="8"/>
    </row>
    <row r="2910" ht="13.5" customHeight="1">
      <c r="A2910" s="8" t="s">
        <v>1410</v>
      </c>
      <c r="B2910" s="8">
        <v>35077.0</v>
      </c>
      <c r="C2910" s="8"/>
      <c r="D2910" s="8"/>
      <c r="E2910" s="8"/>
      <c r="F2910" s="8"/>
    </row>
    <row r="2911" ht="13.5" customHeight="1">
      <c r="A2911" s="8" t="s">
        <v>1090</v>
      </c>
      <c r="B2911" s="8">
        <v>36132.0</v>
      </c>
      <c r="C2911" s="8"/>
      <c r="D2911" s="8"/>
      <c r="E2911" s="8"/>
      <c r="F2911" s="8"/>
    </row>
    <row r="2912" ht="13.5" customHeight="1">
      <c r="A2912" s="8" t="s">
        <v>1540</v>
      </c>
      <c r="B2912" s="8">
        <v>36133.0</v>
      </c>
      <c r="C2912" s="8"/>
      <c r="D2912" s="8"/>
      <c r="E2912" s="8"/>
      <c r="F2912" s="8"/>
    </row>
    <row r="2913" ht="13.5" customHeight="1">
      <c r="A2913" s="8" t="s">
        <v>1792</v>
      </c>
      <c r="B2913" s="8">
        <v>37891.0</v>
      </c>
      <c r="C2913" s="8"/>
      <c r="D2913" s="8"/>
      <c r="E2913" s="8"/>
      <c r="F2913" s="8"/>
    </row>
    <row r="2914" ht="13.5" customHeight="1">
      <c r="A2914" s="8" t="s">
        <v>1783</v>
      </c>
      <c r="B2914" s="8">
        <v>38146.0</v>
      </c>
      <c r="C2914" s="8"/>
      <c r="D2914" s="8"/>
      <c r="E2914" s="8"/>
      <c r="F2914" s="8"/>
    </row>
    <row r="2915" ht="13.5" customHeight="1">
      <c r="A2915" s="8" t="s">
        <v>1796</v>
      </c>
      <c r="B2915" s="8">
        <v>38756.0</v>
      </c>
      <c r="C2915" s="8"/>
      <c r="D2915" s="8"/>
      <c r="E2915" s="8"/>
      <c r="F2915" s="8"/>
    </row>
    <row r="2916" ht="13.5" customHeight="1">
      <c r="A2916" s="8" t="s">
        <v>1781</v>
      </c>
      <c r="B2916" s="8">
        <v>39268.0</v>
      </c>
      <c r="C2916" s="8"/>
      <c r="D2916" s="8"/>
      <c r="E2916" s="8"/>
      <c r="F2916" s="8"/>
    </row>
    <row r="2917" ht="13.5" customHeight="1">
      <c r="A2917" s="8" t="s">
        <v>1410</v>
      </c>
      <c r="B2917" s="8">
        <v>39488.0</v>
      </c>
      <c r="C2917" s="8"/>
      <c r="D2917" s="8"/>
      <c r="E2917" s="8"/>
      <c r="F2917" s="8"/>
    </row>
    <row r="2918" ht="13.5" customHeight="1">
      <c r="A2918" s="8" t="s">
        <v>1785</v>
      </c>
      <c r="B2918" s="8">
        <v>39650.0</v>
      </c>
      <c r="C2918" s="8"/>
      <c r="D2918" s="8"/>
      <c r="E2918" s="8"/>
      <c r="F2918" s="8"/>
    </row>
    <row r="2919" ht="13.5" customHeight="1">
      <c r="A2919" s="8" t="s">
        <v>650</v>
      </c>
      <c r="B2919" s="8">
        <v>39844.0</v>
      </c>
      <c r="C2919" s="8"/>
      <c r="D2919" s="8"/>
      <c r="E2919" s="8"/>
      <c r="F2919" s="8"/>
    </row>
    <row r="2920" ht="13.5" customHeight="1">
      <c r="A2920" s="8" t="s">
        <v>1011</v>
      </c>
      <c r="B2920" s="8">
        <v>41316.0</v>
      </c>
      <c r="C2920" s="8"/>
      <c r="D2920" s="8"/>
      <c r="E2920" s="8"/>
      <c r="F2920" s="8"/>
    </row>
    <row r="2921" ht="13.5" customHeight="1">
      <c r="A2921" s="8" t="s">
        <v>910</v>
      </c>
      <c r="B2921" s="8">
        <v>41476.0</v>
      </c>
      <c r="C2921" s="8"/>
      <c r="D2921" s="8"/>
      <c r="E2921" s="8"/>
      <c r="F2921" s="8"/>
    </row>
    <row r="2922" ht="13.5" customHeight="1">
      <c r="A2922" s="8" t="s">
        <v>1788</v>
      </c>
      <c r="B2922" s="8">
        <v>41861.0</v>
      </c>
      <c r="C2922" s="8"/>
      <c r="D2922" s="8"/>
      <c r="E2922" s="8"/>
      <c r="F2922" s="8"/>
    </row>
    <row r="2923" ht="13.5" customHeight="1">
      <c r="A2923" s="8" t="s">
        <v>1385</v>
      </c>
      <c r="B2923" s="8">
        <v>42274.0</v>
      </c>
      <c r="C2923" s="8"/>
      <c r="D2923" s="8"/>
      <c r="E2923" s="8"/>
      <c r="F2923" s="8"/>
    </row>
    <row r="2924" ht="13.5" customHeight="1">
      <c r="A2924" s="8" t="s">
        <v>1410</v>
      </c>
      <c r="B2924" s="8">
        <v>42882.0</v>
      </c>
      <c r="C2924" s="8"/>
      <c r="D2924" s="8"/>
      <c r="E2924" s="8"/>
      <c r="F2924" s="8"/>
    </row>
    <row r="2925" ht="13.5" customHeight="1">
      <c r="A2925" s="8" t="s">
        <v>1779</v>
      </c>
      <c r="B2925" s="8">
        <v>43360.0</v>
      </c>
      <c r="C2925" s="8"/>
      <c r="D2925" s="8"/>
      <c r="E2925" s="8"/>
      <c r="F2925" s="8"/>
    </row>
    <row r="2926" ht="13.5" customHeight="1">
      <c r="A2926" s="8" t="s">
        <v>1759</v>
      </c>
      <c r="B2926" s="8">
        <v>43713.0</v>
      </c>
      <c r="C2926" s="8"/>
      <c r="D2926" s="8"/>
      <c r="E2926" s="8"/>
      <c r="F2926" s="8"/>
    </row>
    <row r="2927" ht="13.5" customHeight="1">
      <c r="A2927" s="8" t="s">
        <v>1779</v>
      </c>
      <c r="B2927" s="8">
        <v>44322.0</v>
      </c>
      <c r="C2927" s="8"/>
      <c r="D2927" s="8"/>
      <c r="E2927" s="8"/>
      <c r="F2927" s="8"/>
    </row>
    <row r="2928" ht="13.5" customHeight="1">
      <c r="A2928" s="8" t="s">
        <v>1791</v>
      </c>
      <c r="B2928" s="8">
        <v>44579.0</v>
      </c>
      <c r="C2928" s="8"/>
      <c r="D2928" s="8"/>
      <c r="E2928" s="8"/>
      <c r="F2928" s="8"/>
    </row>
    <row r="2929" ht="13.5" customHeight="1">
      <c r="A2929" s="8" t="s">
        <v>1171</v>
      </c>
      <c r="B2929" s="8">
        <v>44737.0</v>
      </c>
      <c r="C2929" s="8"/>
      <c r="D2929" s="8"/>
      <c r="E2929" s="8"/>
      <c r="F2929" s="8"/>
    </row>
    <row r="2930" ht="13.5" customHeight="1">
      <c r="A2930" s="8" t="s">
        <v>1779</v>
      </c>
      <c r="B2930" s="8">
        <v>44738.0</v>
      </c>
      <c r="C2930" s="8"/>
      <c r="D2930" s="8"/>
      <c r="E2930" s="8"/>
      <c r="F2930" s="8"/>
    </row>
    <row r="2931" ht="13.5" customHeight="1">
      <c r="A2931" s="8" t="s">
        <v>910</v>
      </c>
      <c r="B2931" s="8">
        <v>44768.0</v>
      </c>
      <c r="C2931" s="8"/>
      <c r="D2931" s="8"/>
      <c r="E2931" s="8"/>
      <c r="F2931" s="8"/>
    </row>
    <row r="2932" ht="13.5" customHeight="1">
      <c r="A2932" s="8" t="s">
        <v>1779</v>
      </c>
      <c r="B2932" s="8">
        <v>44867.0</v>
      </c>
      <c r="C2932" s="8"/>
      <c r="D2932" s="8"/>
      <c r="E2932" s="8"/>
      <c r="F2932" s="8"/>
    </row>
    <row r="2933" ht="13.5" customHeight="1">
      <c r="A2933" s="8" t="s">
        <v>1610</v>
      </c>
      <c r="B2933" s="8">
        <v>45029.0</v>
      </c>
      <c r="C2933" s="8"/>
      <c r="D2933" s="8"/>
      <c r="E2933" s="8"/>
      <c r="F2933" s="8"/>
    </row>
    <row r="2934" ht="13.5" customHeight="1">
      <c r="A2934" s="8" t="s">
        <v>1797</v>
      </c>
      <c r="B2934" s="8">
        <v>45543.0</v>
      </c>
      <c r="C2934" s="8"/>
      <c r="D2934" s="8"/>
      <c r="E2934" s="8"/>
      <c r="F2934" s="8"/>
    </row>
    <row r="2935" ht="13.5" customHeight="1">
      <c r="A2935" s="8" t="s">
        <v>1797</v>
      </c>
      <c r="B2935" s="8">
        <v>45635.0</v>
      </c>
      <c r="C2935" s="8"/>
      <c r="D2935" s="8"/>
      <c r="E2935" s="8"/>
      <c r="F2935" s="8"/>
    </row>
    <row r="2936" ht="13.5" customHeight="1">
      <c r="A2936" s="8" t="s">
        <v>1759</v>
      </c>
      <c r="B2936" s="8">
        <v>46436.0</v>
      </c>
      <c r="C2936" s="8"/>
      <c r="D2936" s="8"/>
      <c r="E2936" s="8"/>
      <c r="F2936" s="8"/>
    </row>
    <row r="2937" ht="13.5" customHeight="1">
      <c r="A2937" s="8" t="s">
        <v>1011</v>
      </c>
      <c r="B2937" s="8">
        <v>46848.0</v>
      </c>
      <c r="C2937" s="8"/>
      <c r="D2937" s="8"/>
      <c r="E2937" s="8"/>
      <c r="F2937" s="8"/>
    </row>
    <row r="2938" ht="13.5" customHeight="1">
      <c r="A2938" s="8" t="s">
        <v>1791</v>
      </c>
      <c r="B2938" s="8">
        <v>47009.0</v>
      </c>
      <c r="C2938" s="8"/>
      <c r="D2938" s="8"/>
      <c r="E2938" s="8"/>
      <c r="F2938" s="8"/>
    </row>
    <row r="2939" ht="13.5" customHeight="1">
      <c r="A2939" s="8" t="s">
        <v>1796</v>
      </c>
      <c r="B2939" s="8">
        <v>47138.0</v>
      </c>
      <c r="C2939" s="8"/>
      <c r="D2939" s="8"/>
      <c r="E2939" s="8"/>
      <c r="F2939" s="8"/>
    </row>
    <row r="2940" ht="13.5" customHeight="1">
      <c r="A2940" s="8" t="s">
        <v>1410</v>
      </c>
      <c r="B2940" s="8">
        <v>47236.0</v>
      </c>
      <c r="C2940" s="8"/>
      <c r="D2940" s="8"/>
      <c r="E2940" s="8"/>
      <c r="F2940" s="8"/>
    </row>
    <row r="2941" ht="13.5" customHeight="1">
      <c r="A2941" s="8" t="s">
        <v>1410</v>
      </c>
      <c r="B2941" s="8">
        <v>47686.0</v>
      </c>
      <c r="C2941" s="8"/>
      <c r="D2941" s="8"/>
      <c r="E2941" s="8"/>
      <c r="F2941" s="8"/>
    </row>
    <row r="2942" ht="13.5" customHeight="1">
      <c r="A2942" s="8" t="s">
        <v>1171</v>
      </c>
      <c r="B2942" s="8">
        <v>47971.0</v>
      </c>
      <c r="C2942" s="8"/>
      <c r="D2942" s="8"/>
      <c r="E2942" s="8"/>
      <c r="F2942" s="8"/>
    </row>
    <row r="2943" ht="13.5" customHeight="1">
      <c r="A2943" s="8" t="s">
        <v>1410</v>
      </c>
      <c r="B2943" s="8">
        <v>48261.0</v>
      </c>
      <c r="C2943" s="8"/>
      <c r="D2943" s="8"/>
      <c r="E2943" s="8"/>
      <c r="F2943" s="8"/>
    </row>
    <row r="2944" ht="13.5" customHeight="1">
      <c r="A2944" s="8" t="s">
        <v>1361</v>
      </c>
      <c r="B2944" s="8">
        <v>48773.0</v>
      </c>
      <c r="C2944" s="8"/>
      <c r="D2944" s="8"/>
      <c r="E2944" s="8"/>
      <c r="F2944" s="8"/>
    </row>
    <row r="2945" ht="13.5" customHeight="1">
      <c r="A2945" s="8" t="s">
        <v>1796</v>
      </c>
      <c r="B2945" s="8">
        <v>48902.0</v>
      </c>
      <c r="C2945" s="8"/>
      <c r="D2945" s="8"/>
      <c r="E2945" s="8"/>
      <c r="F2945" s="8"/>
    </row>
    <row r="2946" ht="13.5" customHeight="1">
      <c r="A2946" s="8" t="s">
        <v>1781</v>
      </c>
      <c r="B2946" s="8">
        <v>49221.0</v>
      </c>
      <c r="C2946" s="8"/>
      <c r="D2946" s="8"/>
      <c r="E2946" s="8"/>
      <c r="F2946" s="8"/>
    </row>
    <row r="2947" ht="13.5" customHeight="1">
      <c r="A2947" s="8" t="s">
        <v>910</v>
      </c>
      <c r="B2947" s="8">
        <v>49255.0</v>
      </c>
      <c r="C2947" s="8"/>
      <c r="D2947" s="8"/>
      <c r="E2947" s="8"/>
      <c r="F2947" s="8"/>
    </row>
    <row r="2948" ht="13.5" customHeight="1">
      <c r="A2948" s="8" t="s">
        <v>1788</v>
      </c>
      <c r="B2948" s="8">
        <v>49575.0</v>
      </c>
      <c r="C2948" s="8"/>
      <c r="D2948" s="8"/>
      <c r="E2948" s="8"/>
      <c r="F2948" s="8"/>
    </row>
    <row r="2949" ht="13.5" customHeight="1">
      <c r="A2949" s="8" t="s">
        <v>1410</v>
      </c>
      <c r="B2949" s="8">
        <v>50144.0</v>
      </c>
      <c r="C2949" s="8"/>
      <c r="D2949" s="8"/>
      <c r="E2949" s="8"/>
      <c r="F2949" s="8"/>
    </row>
    <row r="2950" ht="13.5" customHeight="1">
      <c r="A2950" s="8" t="s">
        <v>1759</v>
      </c>
      <c r="B2950" s="8">
        <v>50181.0</v>
      </c>
      <c r="C2950" s="8"/>
      <c r="D2950" s="8"/>
      <c r="E2950" s="8"/>
      <c r="F2950" s="8"/>
    </row>
    <row r="2951" ht="13.5" customHeight="1">
      <c r="A2951" s="8" t="s">
        <v>1090</v>
      </c>
      <c r="B2951" s="8">
        <v>52324.0</v>
      </c>
      <c r="C2951" s="8"/>
      <c r="D2951" s="8"/>
      <c r="E2951" s="8"/>
      <c r="F2951" s="8"/>
    </row>
    <row r="2952" ht="13.5" customHeight="1">
      <c r="A2952" s="8" t="s">
        <v>1791</v>
      </c>
      <c r="B2952" s="8">
        <v>53441.0</v>
      </c>
      <c r="C2952" s="8"/>
      <c r="D2952" s="8"/>
      <c r="E2952" s="8"/>
      <c r="F2952" s="8"/>
    </row>
    <row r="2953" ht="13.5" customHeight="1">
      <c r="A2953" s="8" t="s">
        <v>1759</v>
      </c>
      <c r="B2953" s="8">
        <v>53445.0</v>
      </c>
      <c r="C2953" s="8"/>
      <c r="D2953" s="8"/>
      <c r="E2953" s="8"/>
      <c r="F2953" s="8"/>
    </row>
    <row r="2954" ht="13.5" customHeight="1">
      <c r="A2954" s="8" t="s">
        <v>1385</v>
      </c>
      <c r="B2954" s="8">
        <v>54055.0</v>
      </c>
      <c r="C2954" s="8"/>
      <c r="D2954" s="8"/>
      <c r="E2954" s="8"/>
      <c r="F2954" s="8"/>
    </row>
    <row r="2955" ht="13.5" customHeight="1">
      <c r="A2955" s="8" t="s">
        <v>1361</v>
      </c>
      <c r="B2955" s="8">
        <v>54151.0</v>
      </c>
      <c r="C2955" s="8"/>
      <c r="D2955" s="8"/>
      <c r="E2955" s="8"/>
      <c r="F2955" s="8"/>
    </row>
    <row r="2956" ht="13.5" customHeight="1">
      <c r="A2956" s="8" t="s">
        <v>1171</v>
      </c>
      <c r="B2956" s="8">
        <v>54181.0</v>
      </c>
      <c r="C2956" s="8"/>
      <c r="D2956" s="8"/>
      <c r="E2956" s="8"/>
      <c r="F2956" s="8"/>
    </row>
    <row r="2957" ht="13.5" customHeight="1">
      <c r="A2957" s="8" t="s">
        <v>1361</v>
      </c>
      <c r="B2957" s="8">
        <v>54243.0</v>
      </c>
      <c r="C2957" s="8"/>
      <c r="D2957" s="8"/>
      <c r="E2957" s="8"/>
      <c r="F2957" s="8"/>
    </row>
    <row r="2958" ht="13.5" customHeight="1">
      <c r="A2958" s="8" t="s">
        <v>1781</v>
      </c>
      <c r="B2958" s="8">
        <v>54407.0</v>
      </c>
      <c r="C2958" s="8"/>
      <c r="D2958" s="8"/>
      <c r="E2958" s="8"/>
      <c r="F2958" s="8"/>
    </row>
    <row r="2959" ht="13.5" customHeight="1">
      <c r="A2959" s="8" t="s">
        <v>1796</v>
      </c>
      <c r="B2959" s="8">
        <v>55394.0</v>
      </c>
      <c r="C2959" s="8"/>
      <c r="D2959" s="8"/>
      <c r="E2959" s="8"/>
      <c r="F2959" s="8"/>
    </row>
    <row r="2960" ht="13.5" customHeight="1">
      <c r="A2960" s="8" t="s">
        <v>1540</v>
      </c>
      <c r="B2960" s="8">
        <v>56003.0</v>
      </c>
      <c r="C2960" s="8"/>
      <c r="D2960" s="8"/>
      <c r="E2960" s="8"/>
      <c r="F2960" s="8"/>
    </row>
    <row r="2961" ht="13.5" customHeight="1">
      <c r="A2961" s="8" t="s">
        <v>1090</v>
      </c>
      <c r="B2961" s="8">
        <v>56128.0</v>
      </c>
      <c r="C2961" s="8"/>
      <c r="D2961" s="8"/>
      <c r="E2961" s="8"/>
      <c r="F2961" s="8"/>
    </row>
    <row r="2962" ht="13.5" customHeight="1">
      <c r="A2962" s="8" t="s">
        <v>1792</v>
      </c>
      <c r="B2962" s="8">
        <v>56384.0</v>
      </c>
      <c r="C2962" s="8"/>
      <c r="D2962" s="8"/>
      <c r="E2962" s="8"/>
      <c r="F2962" s="8"/>
    </row>
    <row r="2963" ht="13.5" customHeight="1">
      <c r="A2963" s="8" t="s">
        <v>1171</v>
      </c>
      <c r="B2963" s="8">
        <v>56646.0</v>
      </c>
      <c r="C2963" s="8"/>
      <c r="D2963" s="8"/>
      <c r="E2963" s="8"/>
      <c r="F2963" s="8"/>
    </row>
    <row r="2964" ht="13.5" customHeight="1">
      <c r="A2964" s="8" t="s">
        <v>1778</v>
      </c>
      <c r="B2964" s="8">
        <v>56967.0</v>
      </c>
      <c r="C2964" s="8"/>
      <c r="D2964" s="8"/>
      <c r="E2964" s="8"/>
      <c r="F2964" s="8"/>
    </row>
    <row r="2965" ht="13.5" customHeight="1">
      <c r="A2965" s="8" t="s">
        <v>1361</v>
      </c>
      <c r="B2965" s="8">
        <v>57479.0</v>
      </c>
      <c r="C2965" s="8"/>
      <c r="D2965" s="8"/>
      <c r="E2965" s="8"/>
      <c r="F2965" s="8"/>
    </row>
    <row r="2966" ht="13.5" customHeight="1">
      <c r="A2966" s="8" t="s">
        <v>1605</v>
      </c>
      <c r="B2966" s="8">
        <v>57699.0</v>
      </c>
      <c r="C2966" s="8"/>
      <c r="D2966" s="8"/>
      <c r="E2966" s="8"/>
      <c r="F2966" s="8"/>
    </row>
    <row r="2967" ht="13.5" customHeight="1">
      <c r="A2967" s="8" t="s">
        <v>1798</v>
      </c>
      <c r="B2967" s="8">
        <v>58690.0</v>
      </c>
      <c r="C2967" s="8"/>
      <c r="D2967" s="8"/>
      <c r="E2967" s="8"/>
      <c r="F2967" s="8"/>
    </row>
    <row r="2968" ht="13.5" customHeight="1">
      <c r="A2968" s="8" t="s">
        <v>1798</v>
      </c>
      <c r="B2968" s="8">
        <v>58784.0</v>
      </c>
      <c r="C2968" s="8"/>
      <c r="D2968" s="8"/>
      <c r="E2968" s="8"/>
      <c r="F2968" s="8"/>
    </row>
    <row r="2969" ht="13.5" customHeight="1">
      <c r="A2969" s="8" t="s">
        <v>1540</v>
      </c>
      <c r="B2969" s="8">
        <v>59428.0</v>
      </c>
      <c r="C2969" s="8"/>
      <c r="D2969" s="8"/>
      <c r="E2969" s="8"/>
      <c r="F2969" s="8"/>
    </row>
    <row r="2970" ht="13.5" customHeight="1">
      <c r="A2970" s="8" t="s">
        <v>1578</v>
      </c>
      <c r="B2970" s="8">
        <v>1921.0</v>
      </c>
      <c r="C2970" s="8"/>
      <c r="D2970" s="8"/>
      <c r="E2970" s="8"/>
      <c r="F2970" s="8"/>
    </row>
    <row r="2971" ht="13.5" customHeight="1">
      <c r="A2971" s="8" t="s">
        <v>1800</v>
      </c>
      <c r="B2971" s="8">
        <v>2978.0</v>
      </c>
      <c r="C2971" s="8"/>
      <c r="D2971" s="8"/>
      <c r="E2971" s="8"/>
      <c r="F2971" s="8"/>
    </row>
    <row r="2972" ht="13.5" customHeight="1">
      <c r="A2972" s="8" t="s">
        <v>1536</v>
      </c>
      <c r="B2972" s="8">
        <v>7521.0</v>
      </c>
      <c r="C2972" s="8"/>
      <c r="D2972" s="8"/>
      <c r="E2972" s="8"/>
      <c r="F2972" s="8"/>
    </row>
    <row r="2973" ht="13.5" customHeight="1">
      <c r="A2973" s="8" t="s">
        <v>1459</v>
      </c>
      <c r="B2973" s="8">
        <v>13351.0</v>
      </c>
      <c r="C2973" s="8"/>
      <c r="D2973" s="8"/>
      <c r="E2973" s="8"/>
      <c r="F2973" s="8"/>
    </row>
    <row r="2974" ht="13.5" customHeight="1">
      <c r="A2974" s="8" t="s">
        <v>1578</v>
      </c>
      <c r="B2974" s="8">
        <v>15687.0</v>
      </c>
      <c r="C2974" s="8"/>
      <c r="D2974" s="8"/>
      <c r="E2974" s="8"/>
      <c r="F2974" s="8"/>
    </row>
    <row r="2975" ht="13.5" customHeight="1">
      <c r="A2975" s="8" t="s">
        <v>1459</v>
      </c>
      <c r="B2975" s="8">
        <v>23169.0</v>
      </c>
      <c r="C2975" s="8"/>
      <c r="D2975" s="8"/>
      <c r="E2975" s="8"/>
      <c r="F2975" s="8"/>
    </row>
    <row r="2976" ht="13.5" customHeight="1">
      <c r="A2976" s="8" t="s">
        <v>1544</v>
      </c>
      <c r="B2976" s="8">
        <v>37863.0</v>
      </c>
      <c r="C2976" s="8"/>
      <c r="D2976" s="8"/>
      <c r="E2976" s="8"/>
      <c r="F2976" s="8"/>
    </row>
    <row r="2977" ht="13.5" customHeight="1">
      <c r="A2977" s="8" t="s">
        <v>815</v>
      </c>
      <c r="B2977" s="8">
        <v>40866.0</v>
      </c>
      <c r="C2977" s="8"/>
      <c r="D2977" s="8"/>
      <c r="E2977" s="8"/>
      <c r="F2977" s="8"/>
    </row>
    <row r="2978" ht="13.5" customHeight="1">
      <c r="A2978" s="8" t="s">
        <v>1593</v>
      </c>
      <c r="B2978" s="8">
        <v>49989.0</v>
      </c>
      <c r="C2978" s="8"/>
      <c r="D2978" s="8"/>
      <c r="E2978" s="8"/>
      <c r="F2978" s="8"/>
    </row>
    <row r="2979" ht="13.5" customHeight="1">
      <c r="A2979" s="8" t="s">
        <v>1530</v>
      </c>
      <c r="B2979" s="8">
        <v>54595.0</v>
      </c>
      <c r="C2979" s="8"/>
      <c r="D2979" s="8"/>
      <c r="E2979" s="8"/>
      <c r="F2979" s="8"/>
    </row>
    <row r="2980" ht="13.5" customHeight="1">
      <c r="A2980" s="8" t="s">
        <v>1590</v>
      </c>
      <c r="B2980" s="8">
        <v>57249.0</v>
      </c>
      <c r="C2980" s="8"/>
      <c r="D2980" s="8"/>
      <c r="E2980" s="8"/>
      <c r="F2980" s="8"/>
    </row>
    <row r="2981" ht="13.5" customHeight="1">
      <c r="A2981" s="8" t="s">
        <v>1458</v>
      </c>
      <c r="B2981" s="8">
        <v>5639.0</v>
      </c>
      <c r="C2981" s="8"/>
      <c r="D2981" s="8"/>
      <c r="E2981" s="8"/>
      <c r="F2981" s="8"/>
    </row>
    <row r="2982" ht="13.5" customHeight="1">
      <c r="A2982" s="8" t="s">
        <v>1495</v>
      </c>
      <c r="B2982" s="8">
        <v>12320.0</v>
      </c>
      <c r="C2982" s="8"/>
      <c r="D2982" s="8"/>
      <c r="E2982" s="8"/>
      <c r="F2982" s="8"/>
    </row>
    <row r="2983" ht="13.5" customHeight="1">
      <c r="A2983" s="8" t="s">
        <v>1471</v>
      </c>
      <c r="B2983" s="8">
        <v>12326.0</v>
      </c>
      <c r="C2983" s="8"/>
      <c r="D2983" s="8"/>
      <c r="E2983" s="8"/>
      <c r="F2983" s="8"/>
    </row>
    <row r="2984" ht="13.5" customHeight="1">
      <c r="A2984" s="8" t="s">
        <v>1458</v>
      </c>
      <c r="B2984" s="8">
        <v>13056.0</v>
      </c>
      <c r="C2984" s="8"/>
      <c r="D2984" s="8"/>
      <c r="E2984" s="8"/>
      <c r="F2984" s="8"/>
    </row>
    <row r="2985" ht="13.5" customHeight="1">
      <c r="A2985" s="8" t="s">
        <v>1802</v>
      </c>
      <c r="B2985" s="8">
        <v>13125.0</v>
      </c>
      <c r="C2985" s="8"/>
      <c r="D2985" s="8"/>
      <c r="E2985" s="8"/>
      <c r="F2985" s="8"/>
    </row>
    <row r="2986" ht="13.5" customHeight="1">
      <c r="A2986" s="8" t="s">
        <v>1576</v>
      </c>
      <c r="B2986" s="8">
        <v>23616.0</v>
      </c>
      <c r="C2986" s="8"/>
      <c r="D2986" s="8"/>
      <c r="E2986" s="8"/>
      <c r="F2986" s="8"/>
    </row>
    <row r="2987" ht="13.5" customHeight="1">
      <c r="A2987" s="8" t="s">
        <v>1531</v>
      </c>
      <c r="B2987" s="8">
        <v>25157.0</v>
      </c>
      <c r="C2987" s="8"/>
      <c r="D2987" s="8"/>
      <c r="E2987" s="8"/>
      <c r="F2987" s="8"/>
    </row>
    <row r="2988" ht="13.5" customHeight="1">
      <c r="A2988" s="8" t="s">
        <v>1459</v>
      </c>
      <c r="B2988" s="8">
        <v>25313.0</v>
      </c>
      <c r="C2988" s="8"/>
      <c r="D2988" s="8"/>
      <c r="E2988" s="8"/>
      <c r="F2988" s="8"/>
    </row>
    <row r="2989" ht="13.5" customHeight="1">
      <c r="A2989" s="8" t="s">
        <v>1361</v>
      </c>
      <c r="B2989" s="8">
        <v>25536.0</v>
      </c>
      <c r="C2989" s="8"/>
      <c r="D2989" s="8"/>
      <c r="E2989" s="8"/>
      <c r="F2989" s="8"/>
    </row>
    <row r="2990" ht="13.5" customHeight="1">
      <c r="A2990" s="8" t="s">
        <v>1482</v>
      </c>
      <c r="B2990" s="8">
        <v>28999.0</v>
      </c>
      <c r="C2990" s="8"/>
      <c r="D2990" s="8"/>
      <c r="E2990" s="8"/>
      <c r="F2990" s="8"/>
    </row>
    <row r="2991" ht="13.5" customHeight="1">
      <c r="A2991" s="8" t="s">
        <v>1558</v>
      </c>
      <c r="B2991" s="8">
        <v>30599.0</v>
      </c>
      <c r="C2991" s="8"/>
      <c r="D2991" s="8"/>
      <c r="E2991" s="8"/>
      <c r="F2991" s="8"/>
    </row>
    <row r="2992" ht="13.5" customHeight="1">
      <c r="A2992" s="8" t="s">
        <v>1479</v>
      </c>
      <c r="B2992" s="8">
        <v>31232.0</v>
      </c>
      <c r="C2992" s="8"/>
      <c r="D2992" s="8"/>
      <c r="E2992" s="8"/>
      <c r="F2992" s="8"/>
    </row>
    <row r="2993" ht="13.5" customHeight="1">
      <c r="A2993" s="8" t="s">
        <v>1479</v>
      </c>
      <c r="B2993" s="8">
        <v>31239.0</v>
      </c>
      <c r="C2993" s="8"/>
      <c r="D2993" s="8"/>
      <c r="E2993" s="8"/>
      <c r="F2993" s="8"/>
    </row>
    <row r="2994" ht="13.5" customHeight="1">
      <c r="A2994" s="8" t="s">
        <v>1533</v>
      </c>
      <c r="B2994" s="8">
        <v>33090.0</v>
      </c>
      <c r="C2994" s="8"/>
      <c r="D2994" s="8"/>
      <c r="E2994" s="8"/>
      <c r="F2994" s="8"/>
    </row>
    <row r="2995" ht="13.5" customHeight="1">
      <c r="A2995" s="8" t="s">
        <v>1506</v>
      </c>
      <c r="B2995" s="8">
        <v>33987.0</v>
      </c>
      <c r="C2995" s="8"/>
      <c r="D2995" s="8"/>
      <c r="E2995" s="8"/>
      <c r="F2995" s="8"/>
    </row>
    <row r="2996" ht="13.5" customHeight="1">
      <c r="A2996" s="8" t="s">
        <v>1495</v>
      </c>
      <c r="B2996" s="8">
        <v>38337.0</v>
      </c>
      <c r="C2996" s="8"/>
      <c r="D2996" s="8"/>
      <c r="E2996" s="8"/>
      <c r="F2996" s="8"/>
    </row>
    <row r="2997" ht="13.5" customHeight="1">
      <c r="A2997" s="8" t="s">
        <v>1462</v>
      </c>
      <c r="B2997" s="8">
        <v>38369.0</v>
      </c>
      <c r="C2997" s="8"/>
      <c r="D2997" s="8"/>
      <c r="E2997" s="8"/>
      <c r="F2997" s="8"/>
    </row>
    <row r="2998" ht="13.5" customHeight="1">
      <c r="A2998" s="8" t="s">
        <v>1361</v>
      </c>
      <c r="B2998" s="8">
        <v>40103.0</v>
      </c>
      <c r="C2998" s="8"/>
      <c r="D2998" s="8"/>
      <c r="E2998" s="8"/>
      <c r="F2998" s="8"/>
    </row>
    <row r="2999" ht="13.5" customHeight="1">
      <c r="A2999" s="8" t="s">
        <v>1527</v>
      </c>
      <c r="B2999" s="8">
        <v>40131.0</v>
      </c>
      <c r="C2999" s="8"/>
      <c r="D2999" s="8"/>
      <c r="E2999" s="8"/>
      <c r="F2999" s="8"/>
    </row>
    <row r="3000" ht="13.5" customHeight="1">
      <c r="A3000" s="8" t="s">
        <v>1509</v>
      </c>
      <c r="B3000" s="8">
        <v>41504.0</v>
      </c>
      <c r="C3000" s="8"/>
      <c r="D3000" s="8"/>
      <c r="E3000" s="8"/>
      <c r="F3000" s="8"/>
    </row>
    <row r="3001" ht="13.5" customHeight="1">
      <c r="A3001" s="8" t="s">
        <v>1558</v>
      </c>
      <c r="B3001" s="8">
        <v>43751.0</v>
      </c>
      <c r="C3001" s="8"/>
      <c r="D3001" s="8"/>
      <c r="E3001" s="8"/>
      <c r="F3001" s="8"/>
    </row>
    <row r="3002" ht="13.5" customHeight="1">
      <c r="A3002" s="8" t="s">
        <v>1458</v>
      </c>
      <c r="B3002" s="8">
        <v>44448.0</v>
      </c>
      <c r="C3002" s="8"/>
      <c r="D3002" s="8"/>
      <c r="E3002" s="8"/>
      <c r="F3002" s="8"/>
    </row>
    <row r="3003" ht="13.5" customHeight="1">
      <c r="A3003" s="8" t="s">
        <v>1503</v>
      </c>
      <c r="B3003" s="8">
        <v>46534.0</v>
      </c>
      <c r="C3003" s="8"/>
      <c r="D3003" s="8"/>
      <c r="E3003" s="8"/>
      <c r="F3003" s="8"/>
    </row>
    <row r="3004" ht="13.5" customHeight="1">
      <c r="A3004" s="8" t="s">
        <v>1570</v>
      </c>
      <c r="B3004" s="8">
        <v>47459.0</v>
      </c>
      <c r="C3004" s="8"/>
      <c r="D3004" s="8"/>
      <c r="E3004" s="8"/>
      <c r="F3004" s="8"/>
    </row>
    <row r="3005" ht="13.5" customHeight="1">
      <c r="A3005" s="8" t="s">
        <v>1521</v>
      </c>
      <c r="B3005" s="8">
        <v>49190.0</v>
      </c>
      <c r="C3005" s="8"/>
      <c r="D3005" s="8"/>
      <c r="E3005" s="8"/>
      <c r="F3005" s="8"/>
    </row>
    <row r="3006" ht="13.5" customHeight="1">
      <c r="A3006" s="8" t="s">
        <v>1805</v>
      </c>
      <c r="B3006" s="8">
        <v>55431.0</v>
      </c>
      <c r="C3006" s="8"/>
      <c r="D3006" s="8"/>
      <c r="E3006" s="8"/>
      <c r="F3006" s="8"/>
    </row>
    <row r="3007" ht="13.5" customHeight="1">
      <c r="A3007" s="8" t="s">
        <v>1800</v>
      </c>
      <c r="B3007" s="8">
        <v>55713.0</v>
      </c>
      <c r="C3007" s="8"/>
      <c r="D3007" s="8"/>
      <c r="E3007" s="8"/>
      <c r="F3007" s="8"/>
    </row>
    <row r="3008" ht="13.5" customHeight="1">
      <c r="A3008" s="8" t="s">
        <v>1582</v>
      </c>
      <c r="B3008" s="8">
        <v>59552.0</v>
      </c>
      <c r="C3008" s="8"/>
      <c r="D3008" s="8"/>
      <c r="E3008" s="8"/>
      <c r="F3008" s="8"/>
    </row>
    <row r="3009" ht="13.5" customHeight="1">
      <c r="A3009" s="8" t="s">
        <v>1806</v>
      </c>
      <c r="B3009" s="8">
        <v>2272.0</v>
      </c>
      <c r="C3009" s="8"/>
      <c r="D3009" s="8"/>
      <c r="E3009" s="8"/>
      <c r="F3009" s="8"/>
    </row>
    <row r="3010" ht="13.5" customHeight="1">
      <c r="A3010" s="8" t="s">
        <v>1142</v>
      </c>
      <c r="B3010" s="8">
        <v>6498.0</v>
      </c>
      <c r="C3010" s="8"/>
      <c r="D3010" s="8"/>
      <c r="E3010" s="8"/>
      <c r="F3010" s="8"/>
    </row>
    <row r="3011" ht="13.5" customHeight="1">
      <c r="A3011" s="8" t="s">
        <v>1364</v>
      </c>
      <c r="B3011" s="8">
        <v>16260.0</v>
      </c>
      <c r="C3011" s="8"/>
      <c r="D3011" s="8"/>
      <c r="E3011" s="8"/>
      <c r="F3011" s="8"/>
    </row>
    <row r="3012" ht="13.5" customHeight="1">
      <c r="A3012" s="8" t="s">
        <v>1806</v>
      </c>
      <c r="B3012" s="8">
        <v>16359.0</v>
      </c>
      <c r="C3012" s="8"/>
      <c r="D3012" s="8"/>
      <c r="E3012" s="8"/>
      <c r="F3012" s="8"/>
    </row>
    <row r="3013" ht="13.5" customHeight="1">
      <c r="A3013" s="8" t="s">
        <v>1807</v>
      </c>
      <c r="B3013" s="8">
        <v>21922.0</v>
      </c>
      <c r="C3013" s="8"/>
      <c r="D3013" s="8"/>
      <c r="E3013" s="8"/>
      <c r="F3013" s="8"/>
    </row>
    <row r="3014" ht="13.5" customHeight="1">
      <c r="A3014" s="8" t="s">
        <v>1142</v>
      </c>
      <c r="B3014" s="8">
        <v>23558.0</v>
      </c>
      <c r="C3014" s="8"/>
      <c r="D3014" s="8"/>
      <c r="E3014" s="8"/>
      <c r="F3014" s="8"/>
    </row>
    <row r="3015" ht="13.5" customHeight="1">
      <c r="A3015" s="8" t="s">
        <v>1807</v>
      </c>
      <c r="B3015" s="8">
        <v>27205.0</v>
      </c>
      <c r="C3015" s="8"/>
      <c r="D3015" s="8"/>
      <c r="E3015" s="8"/>
      <c r="F3015" s="8"/>
    </row>
    <row r="3016" ht="13.5" customHeight="1">
      <c r="A3016" s="8" t="s">
        <v>1245</v>
      </c>
      <c r="B3016" s="8">
        <v>27461.0</v>
      </c>
      <c r="C3016" s="8"/>
      <c r="D3016" s="8"/>
      <c r="E3016" s="8"/>
      <c r="F3016" s="8"/>
    </row>
    <row r="3017" ht="13.5" customHeight="1">
      <c r="A3017" s="8" t="s">
        <v>1809</v>
      </c>
      <c r="B3017" s="8">
        <v>29957.0</v>
      </c>
      <c r="C3017" s="8"/>
      <c r="D3017" s="8"/>
      <c r="E3017" s="8"/>
      <c r="F3017" s="8"/>
    </row>
    <row r="3018" ht="13.5" customHeight="1">
      <c r="A3018" s="8" t="s">
        <v>830</v>
      </c>
      <c r="B3018" s="8">
        <v>30593.0</v>
      </c>
      <c r="C3018" s="8"/>
      <c r="D3018" s="8"/>
      <c r="E3018" s="8"/>
      <c r="F3018" s="8"/>
    </row>
    <row r="3019" ht="13.5" customHeight="1">
      <c r="A3019" s="8" t="s">
        <v>1810</v>
      </c>
      <c r="B3019" s="8">
        <v>37924.0</v>
      </c>
      <c r="C3019" s="8"/>
      <c r="D3019" s="8"/>
      <c r="E3019" s="8"/>
      <c r="F3019" s="8"/>
    </row>
    <row r="3020" ht="13.5" customHeight="1">
      <c r="A3020" s="8" t="s">
        <v>1245</v>
      </c>
      <c r="B3020" s="8">
        <v>38400.0</v>
      </c>
      <c r="C3020" s="8"/>
      <c r="D3020" s="8"/>
      <c r="E3020" s="8"/>
      <c r="F3020" s="8"/>
    </row>
    <row r="3021" ht="13.5" customHeight="1">
      <c r="A3021" s="8" t="s">
        <v>102</v>
      </c>
      <c r="B3021" s="8">
        <v>38498.0</v>
      </c>
      <c r="C3021" s="8"/>
      <c r="D3021" s="8"/>
      <c r="E3021" s="8"/>
      <c r="F3021" s="8"/>
    </row>
    <row r="3022" ht="13.5" customHeight="1">
      <c r="A3022" s="8" t="s">
        <v>1807</v>
      </c>
      <c r="B3022" s="8">
        <v>39492.0</v>
      </c>
      <c r="C3022" s="8"/>
      <c r="D3022" s="8"/>
      <c r="E3022" s="8"/>
      <c r="F3022" s="8"/>
    </row>
    <row r="3023" ht="13.5" customHeight="1">
      <c r="A3023" s="8" t="s">
        <v>1810</v>
      </c>
      <c r="B3023" s="8">
        <v>39686.0</v>
      </c>
      <c r="C3023" s="8"/>
      <c r="D3023" s="8"/>
      <c r="E3023" s="8"/>
      <c r="F3023" s="8"/>
    </row>
    <row r="3024" ht="13.5" customHeight="1">
      <c r="A3024" s="8" t="s">
        <v>1809</v>
      </c>
      <c r="B3024" s="8">
        <v>42693.0</v>
      </c>
      <c r="C3024" s="8"/>
      <c r="D3024" s="8"/>
      <c r="E3024" s="8"/>
      <c r="F3024" s="8"/>
    </row>
    <row r="3025" ht="13.5" customHeight="1">
      <c r="A3025" s="8" t="s">
        <v>1142</v>
      </c>
      <c r="B3025" s="8">
        <v>42850.0</v>
      </c>
      <c r="C3025" s="8"/>
      <c r="D3025" s="8"/>
      <c r="E3025" s="8"/>
      <c r="F3025" s="8"/>
    </row>
    <row r="3026" ht="13.5" customHeight="1">
      <c r="A3026" s="8" t="s">
        <v>1806</v>
      </c>
      <c r="B3026" s="8">
        <v>46212.0</v>
      </c>
      <c r="C3026" s="8"/>
      <c r="D3026" s="8"/>
      <c r="E3026" s="8"/>
      <c r="F3026" s="8"/>
    </row>
    <row r="3027" ht="13.5" customHeight="1">
      <c r="A3027" s="8" t="s">
        <v>102</v>
      </c>
      <c r="B3027" s="8">
        <v>49313.0</v>
      </c>
      <c r="C3027" s="8"/>
      <c r="D3027" s="8"/>
      <c r="E3027" s="8"/>
      <c r="F3027" s="8"/>
    </row>
    <row r="3028" ht="13.5" customHeight="1">
      <c r="A3028" s="8" t="s">
        <v>102</v>
      </c>
      <c r="B3028" s="8">
        <v>49477.0</v>
      </c>
      <c r="C3028" s="8"/>
      <c r="D3028" s="8"/>
      <c r="E3028" s="8"/>
      <c r="F3028" s="8"/>
    </row>
    <row r="3029" ht="13.5" customHeight="1">
      <c r="A3029" s="8" t="s">
        <v>1810</v>
      </c>
      <c r="B3029" s="8">
        <v>49889.0</v>
      </c>
      <c r="C3029" s="8"/>
      <c r="D3029" s="8"/>
      <c r="E3029" s="8"/>
      <c r="F3029" s="8"/>
    </row>
    <row r="3030" ht="13.5" customHeight="1">
      <c r="A3030" s="8" t="s">
        <v>1809</v>
      </c>
      <c r="B3030" s="8">
        <v>52416.0</v>
      </c>
      <c r="C3030" s="8"/>
      <c r="D3030" s="8"/>
      <c r="E3030" s="8"/>
      <c r="F3030" s="8"/>
    </row>
    <row r="3031" ht="13.5" customHeight="1">
      <c r="A3031" s="8" t="s">
        <v>1245</v>
      </c>
      <c r="B3031" s="8">
        <v>55140.0</v>
      </c>
      <c r="C3031" s="8"/>
      <c r="D3031" s="8"/>
      <c r="E3031" s="8"/>
      <c r="F3031" s="8"/>
    </row>
    <row r="3032" ht="13.5" customHeight="1">
      <c r="A3032" s="8" t="s">
        <v>1302</v>
      </c>
      <c r="B3032" s="8">
        <v>56550.0</v>
      </c>
      <c r="C3032" s="8"/>
      <c r="D3032" s="8"/>
      <c r="E3032" s="8"/>
      <c r="F3032" s="8"/>
    </row>
    <row r="3033" ht="13.5" customHeight="1">
      <c r="A3033" s="8" t="s">
        <v>102</v>
      </c>
      <c r="B3033" s="8">
        <v>57447.0</v>
      </c>
      <c r="C3033" s="8"/>
      <c r="D3033" s="8"/>
      <c r="E3033" s="8"/>
      <c r="F3033" s="8"/>
    </row>
    <row r="3034" ht="13.5" customHeight="1">
      <c r="A3034" s="8" t="s">
        <v>1812</v>
      </c>
      <c r="B3034" s="8">
        <v>1185.0</v>
      </c>
      <c r="C3034" s="8"/>
      <c r="D3034" s="8"/>
      <c r="E3034" s="8"/>
      <c r="F3034" s="8"/>
    </row>
    <row r="3035" ht="13.5" customHeight="1">
      <c r="A3035" s="8" t="s">
        <v>1814</v>
      </c>
      <c r="B3035" s="8">
        <v>2149.0</v>
      </c>
      <c r="C3035" s="8"/>
      <c r="D3035" s="8"/>
      <c r="E3035" s="8"/>
      <c r="F3035" s="8"/>
    </row>
    <row r="3036" ht="13.5" customHeight="1">
      <c r="A3036" s="8" t="s">
        <v>1815</v>
      </c>
      <c r="B3036" s="8">
        <v>2466.0</v>
      </c>
      <c r="C3036" s="8"/>
      <c r="D3036" s="8"/>
      <c r="E3036" s="8"/>
      <c r="F3036" s="8"/>
    </row>
    <row r="3037" ht="13.5" customHeight="1">
      <c r="A3037" s="8" t="s">
        <v>1816</v>
      </c>
      <c r="B3037" s="8">
        <v>3493.0</v>
      </c>
      <c r="C3037" s="8"/>
      <c r="D3037" s="8"/>
      <c r="E3037" s="8"/>
      <c r="F3037" s="8"/>
    </row>
    <row r="3038" ht="13.5" customHeight="1">
      <c r="A3038" s="8" t="s">
        <v>1816</v>
      </c>
      <c r="B3038" s="8">
        <v>3588.0</v>
      </c>
      <c r="C3038" s="8"/>
      <c r="D3038" s="8"/>
      <c r="E3038" s="8"/>
      <c r="F3038" s="8"/>
    </row>
    <row r="3039" ht="13.5" customHeight="1">
      <c r="A3039" s="8" t="s">
        <v>1812</v>
      </c>
      <c r="B3039" s="8">
        <v>5957.0</v>
      </c>
      <c r="C3039" s="8"/>
      <c r="D3039" s="8"/>
      <c r="E3039" s="8"/>
      <c r="F3039" s="8"/>
    </row>
    <row r="3040" ht="13.5" customHeight="1">
      <c r="A3040" s="8" t="s">
        <v>1812</v>
      </c>
      <c r="B3040" s="8">
        <v>6183.0</v>
      </c>
      <c r="C3040" s="8"/>
      <c r="D3040" s="8"/>
      <c r="E3040" s="8"/>
      <c r="F3040" s="8"/>
    </row>
    <row r="3041" ht="13.5" customHeight="1">
      <c r="A3041" s="8" t="s">
        <v>1062</v>
      </c>
      <c r="B3041" s="8">
        <v>6402.0</v>
      </c>
      <c r="C3041" s="8"/>
      <c r="D3041" s="8"/>
      <c r="E3041" s="8"/>
      <c r="F3041" s="8"/>
    </row>
    <row r="3042" ht="13.5" customHeight="1">
      <c r="A3042" s="8" t="s">
        <v>1816</v>
      </c>
      <c r="B3042" s="8">
        <v>6720.0</v>
      </c>
      <c r="C3042" s="8"/>
      <c r="D3042" s="8"/>
      <c r="E3042" s="8"/>
      <c r="F3042" s="8"/>
    </row>
    <row r="3043" ht="13.5" customHeight="1">
      <c r="A3043" s="8" t="s">
        <v>1062</v>
      </c>
      <c r="B3043" s="8">
        <v>6785.0</v>
      </c>
      <c r="C3043" s="8"/>
      <c r="D3043" s="8"/>
      <c r="E3043" s="8"/>
      <c r="F3043" s="8"/>
    </row>
    <row r="3044" ht="13.5" customHeight="1">
      <c r="A3044" s="8" t="s">
        <v>1817</v>
      </c>
      <c r="B3044" s="8">
        <v>8295.0</v>
      </c>
      <c r="C3044" s="8"/>
      <c r="D3044" s="8"/>
      <c r="E3044" s="8"/>
      <c r="F3044" s="8"/>
    </row>
    <row r="3045" ht="13.5" customHeight="1">
      <c r="A3045" s="8" t="s">
        <v>1815</v>
      </c>
      <c r="B3045" s="8">
        <v>8704.0</v>
      </c>
      <c r="C3045" s="8"/>
      <c r="D3045" s="8"/>
      <c r="E3045" s="8"/>
      <c r="F3045" s="8"/>
    </row>
    <row r="3046" ht="13.5" customHeight="1">
      <c r="A3046" s="8" t="s">
        <v>1814</v>
      </c>
      <c r="B3046" s="8">
        <v>8933.0</v>
      </c>
      <c r="C3046" s="8"/>
      <c r="D3046" s="8"/>
      <c r="E3046" s="8"/>
      <c r="F3046" s="8"/>
    </row>
    <row r="3047" ht="13.5" customHeight="1">
      <c r="A3047" s="8" t="s">
        <v>1812</v>
      </c>
      <c r="B3047" s="8">
        <v>9222.0</v>
      </c>
      <c r="C3047" s="8"/>
      <c r="D3047" s="8"/>
      <c r="E3047" s="8"/>
      <c r="F3047" s="8"/>
    </row>
    <row r="3048" ht="13.5" customHeight="1">
      <c r="A3048" s="8" t="s">
        <v>1818</v>
      </c>
      <c r="B3048" s="8">
        <v>10243.0</v>
      </c>
      <c r="C3048" s="8"/>
      <c r="D3048" s="8"/>
      <c r="E3048" s="8"/>
      <c r="F3048" s="8"/>
    </row>
    <row r="3049" ht="13.5" customHeight="1">
      <c r="A3049" s="8" t="s">
        <v>1817</v>
      </c>
      <c r="B3049" s="8">
        <v>10502.0</v>
      </c>
      <c r="C3049" s="8"/>
      <c r="D3049" s="8"/>
      <c r="E3049" s="8"/>
      <c r="F3049" s="8"/>
    </row>
    <row r="3050" ht="13.5" customHeight="1">
      <c r="A3050" s="8" t="s">
        <v>1815</v>
      </c>
      <c r="B3050" s="8">
        <v>10886.0</v>
      </c>
      <c r="C3050" s="8"/>
      <c r="D3050" s="8"/>
      <c r="E3050" s="8"/>
      <c r="F3050" s="8"/>
    </row>
    <row r="3051" ht="13.5" customHeight="1">
      <c r="A3051" s="8" t="s">
        <v>1812</v>
      </c>
      <c r="B3051" s="8">
        <v>11047.0</v>
      </c>
      <c r="C3051" s="8"/>
      <c r="D3051" s="8"/>
      <c r="E3051" s="8"/>
      <c r="F3051" s="8"/>
    </row>
    <row r="3052" ht="13.5" customHeight="1">
      <c r="A3052" s="8" t="s">
        <v>1816</v>
      </c>
      <c r="B3052" s="8">
        <v>12803.0</v>
      </c>
      <c r="C3052" s="8"/>
      <c r="D3052" s="8"/>
      <c r="E3052" s="8"/>
      <c r="F3052" s="8"/>
    </row>
    <row r="3053" ht="13.5" customHeight="1">
      <c r="A3053" s="8" t="s">
        <v>1819</v>
      </c>
      <c r="B3053" s="8">
        <v>13767.0</v>
      </c>
      <c r="C3053" s="8"/>
      <c r="D3053" s="8"/>
      <c r="E3053" s="8"/>
      <c r="F3053" s="8"/>
    </row>
    <row r="3054" ht="13.5" customHeight="1">
      <c r="A3054" s="8" t="s">
        <v>1062</v>
      </c>
      <c r="B3054" s="8">
        <v>14117.0</v>
      </c>
      <c r="C3054" s="8"/>
      <c r="D3054" s="8"/>
      <c r="E3054" s="8"/>
      <c r="F3054" s="8"/>
    </row>
    <row r="3055" ht="13.5" customHeight="1">
      <c r="A3055" s="8" t="s">
        <v>1815</v>
      </c>
      <c r="B3055" s="8">
        <v>14976.0</v>
      </c>
      <c r="C3055" s="8"/>
      <c r="D3055" s="8"/>
      <c r="E3055" s="8"/>
      <c r="F3055" s="8"/>
    </row>
    <row r="3056" ht="13.5" customHeight="1">
      <c r="A3056" s="8" t="s">
        <v>1814</v>
      </c>
      <c r="B3056" s="8">
        <v>14980.0</v>
      </c>
      <c r="C3056" s="8"/>
      <c r="D3056" s="8"/>
      <c r="E3056" s="8"/>
      <c r="F3056" s="8"/>
    </row>
    <row r="3057" ht="13.5" customHeight="1">
      <c r="A3057" s="8" t="s">
        <v>1062</v>
      </c>
      <c r="B3057" s="8">
        <v>16134.0</v>
      </c>
      <c r="C3057" s="8"/>
      <c r="D3057" s="8"/>
      <c r="E3057" s="8"/>
      <c r="F3057" s="8"/>
    </row>
    <row r="3058" ht="13.5" customHeight="1">
      <c r="A3058" s="8" t="s">
        <v>1819</v>
      </c>
      <c r="B3058" s="8">
        <v>16258.0</v>
      </c>
      <c r="C3058" s="8"/>
      <c r="D3058" s="8"/>
      <c r="E3058" s="8"/>
      <c r="F3058" s="8"/>
    </row>
    <row r="3059" ht="13.5" customHeight="1">
      <c r="A3059" s="8" t="s">
        <v>1821</v>
      </c>
      <c r="B3059" s="8">
        <v>16289.0</v>
      </c>
      <c r="C3059" s="8"/>
      <c r="D3059" s="8"/>
      <c r="E3059" s="8"/>
      <c r="F3059" s="8"/>
    </row>
    <row r="3060" ht="13.5" customHeight="1">
      <c r="A3060" s="8" t="s">
        <v>1820</v>
      </c>
      <c r="B3060" s="8">
        <v>16993.0</v>
      </c>
      <c r="C3060" s="8"/>
      <c r="D3060" s="8"/>
      <c r="E3060" s="8"/>
      <c r="F3060" s="8"/>
    </row>
    <row r="3061" ht="13.5" customHeight="1">
      <c r="A3061" s="8" t="s">
        <v>1821</v>
      </c>
      <c r="B3061" s="8">
        <v>18945.0</v>
      </c>
      <c r="C3061" s="8"/>
      <c r="D3061" s="8"/>
      <c r="E3061" s="8"/>
      <c r="F3061" s="8"/>
    </row>
    <row r="3062" ht="13.5" customHeight="1">
      <c r="A3062" s="8" t="s">
        <v>1567</v>
      </c>
      <c r="B3062" s="8">
        <v>19975.0</v>
      </c>
      <c r="C3062" s="8"/>
      <c r="D3062" s="8"/>
      <c r="E3062" s="8"/>
      <c r="F3062" s="8"/>
    </row>
    <row r="3063" ht="13.5" customHeight="1">
      <c r="A3063" s="8" t="s">
        <v>1821</v>
      </c>
      <c r="B3063" s="8">
        <v>20036.0</v>
      </c>
      <c r="C3063" s="8"/>
      <c r="D3063" s="8"/>
      <c r="E3063" s="8"/>
      <c r="F3063" s="8"/>
    </row>
    <row r="3064" ht="13.5" customHeight="1">
      <c r="A3064" s="8" t="s">
        <v>1818</v>
      </c>
      <c r="B3064" s="8">
        <v>20964.0</v>
      </c>
      <c r="C3064" s="8"/>
      <c r="D3064" s="8"/>
      <c r="E3064" s="8"/>
      <c r="F3064" s="8"/>
    </row>
    <row r="3065" ht="13.5" customHeight="1">
      <c r="A3065" s="8" t="s">
        <v>1820</v>
      </c>
      <c r="B3065" s="8">
        <v>21121.0</v>
      </c>
      <c r="C3065" s="8"/>
      <c r="D3065" s="8"/>
      <c r="E3065" s="8"/>
      <c r="F3065" s="8"/>
    </row>
    <row r="3066" ht="13.5" customHeight="1">
      <c r="A3066" s="8" t="s">
        <v>1816</v>
      </c>
      <c r="B3066" s="8">
        <v>21314.0</v>
      </c>
      <c r="C3066" s="8"/>
      <c r="D3066" s="8"/>
      <c r="E3066" s="8"/>
      <c r="F3066" s="8"/>
    </row>
    <row r="3067" ht="13.5" customHeight="1">
      <c r="A3067" s="8" t="s">
        <v>1062</v>
      </c>
      <c r="B3067" s="8">
        <v>21702.0</v>
      </c>
      <c r="C3067" s="8"/>
      <c r="D3067" s="8"/>
      <c r="E3067" s="8"/>
      <c r="F3067" s="8"/>
    </row>
    <row r="3068" ht="13.5" customHeight="1">
      <c r="A3068" s="8" t="s">
        <v>1816</v>
      </c>
      <c r="B3068" s="8">
        <v>21925.0</v>
      </c>
      <c r="C3068" s="8"/>
      <c r="D3068" s="8"/>
      <c r="E3068" s="8"/>
      <c r="F3068" s="8"/>
    </row>
    <row r="3069" ht="13.5" customHeight="1">
      <c r="A3069" s="8" t="s">
        <v>1812</v>
      </c>
      <c r="B3069" s="8">
        <v>22432.0</v>
      </c>
      <c r="C3069" s="8"/>
      <c r="D3069" s="8"/>
      <c r="E3069" s="8"/>
      <c r="F3069" s="8"/>
    </row>
    <row r="3070" ht="13.5" customHeight="1">
      <c r="A3070" s="8" t="s">
        <v>1816</v>
      </c>
      <c r="B3070" s="8">
        <v>22819.0</v>
      </c>
      <c r="C3070" s="8"/>
      <c r="D3070" s="8"/>
      <c r="E3070" s="8"/>
      <c r="F3070" s="8"/>
    </row>
    <row r="3071" ht="13.5" customHeight="1">
      <c r="A3071" s="8" t="s">
        <v>1062</v>
      </c>
      <c r="B3071" s="8">
        <v>22917.0</v>
      </c>
      <c r="C3071" s="8"/>
      <c r="D3071" s="8"/>
      <c r="E3071" s="8"/>
      <c r="F3071" s="8"/>
    </row>
    <row r="3072" ht="13.5" customHeight="1">
      <c r="A3072" s="8" t="s">
        <v>1814</v>
      </c>
      <c r="B3072" s="8">
        <v>23107.0</v>
      </c>
      <c r="C3072" s="8"/>
      <c r="D3072" s="8"/>
      <c r="E3072" s="8"/>
      <c r="F3072" s="8"/>
    </row>
    <row r="3073" ht="13.5" customHeight="1">
      <c r="A3073" s="8" t="s">
        <v>1818</v>
      </c>
      <c r="B3073" s="8">
        <v>23556.0</v>
      </c>
      <c r="C3073" s="8"/>
      <c r="D3073" s="8"/>
      <c r="E3073" s="8"/>
      <c r="F3073" s="8"/>
    </row>
    <row r="3074" ht="13.5" customHeight="1">
      <c r="A3074" s="8" t="s">
        <v>1567</v>
      </c>
      <c r="B3074" s="8">
        <v>23777.0</v>
      </c>
      <c r="C3074" s="8"/>
      <c r="D3074" s="8"/>
      <c r="E3074" s="8"/>
      <c r="F3074" s="8"/>
    </row>
    <row r="3075" ht="13.5" customHeight="1">
      <c r="A3075" s="8" t="s">
        <v>1820</v>
      </c>
      <c r="B3075" s="8">
        <v>24098.0</v>
      </c>
      <c r="C3075" s="8"/>
      <c r="D3075" s="8"/>
      <c r="E3075" s="8"/>
      <c r="F3075" s="8"/>
    </row>
    <row r="3076" ht="13.5" customHeight="1">
      <c r="A3076" s="8" t="s">
        <v>1817</v>
      </c>
      <c r="B3076" s="8">
        <v>24227.0</v>
      </c>
      <c r="C3076" s="8"/>
      <c r="D3076" s="8"/>
      <c r="E3076" s="8"/>
      <c r="F3076" s="8"/>
    </row>
    <row r="3077" ht="13.5" customHeight="1">
      <c r="A3077" s="8" t="s">
        <v>1812</v>
      </c>
      <c r="B3077" s="8">
        <v>24614.0</v>
      </c>
      <c r="C3077" s="8"/>
      <c r="D3077" s="8"/>
      <c r="E3077" s="8"/>
      <c r="F3077" s="8"/>
    </row>
    <row r="3078" ht="13.5" customHeight="1">
      <c r="A3078" s="8" t="s">
        <v>1820</v>
      </c>
      <c r="B3078" s="8">
        <v>25637.0</v>
      </c>
      <c r="C3078" s="8"/>
      <c r="D3078" s="8"/>
      <c r="E3078" s="8"/>
      <c r="F3078" s="8"/>
    </row>
    <row r="3079" ht="13.5" customHeight="1">
      <c r="A3079" s="8" t="s">
        <v>1823</v>
      </c>
      <c r="B3079" s="8">
        <v>26695.0</v>
      </c>
      <c r="C3079" s="8"/>
      <c r="D3079" s="8"/>
      <c r="E3079" s="8"/>
      <c r="F3079" s="8"/>
    </row>
    <row r="3080" ht="13.5" customHeight="1">
      <c r="A3080" s="8" t="s">
        <v>1062</v>
      </c>
      <c r="B3080" s="8">
        <v>27078.0</v>
      </c>
      <c r="C3080" s="8"/>
      <c r="D3080" s="8"/>
      <c r="E3080" s="8"/>
      <c r="F3080" s="8"/>
    </row>
    <row r="3081" ht="13.5" customHeight="1">
      <c r="A3081" s="8" t="s">
        <v>1817</v>
      </c>
      <c r="B3081" s="8">
        <v>29376.0</v>
      </c>
      <c r="C3081" s="8"/>
      <c r="D3081" s="8"/>
      <c r="E3081" s="8"/>
      <c r="F3081" s="8"/>
    </row>
    <row r="3082" ht="13.5" customHeight="1">
      <c r="A3082" s="8" t="s">
        <v>1567</v>
      </c>
      <c r="B3082" s="8">
        <v>29766.0</v>
      </c>
      <c r="C3082" s="8"/>
      <c r="D3082" s="8"/>
      <c r="E3082" s="8"/>
      <c r="F3082" s="8"/>
    </row>
    <row r="3083" ht="13.5" customHeight="1">
      <c r="A3083" s="8" t="s">
        <v>1812</v>
      </c>
      <c r="B3083" s="8">
        <v>30278.0</v>
      </c>
      <c r="C3083" s="8"/>
      <c r="D3083" s="8"/>
      <c r="E3083" s="8"/>
      <c r="F3083" s="8"/>
    </row>
    <row r="3084" ht="13.5" customHeight="1">
      <c r="A3084" s="8" t="s">
        <v>1062</v>
      </c>
      <c r="B3084" s="8">
        <v>30626.0</v>
      </c>
      <c r="C3084" s="8"/>
      <c r="D3084" s="8"/>
      <c r="E3084" s="8"/>
      <c r="F3084" s="8"/>
    </row>
    <row r="3085" ht="13.5" customHeight="1">
      <c r="A3085" s="8" t="s">
        <v>1567</v>
      </c>
      <c r="B3085" s="8">
        <v>30851.0</v>
      </c>
      <c r="C3085" s="8"/>
      <c r="D3085" s="8"/>
      <c r="E3085" s="8"/>
      <c r="F3085" s="8"/>
    </row>
    <row r="3086" ht="13.5" customHeight="1">
      <c r="A3086" s="8" t="s">
        <v>1819</v>
      </c>
      <c r="B3086" s="8">
        <v>31718.0</v>
      </c>
      <c r="C3086" s="8"/>
      <c r="D3086" s="8"/>
      <c r="E3086" s="8"/>
      <c r="F3086" s="8"/>
    </row>
    <row r="3087" ht="13.5" customHeight="1">
      <c r="A3087" s="8" t="s">
        <v>1816</v>
      </c>
      <c r="B3087" s="8">
        <v>32070.0</v>
      </c>
      <c r="C3087" s="8"/>
      <c r="D3087" s="8"/>
      <c r="E3087" s="8"/>
      <c r="F3087" s="8"/>
    </row>
    <row r="3088" ht="13.5" customHeight="1">
      <c r="A3088" s="8" t="s">
        <v>1062</v>
      </c>
      <c r="B3088" s="8">
        <v>34661.0</v>
      </c>
      <c r="C3088" s="8"/>
      <c r="D3088" s="8"/>
      <c r="E3088" s="8"/>
      <c r="F3088" s="8"/>
    </row>
    <row r="3089" ht="13.5" customHeight="1">
      <c r="A3089" s="8" t="s">
        <v>1816</v>
      </c>
      <c r="B3089" s="8">
        <v>34754.0</v>
      </c>
      <c r="C3089" s="8"/>
      <c r="D3089" s="8"/>
      <c r="E3089" s="8"/>
      <c r="F3089" s="8"/>
    </row>
    <row r="3090" ht="13.5" customHeight="1">
      <c r="A3090" s="8" t="s">
        <v>1820</v>
      </c>
      <c r="B3090" s="8">
        <v>35392.0</v>
      </c>
      <c r="C3090" s="8"/>
      <c r="D3090" s="8"/>
      <c r="E3090" s="8"/>
      <c r="F3090" s="8"/>
    </row>
    <row r="3091" ht="13.5" customHeight="1">
      <c r="A3091" s="8" t="s">
        <v>1062</v>
      </c>
      <c r="B3091" s="8">
        <v>36103.0</v>
      </c>
      <c r="C3091" s="8"/>
      <c r="D3091" s="8"/>
      <c r="E3091" s="8"/>
      <c r="F3091" s="8"/>
    </row>
    <row r="3092" ht="13.5" customHeight="1">
      <c r="A3092" s="8" t="s">
        <v>1062</v>
      </c>
      <c r="B3092" s="8">
        <v>37157.0</v>
      </c>
      <c r="C3092" s="8"/>
      <c r="D3092" s="8"/>
      <c r="E3092" s="8"/>
      <c r="F3092" s="8"/>
    </row>
    <row r="3093" ht="13.5" customHeight="1">
      <c r="A3093" s="8" t="s">
        <v>1062</v>
      </c>
      <c r="B3093" s="8">
        <v>38176.0</v>
      </c>
      <c r="C3093" s="8"/>
      <c r="D3093" s="8"/>
      <c r="E3093" s="8"/>
      <c r="F3093" s="8"/>
    </row>
    <row r="3094" ht="13.5" customHeight="1">
      <c r="A3094" s="8" t="s">
        <v>1812</v>
      </c>
      <c r="B3094" s="8">
        <v>38531.0</v>
      </c>
      <c r="C3094" s="8"/>
      <c r="D3094" s="8"/>
      <c r="E3094" s="8"/>
      <c r="F3094" s="8"/>
    </row>
    <row r="3095" ht="13.5" customHeight="1">
      <c r="A3095" s="8" t="s">
        <v>1816</v>
      </c>
      <c r="B3095" s="8">
        <v>40354.0</v>
      </c>
      <c r="C3095" s="8"/>
      <c r="D3095" s="8"/>
      <c r="E3095" s="8"/>
      <c r="F3095" s="8"/>
    </row>
    <row r="3096" ht="13.5" customHeight="1">
      <c r="A3096" s="8" t="s">
        <v>1820</v>
      </c>
      <c r="B3096" s="8">
        <v>40832.0</v>
      </c>
      <c r="C3096" s="8"/>
      <c r="D3096" s="8"/>
      <c r="E3096" s="8"/>
      <c r="F3096" s="8"/>
    </row>
    <row r="3097" ht="13.5" customHeight="1">
      <c r="A3097" s="8" t="s">
        <v>1816</v>
      </c>
      <c r="B3097" s="8">
        <v>41632.0</v>
      </c>
      <c r="C3097" s="8"/>
      <c r="D3097" s="8"/>
      <c r="E3097" s="8"/>
      <c r="F3097" s="8"/>
    </row>
    <row r="3098" ht="13.5" customHeight="1">
      <c r="A3098" s="8" t="s">
        <v>1567</v>
      </c>
      <c r="B3098" s="8">
        <v>42373.0</v>
      </c>
      <c r="C3098" s="8"/>
      <c r="D3098" s="8"/>
      <c r="E3098" s="8"/>
      <c r="F3098" s="8"/>
    </row>
    <row r="3099" ht="13.5" customHeight="1">
      <c r="A3099" s="8" t="s">
        <v>1819</v>
      </c>
      <c r="B3099" s="8">
        <v>44423.0</v>
      </c>
      <c r="C3099" s="8"/>
      <c r="D3099" s="8"/>
      <c r="E3099" s="8"/>
      <c r="F3099" s="8"/>
    </row>
    <row r="3100" ht="13.5" customHeight="1">
      <c r="A3100" s="8" t="s">
        <v>1816</v>
      </c>
      <c r="B3100" s="8">
        <v>45863.0</v>
      </c>
      <c r="C3100" s="8"/>
      <c r="D3100" s="8"/>
      <c r="E3100" s="8"/>
      <c r="F3100" s="8"/>
    </row>
    <row r="3101" ht="13.5" customHeight="1">
      <c r="A3101" s="8" t="s">
        <v>1817</v>
      </c>
      <c r="B3101" s="8">
        <v>47078.0</v>
      </c>
      <c r="C3101" s="8"/>
      <c r="D3101" s="8"/>
      <c r="E3101" s="8"/>
      <c r="F3101" s="8"/>
    </row>
    <row r="3102" ht="13.5" customHeight="1">
      <c r="A3102" s="8" t="s">
        <v>1818</v>
      </c>
      <c r="B3102" s="8">
        <v>47747.0</v>
      </c>
      <c r="C3102" s="8"/>
      <c r="D3102" s="8"/>
      <c r="E3102" s="8"/>
      <c r="F3102" s="8"/>
    </row>
    <row r="3103" ht="13.5" customHeight="1">
      <c r="A3103" s="8" t="s">
        <v>1812</v>
      </c>
      <c r="B3103" s="8">
        <v>47810.0</v>
      </c>
      <c r="C3103" s="8"/>
      <c r="D3103" s="8"/>
      <c r="E3103" s="8"/>
      <c r="F3103" s="8"/>
    </row>
    <row r="3104" ht="13.5" customHeight="1">
      <c r="A3104" s="8" t="s">
        <v>1816</v>
      </c>
      <c r="B3104" s="8">
        <v>48896.0</v>
      </c>
      <c r="C3104" s="8"/>
      <c r="D3104" s="8"/>
      <c r="E3104" s="8"/>
      <c r="F3104" s="8"/>
    </row>
    <row r="3105" ht="13.5" customHeight="1">
      <c r="A3105" s="8" t="s">
        <v>1812</v>
      </c>
      <c r="B3105" s="8">
        <v>49830.0</v>
      </c>
      <c r="C3105" s="8"/>
      <c r="D3105" s="8"/>
      <c r="E3105" s="8"/>
      <c r="F3105" s="8"/>
    </row>
    <row r="3106" ht="13.5" customHeight="1">
      <c r="A3106" s="8" t="s">
        <v>1823</v>
      </c>
      <c r="B3106" s="8">
        <v>52389.0</v>
      </c>
      <c r="C3106" s="8"/>
      <c r="D3106" s="8"/>
      <c r="E3106" s="8"/>
      <c r="F3106" s="8"/>
    </row>
    <row r="3107" ht="13.5" customHeight="1">
      <c r="A3107" s="8" t="s">
        <v>1701</v>
      </c>
      <c r="B3107" s="8">
        <v>52576.0</v>
      </c>
      <c r="C3107" s="8"/>
      <c r="D3107" s="8"/>
      <c r="E3107" s="8"/>
      <c r="F3107" s="8"/>
    </row>
    <row r="3108" ht="13.5" customHeight="1">
      <c r="A3108" s="8" t="s">
        <v>1817</v>
      </c>
      <c r="B3108" s="8">
        <v>53605.0</v>
      </c>
      <c r="C3108" s="8"/>
      <c r="D3108" s="8"/>
      <c r="E3108" s="8"/>
      <c r="F3108" s="8"/>
    </row>
    <row r="3109" ht="13.5" customHeight="1">
      <c r="A3109" s="8" t="s">
        <v>1816</v>
      </c>
      <c r="B3109" s="8">
        <v>55460.0</v>
      </c>
      <c r="C3109" s="8"/>
      <c r="D3109" s="8"/>
      <c r="E3109" s="8"/>
      <c r="F3109" s="8"/>
    </row>
    <row r="3110" ht="13.5" customHeight="1">
      <c r="A3110" s="8" t="s">
        <v>1820</v>
      </c>
      <c r="B3110" s="8">
        <v>55877.0</v>
      </c>
      <c r="C3110" s="8"/>
      <c r="D3110" s="8"/>
      <c r="E3110" s="8"/>
      <c r="F3110" s="8"/>
    </row>
    <row r="3111" ht="13.5" customHeight="1">
      <c r="A3111" s="8" t="s">
        <v>1701</v>
      </c>
      <c r="B3111" s="8">
        <v>56647.0</v>
      </c>
      <c r="C3111" s="8"/>
      <c r="D3111" s="8"/>
      <c r="E3111" s="8"/>
      <c r="F3111" s="8"/>
    </row>
    <row r="3112" ht="13.5" customHeight="1">
      <c r="A3112" s="8" t="s">
        <v>1701</v>
      </c>
      <c r="B3112" s="8">
        <v>57475.0</v>
      </c>
      <c r="C3112" s="8"/>
      <c r="D3112" s="8"/>
      <c r="E3112" s="8"/>
      <c r="F3112" s="8"/>
    </row>
    <row r="3113" ht="13.5" customHeight="1">
      <c r="A3113" s="8" t="s">
        <v>1816</v>
      </c>
      <c r="B3113" s="8">
        <v>57537.0</v>
      </c>
      <c r="C3113" s="8"/>
      <c r="D3113" s="8"/>
      <c r="E3113" s="8"/>
      <c r="F3113" s="8"/>
    </row>
    <row r="3114" ht="13.5" customHeight="1">
      <c r="A3114" s="8" t="s">
        <v>1816</v>
      </c>
      <c r="B3114" s="8">
        <v>57698.0</v>
      </c>
      <c r="C3114" s="8"/>
      <c r="D3114" s="8"/>
      <c r="E3114" s="8"/>
      <c r="F3114" s="8"/>
    </row>
    <row r="3115" ht="13.5" customHeight="1">
      <c r="A3115" s="8" t="s">
        <v>1816</v>
      </c>
      <c r="B3115" s="8">
        <v>58241.0</v>
      </c>
      <c r="C3115" s="8"/>
      <c r="D3115" s="8"/>
      <c r="E3115" s="8"/>
      <c r="F3115" s="8"/>
    </row>
    <row r="3116" ht="13.5" customHeight="1">
      <c r="A3116" s="8" t="s">
        <v>1825</v>
      </c>
      <c r="B3116" s="8">
        <v>96.0</v>
      </c>
      <c r="C3116" s="8"/>
      <c r="D3116" s="8"/>
      <c r="E3116" s="8"/>
      <c r="F3116" s="8"/>
    </row>
    <row r="3117" ht="13.5" customHeight="1">
      <c r="A3117" s="8" t="s">
        <v>1826</v>
      </c>
      <c r="B3117" s="8">
        <v>610.0</v>
      </c>
      <c r="C3117" s="8"/>
      <c r="D3117" s="8"/>
      <c r="E3117" s="8"/>
      <c r="F3117" s="8"/>
    </row>
    <row r="3118" ht="13.5" customHeight="1">
      <c r="A3118" s="8" t="s">
        <v>1673</v>
      </c>
      <c r="B3118" s="8">
        <v>612.0</v>
      </c>
      <c r="C3118" s="8"/>
      <c r="D3118" s="8"/>
      <c r="E3118" s="8"/>
      <c r="F3118" s="8"/>
    </row>
    <row r="3119" ht="13.5" customHeight="1">
      <c r="A3119" s="8" t="s">
        <v>1828</v>
      </c>
      <c r="B3119" s="8">
        <v>1440.0</v>
      </c>
      <c r="C3119" s="8"/>
      <c r="D3119" s="8"/>
      <c r="E3119" s="8"/>
      <c r="F3119" s="8"/>
    </row>
    <row r="3120" ht="13.5" customHeight="1">
      <c r="A3120" s="8" t="s">
        <v>1829</v>
      </c>
      <c r="B3120" s="8">
        <v>3749.0</v>
      </c>
      <c r="C3120" s="8"/>
      <c r="D3120" s="8"/>
      <c r="E3120" s="8"/>
      <c r="F3120" s="8"/>
    </row>
    <row r="3121" ht="13.5" customHeight="1">
      <c r="A3121" s="8" t="s">
        <v>1826</v>
      </c>
      <c r="B3121" s="8">
        <v>4070.0</v>
      </c>
      <c r="C3121" s="8"/>
      <c r="D3121" s="8"/>
      <c r="E3121" s="8"/>
      <c r="F3121" s="8"/>
    </row>
    <row r="3122" ht="13.5" customHeight="1">
      <c r="A3122" s="8" t="s">
        <v>1830</v>
      </c>
      <c r="B3122" s="8">
        <v>4774.0</v>
      </c>
      <c r="C3122" s="8"/>
      <c r="D3122" s="8"/>
      <c r="E3122" s="8"/>
      <c r="F3122" s="8"/>
    </row>
    <row r="3123" ht="13.5" customHeight="1">
      <c r="A3123" s="8" t="s">
        <v>1831</v>
      </c>
      <c r="B3123" s="8">
        <v>6947.0</v>
      </c>
      <c r="C3123" s="8"/>
      <c r="D3123" s="8"/>
      <c r="E3123" s="8"/>
      <c r="F3123" s="8"/>
    </row>
    <row r="3124" ht="13.5" customHeight="1">
      <c r="A3124" s="8" t="s">
        <v>1825</v>
      </c>
      <c r="B3124" s="8">
        <v>6979.0</v>
      </c>
      <c r="C3124" s="8"/>
      <c r="D3124" s="8"/>
      <c r="E3124" s="8"/>
      <c r="F3124" s="8"/>
    </row>
    <row r="3125" ht="13.5" customHeight="1">
      <c r="A3125" s="8" t="s">
        <v>1832</v>
      </c>
      <c r="B3125" s="8">
        <v>7107.0</v>
      </c>
      <c r="C3125" s="8"/>
      <c r="D3125" s="8"/>
      <c r="E3125" s="8"/>
      <c r="F3125" s="8"/>
    </row>
    <row r="3126" ht="13.5" customHeight="1">
      <c r="A3126" s="8" t="s">
        <v>1559</v>
      </c>
      <c r="B3126" s="8">
        <v>8288.0</v>
      </c>
      <c r="C3126" s="8"/>
      <c r="D3126" s="8"/>
      <c r="E3126" s="8"/>
      <c r="F3126" s="8"/>
    </row>
    <row r="3127" ht="13.5" customHeight="1">
      <c r="A3127" s="8" t="s">
        <v>1829</v>
      </c>
      <c r="B3127" s="8">
        <v>8678.0</v>
      </c>
      <c r="C3127" s="8"/>
      <c r="D3127" s="8"/>
      <c r="E3127" s="8"/>
      <c r="F3127" s="8"/>
    </row>
    <row r="3128" ht="13.5" customHeight="1">
      <c r="A3128" s="8" t="s">
        <v>1809</v>
      </c>
      <c r="B3128" s="8">
        <v>10659.0</v>
      </c>
      <c r="C3128" s="8"/>
      <c r="D3128" s="8"/>
      <c r="E3128" s="8"/>
      <c r="F3128" s="8"/>
    </row>
    <row r="3129" ht="13.5" customHeight="1">
      <c r="A3129" s="8" t="s">
        <v>1553</v>
      </c>
      <c r="B3129" s="8">
        <v>10695.0</v>
      </c>
      <c r="C3129" s="8"/>
      <c r="D3129" s="8"/>
      <c r="E3129" s="8"/>
      <c r="F3129" s="8"/>
    </row>
    <row r="3130" ht="13.5" customHeight="1">
      <c r="A3130" s="8" t="s">
        <v>1825</v>
      </c>
      <c r="B3130" s="8">
        <v>11719.0</v>
      </c>
      <c r="C3130" s="8"/>
      <c r="D3130" s="8"/>
      <c r="E3130" s="8"/>
      <c r="F3130" s="8"/>
    </row>
    <row r="3131" ht="13.5" customHeight="1">
      <c r="A3131" s="8" t="s">
        <v>1559</v>
      </c>
      <c r="B3131" s="8">
        <v>11908.0</v>
      </c>
      <c r="C3131" s="8"/>
      <c r="D3131" s="8"/>
      <c r="E3131" s="8"/>
      <c r="F3131" s="8"/>
    </row>
    <row r="3132" ht="13.5" customHeight="1">
      <c r="A3132" s="8" t="s">
        <v>1835</v>
      </c>
      <c r="B3132" s="8">
        <v>13765.0</v>
      </c>
      <c r="C3132" s="8"/>
      <c r="D3132" s="8"/>
      <c r="E3132" s="8"/>
      <c r="F3132" s="8"/>
    </row>
    <row r="3133" ht="13.5" customHeight="1">
      <c r="A3133" s="8" t="s">
        <v>1825</v>
      </c>
      <c r="B3133" s="8">
        <v>14055.0</v>
      </c>
      <c r="C3133" s="8"/>
      <c r="D3133" s="8"/>
      <c r="E3133" s="8"/>
      <c r="F3133" s="8"/>
    </row>
    <row r="3134" ht="13.5" customHeight="1">
      <c r="A3134" s="8" t="s">
        <v>1553</v>
      </c>
      <c r="B3134" s="8">
        <v>14342.0</v>
      </c>
      <c r="C3134" s="8"/>
      <c r="D3134" s="8"/>
      <c r="E3134" s="8"/>
      <c r="F3134" s="8"/>
    </row>
    <row r="3135" ht="13.5" customHeight="1">
      <c r="A3135" s="8" t="s">
        <v>1832</v>
      </c>
      <c r="B3135" s="8">
        <v>14756.0</v>
      </c>
      <c r="C3135" s="8"/>
      <c r="D3135" s="8"/>
      <c r="E3135" s="8"/>
      <c r="F3135" s="8"/>
    </row>
    <row r="3136" ht="13.5" customHeight="1">
      <c r="A3136" s="8" t="s">
        <v>1511</v>
      </c>
      <c r="B3136" s="8">
        <v>14785.0</v>
      </c>
      <c r="C3136" s="8"/>
      <c r="D3136" s="8"/>
      <c r="E3136" s="8"/>
      <c r="F3136" s="8"/>
    </row>
    <row r="3137" ht="13.5" customHeight="1">
      <c r="A3137" s="8" t="s">
        <v>1821</v>
      </c>
      <c r="B3137" s="8">
        <v>14855.0</v>
      </c>
      <c r="C3137" s="8"/>
      <c r="D3137" s="8"/>
      <c r="E3137" s="8"/>
      <c r="F3137" s="8"/>
    </row>
    <row r="3138" ht="13.5" customHeight="1">
      <c r="A3138" s="8" t="s">
        <v>1831</v>
      </c>
      <c r="B3138" s="8">
        <v>15045.0</v>
      </c>
      <c r="C3138" s="8"/>
      <c r="D3138" s="8"/>
      <c r="E3138" s="8"/>
      <c r="F3138" s="8"/>
    </row>
    <row r="3139" ht="13.5" customHeight="1">
      <c r="A3139" s="8" t="s">
        <v>1559</v>
      </c>
      <c r="B3139" s="8">
        <v>19621.0</v>
      </c>
      <c r="C3139" s="8"/>
      <c r="D3139" s="8"/>
      <c r="E3139" s="8"/>
      <c r="F3139" s="8"/>
    </row>
    <row r="3140" ht="13.5" customHeight="1">
      <c r="A3140" s="8" t="s">
        <v>1837</v>
      </c>
      <c r="B3140" s="8">
        <v>20773.0</v>
      </c>
      <c r="C3140" s="8"/>
      <c r="D3140" s="8"/>
      <c r="E3140" s="8"/>
      <c r="F3140" s="8"/>
    </row>
    <row r="3141" ht="13.5" customHeight="1">
      <c r="A3141" s="8" t="s">
        <v>1553</v>
      </c>
      <c r="B3141" s="8">
        <v>20967.0</v>
      </c>
      <c r="C3141" s="8"/>
      <c r="D3141" s="8"/>
      <c r="E3141" s="8"/>
      <c r="F3141" s="8"/>
    </row>
    <row r="3142" ht="13.5" customHeight="1">
      <c r="A3142" s="8" t="s">
        <v>1825</v>
      </c>
      <c r="B3142" s="8">
        <v>21478.0</v>
      </c>
      <c r="C3142" s="8"/>
      <c r="D3142" s="8"/>
      <c r="E3142" s="8"/>
      <c r="F3142" s="8"/>
    </row>
    <row r="3143" ht="13.5" customHeight="1">
      <c r="A3143" s="8" t="s">
        <v>1825</v>
      </c>
      <c r="B3143" s="8">
        <v>21633.0</v>
      </c>
      <c r="C3143" s="8"/>
      <c r="D3143" s="8"/>
      <c r="E3143" s="8"/>
      <c r="F3143" s="8"/>
    </row>
    <row r="3144" ht="13.5" customHeight="1">
      <c r="A3144" s="8" t="s">
        <v>1559</v>
      </c>
      <c r="B3144" s="8">
        <v>21696.0</v>
      </c>
      <c r="C3144" s="8"/>
      <c r="D3144" s="8"/>
      <c r="E3144" s="8"/>
      <c r="F3144" s="8"/>
    </row>
    <row r="3145" ht="13.5" customHeight="1">
      <c r="A3145" s="8" t="s">
        <v>1837</v>
      </c>
      <c r="B3145" s="8">
        <v>22851.0</v>
      </c>
      <c r="C3145" s="8"/>
      <c r="D3145" s="8"/>
      <c r="E3145" s="8"/>
      <c r="F3145" s="8"/>
    </row>
    <row r="3146" ht="13.5" customHeight="1">
      <c r="A3146" s="8" t="s">
        <v>1825</v>
      </c>
      <c r="B3146" s="8">
        <v>23557.0</v>
      </c>
      <c r="C3146" s="8"/>
      <c r="D3146" s="8"/>
      <c r="E3146" s="8"/>
      <c r="F3146" s="8"/>
    </row>
    <row r="3147" ht="13.5" customHeight="1">
      <c r="A3147" s="8" t="s">
        <v>1832</v>
      </c>
      <c r="B3147" s="8">
        <v>24577.0</v>
      </c>
      <c r="C3147" s="8"/>
      <c r="D3147" s="8"/>
      <c r="E3147" s="8"/>
      <c r="F3147" s="8"/>
    </row>
    <row r="3148" ht="13.5" customHeight="1">
      <c r="A3148" s="8" t="s">
        <v>1829</v>
      </c>
      <c r="B3148" s="8">
        <v>24961.0</v>
      </c>
      <c r="C3148" s="8"/>
      <c r="D3148" s="8"/>
      <c r="E3148" s="8"/>
      <c r="F3148" s="8"/>
    </row>
    <row r="3149" ht="13.5" customHeight="1">
      <c r="A3149" s="8" t="s">
        <v>1553</v>
      </c>
      <c r="B3149" s="8">
        <v>24966.0</v>
      </c>
      <c r="C3149" s="8"/>
      <c r="D3149" s="8"/>
      <c r="E3149" s="8"/>
      <c r="F3149" s="8"/>
    </row>
    <row r="3150" ht="13.5" customHeight="1">
      <c r="A3150" s="8" t="s">
        <v>1553</v>
      </c>
      <c r="B3150" s="8">
        <v>27363.0</v>
      </c>
      <c r="C3150" s="8"/>
      <c r="D3150" s="8"/>
      <c r="E3150" s="8"/>
      <c r="F3150" s="8"/>
    </row>
    <row r="3151" ht="13.5" customHeight="1">
      <c r="A3151" s="8" t="s">
        <v>1559</v>
      </c>
      <c r="B3151" s="8">
        <v>29028.0</v>
      </c>
      <c r="C3151" s="8"/>
      <c r="D3151" s="8"/>
      <c r="E3151" s="8"/>
      <c r="F3151" s="8"/>
    </row>
    <row r="3152" ht="13.5" customHeight="1">
      <c r="A3152" s="8" t="s">
        <v>1837</v>
      </c>
      <c r="B3152" s="8">
        <v>29156.0</v>
      </c>
      <c r="C3152" s="8"/>
      <c r="D3152" s="8"/>
      <c r="E3152" s="8"/>
      <c r="F3152" s="8"/>
    </row>
    <row r="3153" ht="13.5" customHeight="1">
      <c r="A3153" s="8" t="s">
        <v>1835</v>
      </c>
      <c r="B3153" s="8">
        <v>29282.0</v>
      </c>
      <c r="C3153" s="8"/>
      <c r="D3153" s="8"/>
      <c r="E3153" s="8"/>
      <c r="F3153" s="8"/>
    </row>
    <row r="3154" ht="13.5" customHeight="1">
      <c r="A3154" s="8" t="s">
        <v>1559</v>
      </c>
      <c r="B3154" s="8">
        <v>30053.0</v>
      </c>
      <c r="C3154" s="8"/>
      <c r="D3154" s="8"/>
      <c r="E3154" s="8"/>
      <c r="F3154" s="8"/>
    </row>
    <row r="3155" ht="13.5" customHeight="1">
      <c r="A3155" s="8" t="s">
        <v>1837</v>
      </c>
      <c r="B3155" s="8">
        <v>30081.0</v>
      </c>
      <c r="C3155" s="8"/>
      <c r="D3155" s="8"/>
      <c r="E3155" s="8"/>
      <c r="F3155" s="8"/>
    </row>
    <row r="3156" ht="13.5" customHeight="1">
      <c r="A3156" s="8" t="s">
        <v>1825</v>
      </c>
      <c r="B3156" s="8">
        <v>30214.0</v>
      </c>
      <c r="C3156" s="8"/>
      <c r="D3156" s="8"/>
      <c r="E3156" s="8"/>
      <c r="F3156" s="8"/>
    </row>
    <row r="3157" ht="13.5" customHeight="1">
      <c r="A3157" s="8" t="s">
        <v>1832</v>
      </c>
      <c r="B3157" s="8">
        <v>30497.0</v>
      </c>
      <c r="C3157" s="8"/>
      <c r="D3157" s="8"/>
      <c r="E3157" s="8"/>
      <c r="F3157" s="8"/>
    </row>
    <row r="3158" ht="13.5" customHeight="1">
      <c r="A3158" s="8" t="s">
        <v>1559</v>
      </c>
      <c r="B3158" s="8">
        <v>30917.0</v>
      </c>
      <c r="C3158" s="8"/>
      <c r="D3158" s="8"/>
      <c r="E3158" s="8"/>
      <c r="F3158" s="8"/>
    </row>
    <row r="3159" ht="13.5" customHeight="1">
      <c r="A3159" s="8" t="s">
        <v>1832</v>
      </c>
      <c r="B3159" s="8">
        <v>31681.0</v>
      </c>
      <c r="C3159" s="8"/>
      <c r="D3159" s="8"/>
      <c r="E3159" s="8"/>
      <c r="F3159" s="8"/>
    </row>
    <row r="3160" ht="13.5" customHeight="1">
      <c r="A3160" s="8" t="s">
        <v>1831</v>
      </c>
      <c r="B3160" s="8">
        <v>31777.0</v>
      </c>
      <c r="C3160" s="8"/>
      <c r="D3160" s="8"/>
      <c r="E3160" s="8"/>
      <c r="F3160" s="8"/>
    </row>
    <row r="3161" ht="13.5" customHeight="1">
      <c r="A3161" s="8" t="s">
        <v>1821</v>
      </c>
      <c r="B3161" s="8">
        <v>32710.0</v>
      </c>
      <c r="C3161" s="8"/>
      <c r="D3161" s="8"/>
      <c r="E3161" s="8"/>
      <c r="F3161" s="8"/>
    </row>
    <row r="3162" ht="13.5" customHeight="1">
      <c r="A3162" s="8" t="s">
        <v>1825</v>
      </c>
      <c r="B3162" s="8">
        <v>33060.0</v>
      </c>
      <c r="C3162" s="8"/>
      <c r="D3162" s="8"/>
      <c r="E3162" s="8"/>
      <c r="F3162" s="8"/>
    </row>
    <row r="3163" ht="13.5" customHeight="1">
      <c r="A3163" s="8" t="s">
        <v>1825</v>
      </c>
      <c r="B3163" s="8">
        <v>33254.0</v>
      </c>
      <c r="C3163" s="8"/>
      <c r="D3163" s="8"/>
      <c r="E3163" s="8"/>
      <c r="F3163" s="8"/>
    </row>
    <row r="3164" ht="13.5" customHeight="1">
      <c r="A3164" s="8" t="s">
        <v>1821</v>
      </c>
      <c r="B3164" s="8">
        <v>33605.0</v>
      </c>
      <c r="C3164" s="8"/>
      <c r="D3164" s="8"/>
      <c r="E3164" s="8"/>
      <c r="F3164" s="8"/>
    </row>
    <row r="3165" ht="13.5" customHeight="1">
      <c r="A3165" s="8" t="s">
        <v>1559</v>
      </c>
      <c r="B3165" s="8">
        <v>34180.0</v>
      </c>
      <c r="C3165" s="8"/>
      <c r="D3165" s="8"/>
      <c r="E3165" s="8"/>
      <c r="F3165" s="8"/>
    </row>
    <row r="3166" ht="13.5" customHeight="1">
      <c r="A3166" s="8" t="s">
        <v>1826</v>
      </c>
      <c r="B3166" s="8">
        <v>35137.0</v>
      </c>
      <c r="C3166" s="8"/>
      <c r="D3166" s="8"/>
      <c r="E3166" s="8"/>
      <c r="F3166" s="8"/>
    </row>
    <row r="3167" ht="13.5" customHeight="1">
      <c r="A3167" s="8" t="s">
        <v>1559</v>
      </c>
      <c r="B3167" s="8">
        <v>36838.0</v>
      </c>
      <c r="C3167" s="8"/>
      <c r="D3167" s="8"/>
      <c r="E3167" s="8"/>
      <c r="F3167" s="8"/>
    </row>
    <row r="3168" ht="13.5" customHeight="1">
      <c r="A3168" s="8" t="s">
        <v>1832</v>
      </c>
      <c r="B3168" s="8">
        <v>37252.0</v>
      </c>
      <c r="C3168" s="8"/>
      <c r="D3168" s="8"/>
      <c r="E3168" s="8"/>
      <c r="F3168" s="8"/>
    </row>
    <row r="3169" ht="13.5" customHeight="1">
      <c r="A3169" s="8" t="s">
        <v>1832</v>
      </c>
      <c r="B3169" s="8">
        <v>38979.0</v>
      </c>
      <c r="C3169" s="8"/>
      <c r="D3169" s="8"/>
      <c r="E3169" s="8"/>
      <c r="F3169" s="8"/>
    </row>
    <row r="3170" ht="13.5" customHeight="1">
      <c r="A3170" s="8" t="s">
        <v>1829</v>
      </c>
      <c r="B3170" s="8">
        <v>39619.0</v>
      </c>
      <c r="C3170" s="8"/>
      <c r="D3170" s="8"/>
      <c r="E3170" s="8"/>
      <c r="F3170" s="8"/>
    </row>
    <row r="3171" ht="13.5" customHeight="1">
      <c r="A3171" s="8" t="s">
        <v>1821</v>
      </c>
      <c r="B3171" s="8">
        <v>40101.0</v>
      </c>
      <c r="C3171" s="8"/>
      <c r="D3171" s="8"/>
      <c r="E3171" s="8"/>
      <c r="F3171" s="8"/>
    </row>
    <row r="3172" ht="13.5" customHeight="1">
      <c r="A3172" s="8" t="s">
        <v>1559</v>
      </c>
      <c r="B3172" s="8">
        <v>41542.0</v>
      </c>
      <c r="C3172" s="8"/>
      <c r="D3172" s="8"/>
      <c r="E3172" s="8"/>
      <c r="F3172" s="8"/>
    </row>
    <row r="3173" ht="13.5" customHeight="1">
      <c r="A3173" s="8" t="s">
        <v>1826</v>
      </c>
      <c r="B3173" s="8">
        <v>42565.0</v>
      </c>
      <c r="C3173" s="8"/>
      <c r="D3173" s="8"/>
      <c r="E3173" s="8"/>
      <c r="F3173" s="8"/>
    </row>
    <row r="3174" ht="13.5" customHeight="1">
      <c r="A3174" s="8" t="s">
        <v>1832</v>
      </c>
      <c r="B3174" s="8">
        <v>42823.0</v>
      </c>
      <c r="C3174" s="8"/>
      <c r="D3174" s="8"/>
      <c r="E3174" s="8"/>
      <c r="F3174" s="8"/>
    </row>
    <row r="3175" ht="13.5" customHeight="1">
      <c r="A3175" s="8" t="s">
        <v>1821</v>
      </c>
      <c r="B3175" s="8">
        <v>43398.0</v>
      </c>
      <c r="C3175" s="8"/>
      <c r="D3175" s="8"/>
      <c r="E3175" s="8"/>
      <c r="F3175" s="8"/>
    </row>
    <row r="3176" ht="13.5" customHeight="1">
      <c r="A3176" s="8" t="s">
        <v>1821</v>
      </c>
      <c r="B3176" s="8">
        <v>44002.0</v>
      </c>
      <c r="C3176" s="8"/>
      <c r="D3176" s="8"/>
      <c r="E3176" s="8"/>
      <c r="F3176" s="8"/>
    </row>
    <row r="3177" ht="13.5" customHeight="1">
      <c r="A3177" s="8" t="s">
        <v>1825</v>
      </c>
      <c r="B3177" s="8">
        <v>44359.0</v>
      </c>
      <c r="C3177" s="8"/>
      <c r="D3177" s="8"/>
      <c r="E3177" s="8"/>
      <c r="F3177" s="8"/>
    </row>
    <row r="3178" ht="13.5" customHeight="1">
      <c r="A3178" s="8" t="s">
        <v>1837</v>
      </c>
      <c r="B3178" s="8">
        <v>44871.0</v>
      </c>
      <c r="C3178" s="8"/>
      <c r="D3178" s="8"/>
      <c r="E3178" s="8"/>
      <c r="F3178" s="8"/>
    </row>
    <row r="3179" ht="13.5" customHeight="1">
      <c r="A3179" s="8" t="s">
        <v>1559</v>
      </c>
      <c r="B3179" s="8">
        <v>46055.0</v>
      </c>
      <c r="C3179" s="8"/>
      <c r="D3179" s="8"/>
      <c r="E3179" s="8"/>
      <c r="F3179" s="8"/>
    </row>
    <row r="3180" ht="13.5" customHeight="1">
      <c r="A3180" s="8" t="s">
        <v>1825</v>
      </c>
      <c r="B3180" s="8">
        <v>46624.0</v>
      </c>
      <c r="C3180" s="8"/>
      <c r="D3180" s="8"/>
      <c r="E3180" s="8"/>
      <c r="F3180" s="8"/>
    </row>
    <row r="3181" ht="13.5" customHeight="1">
      <c r="A3181" s="8" t="s">
        <v>1841</v>
      </c>
      <c r="B3181" s="8">
        <v>47079.0</v>
      </c>
      <c r="C3181" s="8"/>
      <c r="D3181" s="8"/>
      <c r="E3181" s="8"/>
      <c r="F3181" s="8"/>
    </row>
    <row r="3182" ht="13.5" customHeight="1">
      <c r="A3182" s="8" t="s">
        <v>1559</v>
      </c>
      <c r="B3182" s="8">
        <v>47494.0</v>
      </c>
      <c r="C3182" s="8"/>
      <c r="D3182" s="8"/>
      <c r="E3182" s="8"/>
      <c r="F3182" s="8"/>
    </row>
    <row r="3183" ht="13.5" customHeight="1">
      <c r="A3183" s="8" t="s">
        <v>1830</v>
      </c>
      <c r="B3183" s="8">
        <v>47622.0</v>
      </c>
      <c r="C3183" s="8"/>
      <c r="D3183" s="8"/>
      <c r="E3183" s="8"/>
      <c r="F3183" s="8"/>
    </row>
    <row r="3184" ht="13.5" customHeight="1">
      <c r="A3184" s="8" t="s">
        <v>1830</v>
      </c>
      <c r="B3184" s="8">
        <v>47938.0</v>
      </c>
      <c r="C3184" s="8"/>
      <c r="D3184" s="8"/>
      <c r="E3184" s="8"/>
      <c r="F3184" s="8"/>
    </row>
    <row r="3185" ht="13.5" customHeight="1">
      <c r="A3185" s="8" t="s">
        <v>1821</v>
      </c>
      <c r="B3185" s="8">
        <v>48032.0</v>
      </c>
      <c r="C3185" s="8"/>
      <c r="D3185" s="8"/>
      <c r="E3185" s="8"/>
      <c r="F3185" s="8"/>
    </row>
    <row r="3186" ht="13.5" customHeight="1">
      <c r="A3186" s="8" t="s">
        <v>1841</v>
      </c>
      <c r="B3186" s="8">
        <v>49062.0</v>
      </c>
      <c r="C3186" s="8"/>
      <c r="D3186" s="8"/>
      <c r="E3186" s="8"/>
      <c r="F3186" s="8"/>
    </row>
    <row r="3187" ht="13.5" customHeight="1">
      <c r="A3187" s="8" t="s">
        <v>1826</v>
      </c>
      <c r="B3187" s="8">
        <v>49541.0</v>
      </c>
      <c r="C3187" s="8"/>
      <c r="D3187" s="8"/>
      <c r="E3187" s="8"/>
      <c r="F3187" s="8"/>
    </row>
    <row r="3188" ht="13.5" customHeight="1">
      <c r="A3188" s="8" t="s">
        <v>1825</v>
      </c>
      <c r="B3188" s="8">
        <v>49799.0</v>
      </c>
      <c r="C3188" s="8"/>
      <c r="D3188" s="8"/>
      <c r="E3188" s="8"/>
      <c r="F3188" s="8"/>
    </row>
    <row r="3189" ht="13.5" customHeight="1">
      <c r="A3189" s="8" t="s">
        <v>1841</v>
      </c>
      <c r="B3189" s="8">
        <v>49828.0</v>
      </c>
      <c r="C3189" s="8"/>
      <c r="D3189" s="8"/>
      <c r="E3189" s="8"/>
      <c r="F3189" s="8"/>
    </row>
    <row r="3190" ht="13.5" customHeight="1">
      <c r="A3190" s="8" t="s">
        <v>1627</v>
      </c>
      <c r="B3190" s="8">
        <v>50054.0</v>
      </c>
      <c r="C3190" s="8"/>
      <c r="D3190" s="8"/>
      <c r="E3190" s="8"/>
      <c r="F3190" s="8"/>
    </row>
    <row r="3191" ht="13.5" customHeight="1">
      <c r="A3191" s="8" t="s">
        <v>1559</v>
      </c>
      <c r="B3191" s="8">
        <v>50370.0</v>
      </c>
      <c r="C3191" s="8"/>
      <c r="D3191" s="8"/>
      <c r="E3191" s="8"/>
      <c r="F3191" s="8"/>
    </row>
    <row r="3192" ht="13.5" customHeight="1">
      <c r="A3192" s="8" t="s">
        <v>1835</v>
      </c>
      <c r="B3192" s="8">
        <v>51009.0</v>
      </c>
      <c r="C3192" s="8"/>
      <c r="D3192" s="8"/>
      <c r="E3192" s="8"/>
      <c r="F3192" s="8"/>
    </row>
    <row r="3193" ht="13.5" customHeight="1">
      <c r="A3193" s="8" t="s">
        <v>1826</v>
      </c>
      <c r="B3193" s="8">
        <v>55200.0</v>
      </c>
      <c r="C3193" s="8"/>
      <c r="D3193" s="8"/>
      <c r="E3193" s="8"/>
      <c r="F3193" s="8"/>
    </row>
    <row r="3194" ht="13.5" customHeight="1">
      <c r="A3194" s="8" t="s">
        <v>1841</v>
      </c>
      <c r="B3194" s="8">
        <v>55808.0</v>
      </c>
      <c r="C3194" s="8"/>
      <c r="D3194" s="8"/>
      <c r="E3194" s="8"/>
      <c r="F3194" s="8"/>
    </row>
    <row r="3195" ht="13.5" customHeight="1">
      <c r="A3195" s="8" t="s">
        <v>1828</v>
      </c>
      <c r="B3195" s="8">
        <v>55937.0</v>
      </c>
      <c r="C3195" s="8"/>
      <c r="D3195" s="8"/>
      <c r="E3195" s="8"/>
      <c r="F3195" s="8"/>
    </row>
    <row r="3196" ht="13.5" customHeight="1">
      <c r="A3196" s="8" t="s">
        <v>1841</v>
      </c>
      <c r="B3196" s="8">
        <v>56161.0</v>
      </c>
      <c r="C3196" s="8"/>
      <c r="D3196" s="8"/>
      <c r="E3196" s="8"/>
      <c r="F3196" s="8"/>
    </row>
    <row r="3197" ht="13.5" customHeight="1">
      <c r="A3197" s="8" t="s">
        <v>1841</v>
      </c>
      <c r="B3197" s="8">
        <v>57477.0</v>
      </c>
      <c r="C3197" s="8"/>
      <c r="D3197" s="8"/>
      <c r="E3197" s="8"/>
      <c r="F3197" s="8"/>
    </row>
    <row r="3198" ht="13.5" customHeight="1">
      <c r="A3198" s="8" t="s">
        <v>1678</v>
      </c>
      <c r="B3198" s="8">
        <v>59044.0</v>
      </c>
      <c r="C3198" s="8"/>
      <c r="D3198" s="8"/>
      <c r="E3198" s="8"/>
      <c r="F3198" s="8"/>
    </row>
    <row r="3199" ht="13.5" customHeight="1">
      <c r="A3199" s="8" t="s">
        <v>1454</v>
      </c>
      <c r="B3199" s="8">
        <v>59204.0</v>
      </c>
      <c r="C3199" s="8"/>
      <c r="D3199" s="8"/>
      <c r="E3199" s="8"/>
      <c r="F3199" s="8"/>
    </row>
    <row r="3200" ht="13.5" customHeight="1">
      <c r="A3200" s="8" t="s">
        <v>1841</v>
      </c>
      <c r="B3200" s="8">
        <v>59969.0</v>
      </c>
      <c r="C3200" s="8"/>
      <c r="D3200" s="8"/>
      <c r="E3200" s="8"/>
      <c r="F3200" s="8"/>
    </row>
    <row r="3201" ht="13.5" customHeight="1">
      <c r="A3201" s="8" t="s">
        <v>1842</v>
      </c>
      <c r="B3201" s="8">
        <v>166.0</v>
      </c>
      <c r="C3201" s="8"/>
      <c r="D3201" s="8"/>
      <c r="E3201" s="8"/>
      <c r="F3201" s="8"/>
    </row>
    <row r="3202" ht="13.5" customHeight="1">
      <c r="A3202" s="8" t="s">
        <v>1844</v>
      </c>
      <c r="B3202" s="8">
        <v>197.0</v>
      </c>
      <c r="C3202" s="8"/>
      <c r="D3202" s="8"/>
      <c r="E3202" s="8"/>
      <c r="F3202" s="8"/>
    </row>
    <row r="3203" ht="13.5" customHeight="1">
      <c r="A3203" s="8" t="s">
        <v>1845</v>
      </c>
      <c r="B3203" s="8">
        <v>231.0</v>
      </c>
      <c r="C3203" s="8"/>
      <c r="D3203" s="8"/>
      <c r="E3203" s="8"/>
      <c r="F3203" s="8"/>
    </row>
    <row r="3204" ht="13.5" customHeight="1">
      <c r="A3204" s="8" t="s">
        <v>1846</v>
      </c>
      <c r="B3204" s="8">
        <v>487.0</v>
      </c>
      <c r="C3204" s="8"/>
      <c r="D3204" s="8"/>
      <c r="E3204" s="8"/>
      <c r="F3204" s="8"/>
    </row>
    <row r="3205" ht="13.5" customHeight="1">
      <c r="A3205" s="8" t="s">
        <v>1847</v>
      </c>
      <c r="B3205" s="8">
        <v>710.0</v>
      </c>
      <c r="C3205" s="8"/>
      <c r="D3205" s="8"/>
      <c r="E3205" s="8"/>
      <c r="F3205" s="8"/>
    </row>
    <row r="3206" ht="13.5" customHeight="1">
      <c r="A3206" s="8" t="s">
        <v>1848</v>
      </c>
      <c r="B3206" s="8">
        <v>801.0</v>
      </c>
      <c r="C3206" s="8"/>
      <c r="D3206" s="8"/>
      <c r="E3206" s="8"/>
      <c r="F3206" s="8"/>
    </row>
    <row r="3207" ht="13.5" customHeight="1">
      <c r="A3207" s="8" t="s">
        <v>1846</v>
      </c>
      <c r="B3207" s="8">
        <v>870.0</v>
      </c>
      <c r="C3207" s="8"/>
      <c r="D3207" s="8"/>
      <c r="E3207" s="8"/>
      <c r="F3207" s="8"/>
    </row>
    <row r="3208" ht="13.5" customHeight="1">
      <c r="A3208" s="8" t="s">
        <v>982</v>
      </c>
      <c r="B3208" s="8">
        <v>1253.0</v>
      </c>
      <c r="C3208" s="8"/>
      <c r="D3208" s="8"/>
      <c r="E3208" s="8"/>
      <c r="F3208" s="8"/>
    </row>
    <row r="3209" ht="13.5" customHeight="1">
      <c r="A3209" s="8" t="s">
        <v>1849</v>
      </c>
      <c r="B3209" s="8">
        <v>1542.0</v>
      </c>
      <c r="C3209" s="8"/>
      <c r="D3209" s="8"/>
      <c r="E3209" s="8"/>
      <c r="F3209" s="8"/>
    </row>
    <row r="3210" ht="13.5" customHeight="1">
      <c r="A3210" s="8" t="s">
        <v>1851</v>
      </c>
      <c r="B3210" s="8">
        <v>2497.0</v>
      </c>
      <c r="C3210" s="8"/>
      <c r="D3210" s="8"/>
      <c r="E3210" s="8"/>
      <c r="F3210" s="8"/>
    </row>
    <row r="3211" ht="13.5" customHeight="1">
      <c r="A3211" s="8" t="s">
        <v>1852</v>
      </c>
      <c r="B3211" s="8">
        <v>2630.0</v>
      </c>
      <c r="C3211" s="8"/>
      <c r="D3211" s="8"/>
      <c r="E3211" s="8"/>
      <c r="F3211" s="8"/>
    </row>
    <row r="3212" ht="13.5" customHeight="1">
      <c r="A3212" s="8" t="s">
        <v>1789</v>
      </c>
      <c r="B3212" s="8">
        <v>2657.0</v>
      </c>
      <c r="C3212" s="8"/>
      <c r="D3212" s="8"/>
      <c r="E3212" s="8"/>
      <c r="F3212" s="8"/>
    </row>
    <row r="3213" ht="13.5" customHeight="1">
      <c r="A3213" s="8" t="s">
        <v>1848</v>
      </c>
      <c r="B3213" s="8">
        <v>2688.0</v>
      </c>
      <c r="C3213" s="8"/>
      <c r="D3213" s="8"/>
      <c r="E3213" s="8"/>
      <c r="F3213" s="8"/>
    </row>
    <row r="3214" ht="13.5" customHeight="1">
      <c r="A3214" s="8" t="s">
        <v>1853</v>
      </c>
      <c r="B3214" s="8">
        <v>2816.0</v>
      </c>
      <c r="C3214" s="8"/>
      <c r="D3214" s="8"/>
      <c r="E3214" s="8"/>
      <c r="F3214" s="8"/>
    </row>
    <row r="3215" ht="13.5" customHeight="1">
      <c r="A3215" s="8" t="s">
        <v>1853</v>
      </c>
      <c r="B3215" s="8">
        <v>2818.0</v>
      </c>
      <c r="C3215" s="8"/>
      <c r="D3215" s="8"/>
      <c r="E3215" s="8"/>
      <c r="F3215" s="8"/>
    </row>
    <row r="3216" ht="13.5" customHeight="1">
      <c r="A3216" s="8" t="s">
        <v>1854</v>
      </c>
      <c r="B3216" s="8">
        <v>3040.0</v>
      </c>
      <c r="C3216" s="8"/>
      <c r="D3216" s="8"/>
      <c r="E3216" s="8"/>
      <c r="F3216" s="8"/>
    </row>
    <row r="3217" ht="13.5" customHeight="1">
      <c r="A3217" s="8" t="s">
        <v>109</v>
      </c>
      <c r="B3217" s="8">
        <v>3108.0</v>
      </c>
      <c r="C3217" s="8"/>
      <c r="D3217" s="8"/>
      <c r="E3217" s="8"/>
      <c r="F3217" s="8"/>
    </row>
    <row r="3218" ht="13.5" customHeight="1">
      <c r="A3218" s="8" t="s">
        <v>1631</v>
      </c>
      <c r="B3218" s="8">
        <v>3459.0</v>
      </c>
      <c r="C3218" s="8"/>
      <c r="D3218" s="8"/>
      <c r="E3218" s="8"/>
      <c r="F3218" s="8"/>
    </row>
    <row r="3219" ht="13.5" customHeight="1">
      <c r="A3219" s="8" t="s">
        <v>1855</v>
      </c>
      <c r="B3219" s="8">
        <v>3488.0</v>
      </c>
      <c r="C3219" s="8"/>
      <c r="D3219" s="8"/>
      <c r="E3219" s="8"/>
      <c r="F3219" s="8"/>
    </row>
    <row r="3220" ht="13.5" customHeight="1">
      <c r="A3220" s="8" t="s">
        <v>347</v>
      </c>
      <c r="B3220" s="8">
        <v>3492.0</v>
      </c>
      <c r="C3220" s="8"/>
      <c r="D3220" s="8"/>
      <c r="E3220" s="8"/>
      <c r="F3220" s="8"/>
    </row>
    <row r="3221" ht="13.5" customHeight="1">
      <c r="A3221" s="8" t="s">
        <v>347</v>
      </c>
      <c r="B3221" s="8">
        <v>3553.0</v>
      </c>
      <c r="C3221" s="8"/>
      <c r="D3221" s="8"/>
      <c r="E3221" s="8"/>
      <c r="F3221" s="8"/>
    </row>
    <row r="3222" ht="13.5" customHeight="1">
      <c r="A3222" s="8" t="s">
        <v>1856</v>
      </c>
      <c r="B3222" s="8">
        <v>3622.0</v>
      </c>
      <c r="C3222" s="8"/>
      <c r="D3222" s="8"/>
      <c r="E3222" s="8"/>
      <c r="F3222" s="8"/>
    </row>
    <row r="3223" ht="13.5" customHeight="1">
      <c r="A3223" s="8" t="s">
        <v>982</v>
      </c>
      <c r="B3223" s="8">
        <v>3810.0</v>
      </c>
      <c r="C3223" s="8"/>
      <c r="D3223" s="8"/>
      <c r="E3223" s="8"/>
      <c r="F3223" s="8"/>
    </row>
    <row r="3224" ht="13.5" customHeight="1">
      <c r="A3224" s="8" t="s">
        <v>982</v>
      </c>
      <c r="B3224" s="8">
        <v>4451.0</v>
      </c>
      <c r="C3224" s="8"/>
      <c r="D3224" s="8"/>
      <c r="E3224" s="8"/>
      <c r="F3224" s="8"/>
    </row>
    <row r="3225" ht="13.5" customHeight="1">
      <c r="A3225" s="8" t="s">
        <v>1857</v>
      </c>
      <c r="B3225" s="8">
        <v>4516.0</v>
      </c>
      <c r="C3225" s="8"/>
      <c r="D3225" s="8"/>
      <c r="E3225" s="8"/>
      <c r="F3225" s="8"/>
    </row>
    <row r="3226" ht="13.5" customHeight="1">
      <c r="A3226" s="8" t="s">
        <v>347</v>
      </c>
      <c r="B3226" s="8">
        <v>4578.0</v>
      </c>
      <c r="C3226" s="8"/>
      <c r="D3226" s="8"/>
      <c r="E3226" s="8"/>
      <c r="F3226" s="8"/>
    </row>
    <row r="3227" ht="13.5" customHeight="1">
      <c r="A3227" s="8" t="s">
        <v>1856</v>
      </c>
      <c r="B3227" s="8">
        <v>4611.0</v>
      </c>
      <c r="C3227" s="8"/>
      <c r="D3227" s="8"/>
      <c r="E3227" s="8"/>
      <c r="F3227" s="8"/>
    </row>
    <row r="3228" ht="13.5" customHeight="1">
      <c r="A3228" s="8" t="s">
        <v>1858</v>
      </c>
      <c r="B3228" s="8">
        <v>5281.0</v>
      </c>
      <c r="C3228" s="8"/>
      <c r="D3228" s="8"/>
      <c r="E3228" s="8"/>
      <c r="F3228" s="8"/>
    </row>
    <row r="3229" ht="13.5" customHeight="1">
      <c r="A3229" s="8" t="s">
        <v>1859</v>
      </c>
      <c r="B3229" s="8">
        <v>5635.0</v>
      </c>
      <c r="C3229" s="8"/>
      <c r="D3229" s="8"/>
      <c r="E3229" s="8"/>
      <c r="F3229" s="8"/>
    </row>
    <row r="3230" ht="13.5" customHeight="1">
      <c r="A3230" s="8" t="s">
        <v>1687</v>
      </c>
      <c r="B3230" s="8">
        <v>5696.0</v>
      </c>
      <c r="C3230" s="8"/>
      <c r="D3230" s="8"/>
      <c r="E3230" s="8"/>
      <c r="F3230" s="8"/>
    </row>
    <row r="3231" ht="13.5" customHeight="1">
      <c r="A3231" s="8" t="s">
        <v>1861</v>
      </c>
      <c r="B3231" s="8">
        <v>5921.0</v>
      </c>
      <c r="C3231" s="8"/>
      <c r="D3231" s="8"/>
      <c r="E3231" s="8"/>
      <c r="F3231" s="8"/>
    </row>
    <row r="3232" ht="13.5" customHeight="1">
      <c r="A3232" s="8" t="s">
        <v>339</v>
      </c>
      <c r="B3232" s="8">
        <v>6241.0</v>
      </c>
      <c r="C3232" s="8"/>
      <c r="D3232" s="8"/>
      <c r="E3232" s="8"/>
      <c r="F3232" s="8"/>
    </row>
    <row r="3233" ht="13.5" customHeight="1">
      <c r="A3233" s="8" t="s">
        <v>1855</v>
      </c>
      <c r="B3233" s="8">
        <v>6406.0</v>
      </c>
      <c r="C3233" s="8"/>
      <c r="D3233" s="8"/>
      <c r="E3233" s="8"/>
      <c r="F3233" s="8"/>
    </row>
    <row r="3234" ht="13.5" customHeight="1">
      <c r="A3234" s="8" t="s">
        <v>347</v>
      </c>
      <c r="B3234" s="8">
        <v>6625.0</v>
      </c>
      <c r="C3234" s="8"/>
      <c r="D3234" s="8"/>
      <c r="E3234" s="8"/>
      <c r="F3234" s="8"/>
    </row>
    <row r="3235" ht="13.5" customHeight="1">
      <c r="A3235" s="8" t="s">
        <v>1862</v>
      </c>
      <c r="B3235" s="8">
        <v>6854.0</v>
      </c>
      <c r="C3235" s="8"/>
      <c r="D3235" s="8"/>
      <c r="E3235" s="8"/>
      <c r="F3235" s="8"/>
    </row>
    <row r="3236" ht="13.5" customHeight="1">
      <c r="A3236" s="8" t="s">
        <v>1863</v>
      </c>
      <c r="B3236" s="8">
        <v>7335.0</v>
      </c>
      <c r="C3236" s="8"/>
      <c r="D3236" s="8"/>
      <c r="E3236" s="8"/>
      <c r="F3236" s="8"/>
    </row>
    <row r="3237" ht="13.5" customHeight="1">
      <c r="A3237" s="8" t="s">
        <v>1864</v>
      </c>
      <c r="B3237" s="8">
        <v>7457.0</v>
      </c>
      <c r="C3237" s="8"/>
      <c r="D3237" s="8"/>
      <c r="E3237" s="8"/>
      <c r="F3237" s="8"/>
    </row>
    <row r="3238" ht="13.5" customHeight="1">
      <c r="A3238" s="8" t="s">
        <v>1865</v>
      </c>
      <c r="B3238" s="8">
        <v>7653.0</v>
      </c>
      <c r="C3238" s="8"/>
      <c r="D3238" s="8"/>
      <c r="E3238" s="8"/>
      <c r="F3238" s="8"/>
    </row>
    <row r="3239" ht="13.5" customHeight="1">
      <c r="A3239" s="8" t="s">
        <v>1866</v>
      </c>
      <c r="B3239" s="8">
        <v>7783.0</v>
      </c>
      <c r="C3239" s="8"/>
      <c r="D3239" s="8"/>
      <c r="E3239" s="8"/>
      <c r="F3239" s="8"/>
    </row>
    <row r="3240" ht="13.5" customHeight="1">
      <c r="A3240" s="8" t="s">
        <v>1867</v>
      </c>
      <c r="B3240" s="8">
        <v>7905.0</v>
      </c>
      <c r="C3240" s="8"/>
      <c r="D3240" s="8"/>
      <c r="E3240" s="8"/>
      <c r="F3240" s="8"/>
    </row>
    <row r="3241" ht="13.5" customHeight="1">
      <c r="A3241" s="8" t="s">
        <v>1631</v>
      </c>
      <c r="B3241" s="8">
        <v>8064.0</v>
      </c>
      <c r="C3241" s="8"/>
      <c r="D3241" s="8"/>
      <c r="E3241" s="8"/>
      <c r="F3241" s="8"/>
    </row>
    <row r="3242" ht="13.5" customHeight="1">
      <c r="A3242" s="8" t="s">
        <v>1868</v>
      </c>
      <c r="B3242" s="8">
        <v>8130.0</v>
      </c>
      <c r="C3242" s="8"/>
      <c r="D3242" s="8"/>
      <c r="E3242" s="8"/>
      <c r="F3242" s="8"/>
    </row>
    <row r="3243" ht="13.5" customHeight="1">
      <c r="A3243" s="8" t="s">
        <v>1869</v>
      </c>
      <c r="B3243" s="8">
        <v>8294.0</v>
      </c>
      <c r="C3243" s="8"/>
      <c r="D3243" s="8"/>
      <c r="E3243" s="8"/>
      <c r="F3243" s="8"/>
    </row>
    <row r="3244" ht="13.5" customHeight="1">
      <c r="A3244" s="8" t="s">
        <v>1867</v>
      </c>
      <c r="B3244" s="8">
        <v>8384.0</v>
      </c>
      <c r="C3244" s="8"/>
      <c r="D3244" s="8"/>
      <c r="E3244" s="8"/>
      <c r="F3244" s="8"/>
    </row>
    <row r="3245" ht="13.5" customHeight="1">
      <c r="A3245" s="8" t="s">
        <v>1126</v>
      </c>
      <c r="B3245" s="8">
        <v>8580.0</v>
      </c>
      <c r="C3245" s="8"/>
      <c r="D3245" s="8"/>
      <c r="E3245" s="8"/>
      <c r="F3245" s="8"/>
    </row>
    <row r="3246" ht="13.5" customHeight="1">
      <c r="A3246" s="8" t="s">
        <v>1870</v>
      </c>
      <c r="B3246" s="8">
        <v>8646.0</v>
      </c>
      <c r="C3246" s="8"/>
      <c r="D3246" s="8"/>
      <c r="E3246" s="8"/>
      <c r="F3246" s="8"/>
    </row>
    <row r="3247" ht="13.5" customHeight="1">
      <c r="A3247" s="8" t="s">
        <v>1689</v>
      </c>
      <c r="B3247" s="8">
        <v>8993.0</v>
      </c>
      <c r="C3247" s="8"/>
      <c r="D3247" s="8"/>
      <c r="E3247" s="8"/>
      <c r="F3247" s="8"/>
    </row>
    <row r="3248" ht="13.5" customHeight="1">
      <c r="A3248" s="8" t="s">
        <v>982</v>
      </c>
      <c r="B3248" s="8">
        <v>8996.0</v>
      </c>
      <c r="C3248" s="8"/>
      <c r="D3248" s="8"/>
      <c r="E3248" s="8"/>
      <c r="F3248" s="8"/>
    </row>
    <row r="3249" ht="13.5" customHeight="1">
      <c r="A3249" s="8" t="s">
        <v>1849</v>
      </c>
      <c r="B3249" s="8">
        <v>8998.0</v>
      </c>
      <c r="C3249" s="8"/>
      <c r="D3249" s="8"/>
      <c r="E3249" s="8"/>
      <c r="F3249" s="8"/>
    </row>
    <row r="3250" ht="13.5" customHeight="1">
      <c r="A3250" s="8" t="s">
        <v>339</v>
      </c>
      <c r="B3250" s="8">
        <v>9124.0</v>
      </c>
      <c r="C3250" s="8"/>
      <c r="D3250" s="8"/>
      <c r="E3250" s="8"/>
      <c r="F3250" s="8"/>
    </row>
    <row r="3251" ht="13.5" customHeight="1">
      <c r="A3251" s="8" t="s">
        <v>1872</v>
      </c>
      <c r="B3251" s="8">
        <v>9152.0</v>
      </c>
      <c r="C3251" s="8"/>
      <c r="D3251" s="8"/>
      <c r="E3251" s="8"/>
      <c r="F3251" s="8"/>
    </row>
    <row r="3252" ht="13.5" customHeight="1">
      <c r="A3252" s="8" t="s">
        <v>1872</v>
      </c>
      <c r="B3252" s="8">
        <v>9312.0</v>
      </c>
      <c r="C3252" s="8"/>
      <c r="D3252" s="8"/>
      <c r="E3252" s="8"/>
      <c r="F3252" s="8"/>
    </row>
    <row r="3253" ht="13.5" customHeight="1">
      <c r="A3253" s="8" t="s">
        <v>1873</v>
      </c>
      <c r="B3253" s="8">
        <v>9700.0</v>
      </c>
      <c r="C3253" s="8"/>
      <c r="D3253" s="8"/>
      <c r="E3253" s="8"/>
      <c r="F3253" s="8"/>
    </row>
    <row r="3254" ht="13.5" customHeight="1">
      <c r="A3254" s="8" t="s">
        <v>1858</v>
      </c>
      <c r="B3254" s="8">
        <v>9826.0</v>
      </c>
      <c r="C3254" s="8"/>
      <c r="D3254" s="8"/>
      <c r="E3254" s="8"/>
      <c r="F3254" s="8"/>
    </row>
    <row r="3255" ht="13.5" customHeight="1">
      <c r="A3255" s="8" t="s">
        <v>1848</v>
      </c>
      <c r="B3255" s="8">
        <v>9954.0</v>
      </c>
      <c r="C3255" s="8"/>
      <c r="D3255" s="8"/>
      <c r="E3255" s="8"/>
      <c r="F3255" s="8"/>
    </row>
    <row r="3256" ht="13.5" customHeight="1">
      <c r="A3256" s="8" t="s">
        <v>1874</v>
      </c>
      <c r="B3256" s="8">
        <v>10081.0</v>
      </c>
      <c r="C3256" s="8"/>
      <c r="D3256" s="8"/>
      <c r="E3256" s="8"/>
      <c r="F3256" s="8"/>
    </row>
    <row r="3257" ht="13.5" customHeight="1">
      <c r="A3257" s="8" t="s">
        <v>1875</v>
      </c>
      <c r="B3257" s="8">
        <v>10272.0</v>
      </c>
      <c r="C3257" s="8"/>
      <c r="D3257" s="8"/>
      <c r="E3257" s="8"/>
      <c r="F3257" s="8"/>
    </row>
    <row r="3258" ht="13.5" customHeight="1">
      <c r="A3258" s="8" t="s">
        <v>1862</v>
      </c>
      <c r="B3258" s="8">
        <v>10530.0</v>
      </c>
      <c r="C3258" s="8"/>
      <c r="D3258" s="8"/>
      <c r="E3258" s="8"/>
      <c r="F3258" s="8"/>
    </row>
    <row r="3259" ht="13.5" customHeight="1">
      <c r="A3259" s="8" t="s">
        <v>982</v>
      </c>
      <c r="B3259" s="8">
        <v>11270.0</v>
      </c>
      <c r="C3259" s="8"/>
      <c r="D3259" s="8"/>
      <c r="E3259" s="8"/>
      <c r="F3259" s="8"/>
    </row>
    <row r="3260" ht="13.5" customHeight="1">
      <c r="A3260" s="8" t="s">
        <v>1864</v>
      </c>
      <c r="B3260" s="8">
        <v>11431.0</v>
      </c>
      <c r="C3260" s="8"/>
      <c r="D3260" s="8"/>
      <c r="E3260" s="8"/>
      <c r="F3260" s="8"/>
    </row>
    <row r="3261" ht="13.5" customHeight="1">
      <c r="A3261" s="8" t="s">
        <v>1876</v>
      </c>
      <c r="B3261" s="8">
        <v>11815.0</v>
      </c>
      <c r="C3261" s="8"/>
      <c r="D3261" s="8"/>
      <c r="E3261" s="8"/>
      <c r="F3261" s="8"/>
    </row>
    <row r="3262" ht="13.5" customHeight="1">
      <c r="A3262" s="8" t="s">
        <v>982</v>
      </c>
      <c r="B3262" s="8">
        <v>12097.0</v>
      </c>
      <c r="C3262" s="8"/>
      <c r="D3262" s="8"/>
      <c r="E3262" s="8"/>
      <c r="F3262" s="8"/>
    </row>
    <row r="3263" ht="13.5" customHeight="1">
      <c r="A3263" s="8" t="s">
        <v>1854</v>
      </c>
      <c r="B3263" s="8">
        <v>12196.0</v>
      </c>
      <c r="C3263" s="8"/>
      <c r="D3263" s="8"/>
      <c r="E3263" s="8"/>
      <c r="F3263" s="8"/>
    </row>
    <row r="3264" ht="13.5" customHeight="1">
      <c r="A3264" s="8" t="s">
        <v>1848</v>
      </c>
      <c r="B3264" s="8">
        <v>12451.0</v>
      </c>
      <c r="C3264" s="8"/>
      <c r="D3264" s="8"/>
      <c r="E3264" s="8"/>
      <c r="F3264" s="8"/>
    </row>
    <row r="3265" ht="13.5" customHeight="1">
      <c r="A3265" s="8" t="s">
        <v>1877</v>
      </c>
      <c r="B3265" s="8">
        <v>12483.0</v>
      </c>
      <c r="C3265" s="8"/>
      <c r="D3265" s="8"/>
      <c r="E3265" s="8"/>
      <c r="F3265" s="8"/>
    </row>
    <row r="3266" ht="13.5" customHeight="1">
      <c r="A3266" s="8" t="s">
        <v>1848</v>
      </c>
      <c r="B3266" s="8">
        <v>12867.0</v>
      </c>
      <c r="C3266" s="8"/>
      <c r="D3266" s="8"/>
      <c r="E3266" s="8"/>
      <c r="F3266" s="8"/>
    </row>
    <row r="3267" ht="13.5" customHeight="1">
      <c r="A3267" s="8" t="s">
        <v>1873</v>
      </c>
      <c r="B3267" s="8">
        <v>12903.0</v>
      </c>
      <c r="C3267" s="8"/>
      <c r="D3267" s="8"/>
      <c r="E3267" s="8"/>
      <c r="F3267" s="8"/>
    </row>
    <row r="3268" ht="13.5" customHeight="1">
      <c r="A3268" s="8" t="s">
        <v>1797</v>
      </c>
      <c r="B3268" s="8">
        <v>13762.0</v>
      </c>
      <c r="C3268" s="8"/>
      <c r="D3268" s="8"/>
      <c r="E3268" s="8"/>
      <c r="F3268" s="8"/>
    </row>
    <row r="3269" ht="13.5" customHeight="1">
      <c r="A3269" s="8" t="s">
        <v>1856</v>
      </c>
      <c r="B3269" s="8">
        <v>14336.0</v>
      </c>
      <c r="C3269" s="8"/>
      <c r="D3269" s="8"/>
      <c r="E3269" s="8"/>
      <c r="F3269" s="8"/>
    </row>
    <row r="3270" ht="13.5" customHeight="1">
      <c r="A3270" s="8" t="s">
        <v>1878</v>
      </c>
      <c r="B3270" s="8">
        <v>14400.0</v>
      </c>
      <c r="C3270" s="8"/>
      <c r="D3270" s="8"/>
      <c r="E3270" s="8"/>
      <c r="F3270" s="8"/>
    </row>
    <row r="3271" ht="13.5" customHeight="1">
      <c r="A3271" s="8" t="s">
        <v>1879</v>
      </c>
      <c r="B3271" s="8">
        <v>14500.0</v>
      </c>
      <c r="C3271" s="8"/>
      <c r="D3271" s="8"/>
      <c r="E3271" s="8"/>
      <c r="F3271" s="8"/>
    </row>
    <row r="3272" ht="13.5" customHeight="1">
      <c r="A3272" s="8" t="s">
        <v>1846</v>
      </c>
      <c r="B3272" s="8">
        <v>14534.0</v>
      </c>
      <c r="C3272" s="8"/>
      <c r="D3272" s="8"/>
      <c r="E3272" s="8"/>
      <c r="F3272" s="8"/>
    </row>
    <row r="3273" ht="13.5" customHeight="1">
      <c r="A3273" s="8" t="s">
        <v>1851</v>
      </c>
      <c r="B3273" s="8">
        <v>14884.0</v>
      </c>
      <c r="C3273" s="8"/>
      <c r="D3273" s="8"/>
      <c r="E3273" s="8"/>
      <c r="F3273" s="8"/>
    </row>
    <row r="3274" ht="13.5" customHeight="1">
      <c r="A3274" s="8" t="s">
        <v>1460</v>
      </c>
      <c r="B3274" s="8">
        <v>15075.0</v>
      </c>
      <c r="C3274" s="8"/>
      <c r="D3274" s="8"/>
      <c r="E3274" s="8"/>
      <c r="F3274" s="8"/>
    </row>
    <row r="3275" ht="13.5" customHeight="1">
      <c r="A3275" s="8" t="s">
        <v>1880</v>
      </c>
      <c r="B3275" s="8">
        <v>15234.0</v>
      </c>
      <c r="C3275" s="8"/>
      <c r="D3275" s="8"/>
      <c r="E3275" s="8"/>
      <c r="F3275" s="8"/>
    </row>
    <row r="3276" ht="13.5" customHeight="1">
      <c r="A3276" s="8" t="s">
        <v>1433</v>
      </c>
      <c r="B3276" s="8">
        <v>15270.0</v>
      </c>
      <c r="C3276" s="8"/>
      <c r="D3276" s="8"/>
      <c r="E3276" s="8"/>
      <c r="F3276" s="8"/>
    </row>
    <row r="3277" ht="13.5" customHeight="1">
      <c r="A3277" s="8" t="s">
        <v>1859</v>
      </c>
      <c r="B3277" s="8">
        <v>15296.0</v>
      </c>
      <c r="C3277" s="8"/>
      <c r="D3277" s="8"/>
      <c r="E3277" s="8"/>
      <c r="F3277" s="8"/>
    </row>
    <row r="3278" ht="13.5" customHeight="1">
      <c r="A3278" s="8" t="s">
        <v>1881</v>
      </c>
      <c r="B3278" s="8">
        <v>15335.0</v>
      </c>
      <c r="C3278" s="8"/>
      <c r="D3278" s="8"/>
      <c r="E3278" s="8"/>
      <c r="F3278" s="8"/>
    </row>
    <row r="3279" ht="13.5" customHeight="1">
      <c r="A3279" s="8" t="s">
        <v>1460</v>
      </c>
      <c r="B3279" s="8">
        <v>15712.0</v>
      </c>
      <c r="C3279" s="8"/>
      <c r="D3279" s="8"/>
      <c r="E3279" s="8"/>
      <c r="F3279" s="8"/>
    </row>
    <row r="3280" ht="13.5" customHeight="1">
      <c r="A3280" s="8" t="s">
        <v>1853</v>
      </c>
      <c r="B3280" s="8">
        <v>15906.0</v>
      </c>
      <c r="C3280" s="8"/>
      <c r="D3280" s="8"/>
      <c r="E3280" s="8"/>
      <c r="F3280" s="8"/>
    </row>
    <row r="3281" ht="13.5" customHeight="1">
      <c r="A3281" s="8" t="s">
        <v>1861</v>
      </c>
      <c r="B3281" s="8">
        <v>16005.0</v>
      </c>
      <c r="C3281" s="8"/>
      <c r="D3281" s="8"/>
      <c r="E3281" s="8"/>
      <c r="F3281" s="8"/>
    </row>
    <row r="3282" ht="13.5" customHeight="1">
      <c r="A3282" s="8" t="s">
        <v>982</v>
      </c>
      <c r="B3282" s="8">
        <v>16225.0</v>
      </c>
      <c r="C3282" s="8"/>
      <c r="D3282" s="8"/>
      <c r="E3282" s="8"/>
      <c r="F3282" s="8"/>
    </row>
    <row r="3283" ht="13.5" customHeight="1">
      <c r="A3283" s="8" t="s">
        <v>1849</v>
      </c>
      <c r="B3283" s="8">
        <v>16262.0</v>
      </c>
      <c r="C3283" s="8"/>
      <c r="D3283" s="8"/>
      <c r="E3283" s="8"/>
      <c r="F3283" s="8"/>
    </row>
    <row r="3284" ht="13.5" customHeight="1">
      <c r="A3284" s="8" t="s">
        <v>347</v>
      </c>
      <c r="B3284" s="8">
        <v>16321.0</v>
      </c>
      <c r="C3284" s="8"/>
      <c r="D3284" s="8"/>
      <c r="E3284" s="8"/>
      <c r="F3284" s="8"/>
    </row>
    <row r="3285" ht="13.5" customHeight="1">
      <c r="A3285" s="8" t="s">
        <v>1857</v>
      </c>
      <c r="B3285" s="8">
        <v>16679.0</v>
      </c>
      <c r="C3285" s="8"/>
      <c r="D3285" s="8"/>
      <c r="E3285" s="8"/>
      <c r="F3285" s="8"/>
    </row>
    <row r="3286" ht="13.5" customHeight="1">
      <c r="A3286" s="8" t="s">
        <v>1460</v>
      </c>
      <c r="B3286" s="8">
        <v>16775.0</v>
      </c>
      <c r="C3286" s="8"/>
      <c r="D3286" s="8"/>
      <c r="E3286" s="8"/>
      <c r="F3286" s="8"/>
    </row>
    <row r="3287" ht="13.5" customHeight="1">
      <c r="A3287" s="8" t="s">
        <v>1873</v>
      </c>
      <c r="B3287" s="8">
        <v>16834.0</v>
      </c>
      <c r="C3287" s="8"/>
      <c r="D3287" s="8"/>
      <c r="E3287" s="8"/>
      <c r="F3287" s="8"/>
    </row>
    <row r="3288" ht="13.5" customHeight="1">
      <c r="A3288" s="8" t="s">
        <v>1865</v>
      </c>
      <c r="B3288" s="8">
        <v>16837.0</v>
      </c>
      <c r="C3288" s="8"/>
      <c r="D3288" s="8"/>
      <c r="E3288" s="8"/>
      <c r="F3288" s="8"/>
    </row>
    <row r="3289" ht="13.5" customHeight="1">
      <c r="A3289" s="8" t="s">
        <v>1844</v>
      </c>
      <c r="B3289" s="8">
        <v>16866.0</v>
      </c>
      <c r="C3289" s="8"/>
      <c r="D3289" s="8"/>
      <c r="E3289" s="8"/>
      <c r="F3289" s="8"/>
    </row>
    <row r="3290" ht="13.5" customHeight="1">
      <c r="A3290" s="8" t="s">
        <v>1869</v>
      </c>
      <c r="B3290" s="8">
        <v>17058.0</v>
      </c>
      <c r="C3290" s="8"/>
      <c r="D3290" s="8"/>
      <c r="E3290" s="8"/>
      <c r="F3290" s="8"/>
    </row>
    <row r="3291" ht="13.5" customHeight="1">
      <c r="A3291" s="8" t="s">
        <v>347</v>
      </c>
      <c r="B3291" s="8">
        <v>17508.0</v>
      </c>
      <c r="C3291" s="8"/>
      <c r="D3291" s="8"/>
      <c r="E3291" s="8"/>
      <c r="F3291" s="8"/>
    </row>
    <row r="3292" ht="13.5" customHeight="1">
      <c r="A3292" s="8" t="s">
        <v>1882</v>
      </c>
      <c r="B3292" s="8">
        <v>18592.0</v>
      </c>
      <c r="C3292" s="8"/>
      <c r="D3292" s="8"/>
      <c r="E3292" s="8"/>
      <c r="F3292" s="8"/>
    </row>
    <row r="3293" ht="13.5" customHeight="1">
      <c r="A3293" s="8" t="s">
        <v>1881</v>
      </c>
      <c r="B3293" s="8">
        <v>18851.0</v>
      </c>
      <c r="C3293" s="8"/>
      <c r="D3293" s="8"/>
      <c r="E3293" s="8"/>
      <c r="F3293" s="8"/>
    </row>
    <row r="3294" ht="13.5" customHeight="1">
      <c r="A3294" s="8" t="s">
        <v>1869</v>
      </c>
      <c r="B3294" s="8">
        <v>18853.0</v>
      </c>
      <c r="C3294" s="8"/>
      <c r="D3294" s="8"/>
      <c r="E3294" s="8"/>
      <c r="F3294" s="8"/>
    </row>
    <row r="3295" ht="13.5" customHeight="1">
      <c r="A3295" s="8" t="s">
        <v>1882</v>
      </c>
      <c r="B3295" s="8">
        <v>18884.0</v>
      </c>
      <c r="C3295" s="8"/>
      <c r="D3295" s="8"/>
      <c r="E3295" s="8"/>
      <c r="F3295" s="8"/>
    </row>
    <row r="3296" ht="13.5" customHeight="1">
      <c r="A3296" s="8" t="s">
        <v>1797</v>
      </c>
      <c r="B3296" s="8">
        <v>19300.0</v>
      </c>
      <c r="C3296" s="8"/>
      <c r="D3296" s="8"/>
      <c r="E3296" s="8"/>
      <c r="F3296" s="8"/>
    </row>
    <row r="3297" ht="13.5" customHeight="1">
      <c r="A3297" s="8" t="s">
        <v>1842</v>
      </c>
      <c r="B3297" s="8">
        <v>19361.0</v>
      </c>
      <c r="C3297" s="8"/>
      <c r="D3297" s="8"/>
      <c r="E3297" s="8"/>
      <c r="F3297" s="8"/>
    </row>
    <row r="3298" ht="13.5" customHeight="1">
      <c r="A3298" s="8" t="s">
        <v>1846</v>
      </c>
      <c r="B3298" s="8">
        <v>19557.0</v>
      </c>
      <c r="C3298" s="8"/>
      <c r="D3298" s="8"/>
      <c r="E3298" s="8"/>
      <c r="F3298" s="8"/>
    </row>
    <row r="3299" ht="13.5" customHeight="1">
      <c r="A3299" s="8" t="s">
        <v>1869</v>
      </c>
      <c r="B3299" s="8">
        <v>19586.0</v>
      </c>
      <c r="C3299" s="8"/>
      <c r="D3299" s="8"/>
      <c r="E3299" s="8"/>
      <c r="F3299" s="8"/>
    </row>
    <row r="3300" ht="13.5" customHeight="1">
      <c r="A3300" s="8" t="s">
        <v>1862</v>
      </c>
      <c r="B3300" s="8">
        <v>19718.0</v>
      </c>
      <c r="C3300" s="8"/>
      <c r="D3300" s="8"/>
      <c r="E3300" s="8"/>
      <c r="F3300" s="8"/>
    </row>
    <row r="3301" ht="13.5" customHeight="1">
      <c r="A3301" s="8" t="s">
        <v>1460</v>
      </c>
      <c r="B3301" s="8">
        <v>19744.0</v>
      </c>
      <c r="C3301" s="8"/>
      <c r="D3301" s="8"/>
      <c r="E3301" s="8"/>
      <c r="F3301" s="8"/>
    </row>
    <row r="3302" ht="13.5" customHeight="1">
      <c r="A3302" s="8" t="s">
        <v>109</v>
      </c>
      <c r="B3302" s="8">
        <v>20069.0</v>
      </c>
      <c r="C3302" s="8"/>
      <c r="D3302" s="8"/>
      <c r="E3302" s="8"/>
      <c r="F3302" s="8"/>
    </row>
    <row r="3303" ht="13.5" customHeight="1">
      <c r="A3303" s="8" t="s">
        <v>1848</v>
      </c>
      <c r="B3303" s="8">
        <v>20103.0</v>
      </c>
      <c r="C3303" s="8"/>
      <c r="D3303" s="8"/>
      <c r="E3303" s="8"/>
      <c r="F3303" s="8"/>
    </row>
    <row r="3304" ht="13.5" customHeight="1">
      <c r="A3304" s="8" t="s">
        <v>1847</v>
      </c>
      <c r="B3304" s="8">
        <v>20135.0</v>
      </c>
      <c r="C3304" s="8"/>
      <c r="D3304" s="8"/>
      <c r="E3304" s="8"/>
      <c r="F3304" s="8"/>
    </row>
    <row r="3305" ht="13.5" customHeight="1">
      <c r="A3305" s="8" t="s">
        <v>1855</v>
      </c>
      <c r="B3305" s="8">
        <v>20166.0</v>
      </c>
      <c r="C3305" s="8"/>
      <c r="D3305" s="8"/>
      <c r="E3305" s="8"/>
      <c r="F3305" s="8"/>
    </row>
    <row r="3306" ht="13.5" customHeight="1">
      <c r="A3306" s="8" t="s">
        <v>1878</v>
      </c>
      <c r="B3306" s="8">
        <v>20192.0</v>
      </c>
      <c r="C3306" s="8"/>
      <c r="D3306" s="8"/>
      <c r="E3306" s="8"/>
      <c r="F3306" s="8"/>
    </row>
    <row r="3307" ht="13.5" customHeight="1">
      <c r="A3307" s="8" t="s">
        <v>1869</v>
      </c>
      <c r="B3307" s="8">
        <v>20229.0</v>
      </c>
      <c r="C3307" s="8"/>
      <c r="D3307" s="8"/>
      <c r="E3307" s="8"/>
      <c r="F3307" s="8"/>
    </row>
    <row r="3308" ht="13.5" customHeight="1">
      <c r="A3308" s="8" t="s">
        <v>1876</v>
      </c>
      <c r="B3308" s="8">
        <v>20966.0</v>
      </c>
      <c r="C3308" s="8"/>
      <c r="D3308" s="8"/>
      <c r="E3308" s="8"/>
      <c r="F3308" s="8"/>
    </row>
    <row r="3309" ht="13.5" customHeight="1">
      <c r="A3309" s="8" t="s">
        <v>1876</v>
      </c>
      <c r="B3309" s="8">
        <v>21063.0</v>
      </c>
      <c r="C3309" s="8"/>
      <c r="D3309" s="8"/>
      <c r="E3309" s="8"/>
      <c r="F3309" s="8"/>
    </row>
    <row r="3310" ht="13.5" customHeight="1">
      <c r="A3310" s="8" t="s">
        <v>1882</v>
      </c>
      <c r="B3310" s="8">
        <v>21412.0</v>
      </c>
      <c r="C3310" s="8"/>
      <c r="D3310" s="8"/>
      <c r="E3310" s="8"/>
      <c r="F3310" s="8"/>
    </row>
    <row r="3311" ht="13.5" customHeight="1">
      <c r="A3311" s="8" t="s">
        <v>1881</v>
      </c>
      <c r="B3311" s="8">
        <v>21442.0</v>
      </c>
      <c r="C3311" s="8"/>
      <c r="D3311" s="8"/>
      <c r="E3311" s="8"/>
      <c r="F3311" s="8"/>
    </row>
    <row r="3312" ht="13.5" customHeight="1">
      <c r="A3312" s="8" t="s">
        <v>1861</v>
      </c>
      <c r="B3312" s="8">
        <v>21444.0</v>
      </c>
      <c r="C3312" s="8"/>
      <c r="D3312" s="8"/>
      <c r="E3312" s="8"/>
      <c r="F3312" s="8"/>
    </row>
    <row r="3313" ht="13.5" customHeight="1">
      <c r="A3313" s="8" t="s">
        <v>1877</v>
      </c>
      <c r="B3313" s="8">
        <v>21861.0</v>
      </c>
      <c r="C3313" s="8"/>
      <c r="D3313" s="8"/>
      <c r="E3313" s="8"/>
      <c r="F3313" s="8"/>
    </row>
    <row r="3314" ht="13.5" customHeight="1">
      <c r="A3314" s="8" t="s">
        <v>1460</v>
      </c>
      <c r="B3314" s="8">
        <v>21956.0</v>
      </c>
      <c r="C3314" s="8"/>
      <c r="D3314" s="8"/>
      <c r="E3314" s="8"/>
      <c r="F3314" s="8"/>
    </row>
    <row r="3315" ht="13.5" customHeight="1">
      <c r="A3315" s="8" t="s">
        <v>1851</v>
      </c>
      <c r="B3315" s="8">
        <v>22051.0</v>
      </c>
      <c r="C3315" s="8"/>
      <c r="D3315" s="8"/>
      <c r="E3315" s="8"/>
      <c r="F3315" s="8"/>
    </row>
    <row r="3316" ht="13.5" customHeight="1">
      <c r="A3316" s="8" t="s">
        <v>1869</v>
      </c>
      <c r="B3316" s="8">
        <v>22085.0</v>
      </c>
      <c r="C3316" s="8"/>
      <c r="D3316" s="8"/>
      <c r="E3316" s="8"/>
      <c r="F3316" s="8"/>
    </row>
    <row r="3317" ht="13.5" customHeight="1">
      <c r="A3317" s="8" t="s">
        <v>1884</v>
      </c>
      <c r="B3317" s="8">
        <v>22086.0</v>
      </c>
      <c r="C3317" s="8"/>
      <c r="D3317" s="8"/>
      <c r="E3317" s="8"/>
      <c r="F3317" s="8"/>
    </row>
    <row r="3318" ht="13.5" customHeight="1">
      <c r="A3318" s="8" t="s">
        <v>1460</v>
      </c>
      <c r="B3318" s="8">
        <v>22118.0</v>
      </c>
      <c r="C3318" s="8"/>
      <c r="D3318" s="8"/>
      <c r="E3318" s="8"/>
      <c r="F3318" s="8"/>
    </row>
    <row r="3319" ht="13.5" customHeight="1">
      <c r="A3319" s="8" t="s">
        <v>1126</v>
      </c>
      <c r="B3319" s="8">
        <v>22304.0</v>
      </c>
      <c r="C3319" s="8"/>
      <c r="D3319" s="8"/>
      <c r="E3319" s="8"/>
      <c r="F3319" s="8"/>
    </row>
    <row r="3320" ht="13.5" customHeight="1">
      <c r="A3320" s="8" t="s">
        <v>1858</v>
      </c>
      <c r="B3320" s="8">
        <v>22919.0</v>
      </c>
      <c r="C3320" s="8"/>
      <c r="D3320" s="8"/>
      <c r="E3320" s="8"/>
      <c r="F3320" s="8"/>
    </row>
    <row r="3321" ht="13.5" customHeight="1">
      <c r="A3321" s="8" t="s">
        <v>1854</v>
      </c>
      <c r="B3321" s="8">
        <v>23041.0</v>
      </c>
      <c r="C3321" s="8"/>
      <c r="D3321" s="8"/>
      <c r="E3321" s="8"/>
      <c r="F3321" s="8"/>
    </row>
    <row r="3322" ht="13.5" customHeight="1">
      <c r="A3322" s="8" t="s">
        <v>1844</v>
      </c>
      <c r="B3322" s="8">
        <v>23232.0</v>
      </c>
      <c r="C3322" s="8"/>
      <c r="D3322" s="8"/>
      <c r="E3322" s="8"/>
      <c r="F3322" s="8"/>
    </row>
    <row r="3323" ht="13.5" customHeight="1">
      <c r="A3323" s="8" t="s">
        <v>1855</v>
      </c>
      <c r="B3323" s="8">
        <v>23270.0</v>
      </c>
      <c r="C3323" s="8"/>
      <c r="D3323" s="8"/>
      <c r="E3323" s="8"/>
      <c r="F3323" s="8"/>
    </row>
    <row r="3324" ht="13.5" customHeight="1">
      <c r="A3324" s="8" t="s">
        <v>1865</v>
      </c>
      <c r="B3324" s="8">
        <v>23618.0</v>
      </c>
      <c r="C3324" s="8"/>
      <c r="D3324" s="8"/>
      <c r="E3324" s="8"/>
      <c r="F3324" s="8"/>
    </row>
    <row r="3325" ht="13.5" customHeight="1">
      <c r="A3325" s="8" t="s">
        <v>1856</v>
      </c>
      <c r="B3325" s="8">
        <v>24033.0</v>
      </c>
      <c r="C3325" s="8"/>
      <c r="D3325" s="8"/>
      <c r="E3325" s="8"/>
      <c r="F3325" s="8"/>
    </row>
    <row r="3326" ht="13.5" customHeight="1">
      <c r="A3326" s="8" t="s">
        <v>1869</v>
      </c>
      <c r="B3326" s="8">
        <v>24066.0</v>
      </c>
      <c r="C3326" s="8"/>
      <c r="D3326" s="8"/>
      <c r="E3326" s="8"/>
      <c r="F3326" s="8"/>
    </row>
    <row r="3327" ht="13.5" customHeight="1">
      <c r="A3327" s="8" t="s">
        <v>1845</v>
      </c>
      <c r="B3327" s="8">
        <v>24162.0</v>
      </c>
      <c r="C3327" s="8"/>
      <c r="D3327" s="8"/>
      <c r="E3327" s="8"/>
      <c r="F3327" s="8"/>
    </row>
    <row r="3328" ht="13.5" customHeight="1">
      <c r="A3328" s="8" t="s">
        <v>1849</v>
      </c>
      <c r="B3328" s="8">
        <v>24384.0</v>
      </c>
      <c r="C3328" s="8"/>
      <c r="D3328" s="8"/>
      <c r="E3328" s="8"/>
      <c r="F3328" s="8"/>
    </row>
    <row r="3329" ht="13.5" customHeight="1">
      <c r="A3329" s="8" t="s">
        <v>347</v>
      </c>
      <c r="B3329" s="8">
        <v>24448.0</v>
      </c>
      <c r="C3329" s="8"/>
      <c r="D3329" s="8"/>
      <c r="E3329" s="8"/>
      <c r="F3329" s="8"/>
    </row>
    <row r="3330" ht="13.5" customHeight="1">
      <c r="A3330" s="8" t="s">
        <v>1842</v>
      </c>
      <c r="B3330" s="8">
        <v>24452.0</v>
      </c>
      <c r="C3330" s="8"/>
      <c r="D3330" s="8"/>
      <c r="E3330" s="8"/>
      <c r="F3330" s="8"/>
    </row>
    <row r="3331" ht="13.5" customHeight="1">
      <c r="A3331" s="8" t="s">
        <v>982</v>
      </c>
      <c r="B3331" s="8">
        <v>24544.0</v>
      </c>
      <c r="C3331" s="8"/>
      <c r="D3331" s="8"/>
      <c r="E3331" s="8"/>
      <c r="F3331" s="8"/>
    </row>
    <row r="3332" ht="13.5" customHeight="1">
      <c r="A3332" s="8" t="s">
        <v>1842</v>
      </c>
      <c r="B3332" s="8">
        <v>24865.0</v>
      </c>
      <c r="C3332" s="8"/>
      <c r="D3332" s="8"/>
      <c r="E3332" s="8"/>
      <c r="F3332" s="8"/>
    </row>
    <row r="3333" ht="13.5" customHeight="1">
      <c r="A3333" s="8" t="s">
        <v>1876</v>
      </c>
      <c r="B3333" s="8">
        <v>24902.0</v>
      </c>
      <c r="C3333" s="8"/>
      <c r="D3333" s="8"/>
      <c r="E3333" s="8"/>
      <c r="F3333" s="8"/>
    </row>
    <row r="3334" ht="13.5" customHeight="1">
      <c r="A3334" s="8" t="s">
        <v>1857</v>
      </c>
      <c r="B3334" s="8">
        <v>25348.0</v>
      </c>
      <c r="C3334" s="8"/>
      <c r="D3334" s="8"/>
      <c r="E3334" s="8"/>
      <c r="F3334" s="8"/>
    </row>
    <row r="3335" ht="13.5" customHeight="1">
      <c r="A3335" s="8" t="s">
        <v>1789</v>
      </c>
      <c r="B3335" s="8">
        <v>25350.0</v>
      </c>
      <c r="C3335" s="8"/>
      <c r="D3335" s="8"/>
      <c r="E3335" s="8"/>
      <c r="F3335" s="8"/>
    </row>
    <row r="3336" ht="13.5" customHeight="1">
      <c r="A3336" s="8" t="s">
        <v>1876</v>
      </c>
      <c r="B3336" s="8">
        <v>25541.0</v>
      </c>
      <c r="C3336" s="8"/>
      <c r="D3336" s="8"/>
      <c r="E3336" s="8"/>
      <c r="F3336" s="8"/>
    </row>
    <row r="3337" ht="13.5" customHeight="1">
      <c r="A3337" s="8" t="s">
        <v>1846</v>
      </c>
      <c r="B3337" s="8">
        <v>25601.0</v>
      </c>
      <c r="C3337" s="8"/>
      <c r="D3337" s="8"/>
      <c r="E3337" s="8"/>
      <c r="F3337" s="8"/>
    </row>
    <row r="3338" ht="13.5" customHeight="1">
      <c r="A3338" s="8" t="s">
        <v>1552</v>
      </c>
      <c r="B3338" s="8">
        <v>25828.0</v>
      </c>
      <c r="C3338" s="8"/>
      <c r="D3338" s="8"/>
      <c r="E3338" s="8"/>
      <c r="F3338" s="8"/>
    </row>
    <row r="3339" ht="13.5" customHeight="1">
      <c r="A3339" s="8" t="s">
        <v>1631</v>
      </c>
      <c r="B3339" s="8">
        <v>26176.0</v>
      </c>
      <c r="C3339" s="8"/>
      <c r="D3339" s="8"/>
      <c r="E3339" s="8"/>
      <c r="F3339" s="8"/>
    </row>
    <row r="3340" ht="13.5" customHeight="1">
      <c r="A3340" s="8" t="s">
        <v>339</v>
      </c>
      <c r="B3340" s="8">
        <v>26337.0</v>
      </c>
      <c r="C3340" s="8"/>
      <c r="D3340" s="8"/>
      <c r="E3340" s="8"/>
      <c r="F3340" s="8"/>
    </row>
    <row r="3341" ht="13.5" customHeight="1">
      <c r="A3341" s="8" t="s">
        <v>1848</v>
      </c>
      <c r="B3341" s="8">
        <v>26503.0</v>
      </c>
      <c r="C3341" s="8"/>
      <c r="D3341" s="8"/>
      <c r="E3341" s="8"/>
      <c r="F3341" s="8"/>
    </row>
    <row r="3342" ht="13.5" customHeight="1">
      <c r="A3342" s="8" t="s">
        <v>1789</v>
      </c>
      <c r="B3342" s="8">
        <v>26657.0</v>
      </c>
      <c r="C3342" s="8"/>
      <c r="D3342" s="8"/>
      <c r="E3342" s="8"/>
      <c r="F3342" s="8"/>
    </row>
    <row r="3343" ht="13.5" customHeight="1">
      <c r="A3343" s="8" t="s">
        <v>1884</v>
      </c>
      <c r="B3343" s="8">
        <v>26787.0</v>
      </c>
      <c r="C3343" s="8"/>
      <c r="D3343" s="8"/>
      <c r="E3343" s="8"/>
      <c r="F3343" s="8"/>
    </row>
    <row r="3344" ht="13.5" customHeight="1">
      <c r="A3344" s="8" t="s">
        <v>1855</v>
      </c>
      <c r="B3344" s="8">
        <v>26919.0</v>
      </c>
      <c r="C3344" s="8"/>
      <c r="D3344" s="8"/>
      <c r="E3344" s="8"/>
      <c r="F3344" s="8"/>
    </row>
    <row r="3345" ht="13.5" customHeight="1">
      <c r="A3345" s="8" t="s">
        <v>1855</v>
      </c>
      <c r="B3345" s="8">
        <v>26945.0</v>
      </c>
      <c r="C3345" s="8"/>
      <c r="D3345" s="8"/>
      <c r="E3345" s="8"/>
      <c r="F3345" s="8"/>
    </row>
    <row r="3346" ht="13.5" customHeight="1">
      <c r="A3346" s="8" t="s">
        <v>1126</v>
      </c>
      <c r="B3346" s="8">
        <v>27364.0</v>
      </c>
      <c r="C3346" s="8"/>
      <c r="D3346" s="8"/>
      <c r="E3346" s="8"/>
      <c r="F3346" s="8"/>
    </row>
    <row r="3347" ht="13.5" customHeight="1">
      <c r="A3347" s="8" t="s">
        <v>1866</v>
      </c>
      <c r="B3347" s="8">
        <v>27460.0</v>
      </c>
      <c r="C3347" s="8"/>
      <c r="D3347" s="8"/>
      <c r="E3347" s="8"/>
      <c r="F3347" s="8"/>
    </row>
    <row r="3348" ht="13.5" customHeight="1">
      <c r="A3348" s="8" t="s">
        <v>1879</v>
      </c>
      <c r="B3348" s="8">
        <v>27717.0</v>
      </c>
      <c r="C3348" s="8"/>
      <c r="D3348" s="8"/>
      <c r="E3348" s="8"/>
      <c r="F3348" s="8"/>
    </row>
    <row r="3349" ht="13.5" customHeight="1">
      <c r="A3349" s="8" t="s">
        <v>1858</v>
      </c>
      <c r="B3349" s="8">
        <v>27936.0</v>
      </c>
      <c r="C3349" s="8"/>
      <c r="D3349" s="8"/>
      <c r="E3349" s="8"/>
      <c r="F3349" s="8"/>
    </row>
    <row r="3350" ht="13.5" customHeight="1">
      <c r="A3350" s="8" t="s">
        <v>1867</v>
      </c>
      <c r="B3350" s="8">
        <v>28228.0</v>
      </c>
      <c r="C3350" s="8"/>
      <c r="D3350" s="8"/>
      <c r="E3350" s="8"/>
      <c r="F3350" s="8"/>
    </row>
    <row r="3351" ht="13.5" customHeight="1">
      <c r="A3351" s="8" t="s">
        <v>1881</v>
      </c>
      <c r="B3351" s="8">
        <v>28259.0</v>
      </c>
      <c r="C3351" s="8"/>
      <c r="D3351" s="8"/>
      <c r="E3351" s="8"/>
      <c r="F3351" s="8"/>
    </row>
    <row r="3352" ht="13.5" customHeight="1">
      <c r="A3352" s="8" t="s">
        <v>1886</v>
      </c>
      <c r="B3352" s="8">
        <v>28419.0</v>
      </c>
      <c r="C3352" s="8"/>
      <c r="D3352" s="8"/>
      <c r="E3352" s="8"/>
      <c r="F3352" s="8"/>
    </row>
    <row r="3353" ht="13.5" customHeight="1">
      <c r="A3353" s="8" t="s">
        <v>982</v>
      </c>
      <c r="B3353" s="8">
        <v>28614.0</v>
      </c>
      <c r="C3353" s="8"/>
      <c r="D3353" s="8"/>
      <c r="E3353" s="8"/>
      <c r="F3353" s="8"/>
    </row>
    <row r="3354" ht="13.5" customHeight="1">
      <c r="A3354" s="8" t="s">
        <v>1887</v>
      </c>
      <c r="B3354" s="8">
        <v>28741.0</v>
      </c>
      <c r="C3354" s="8"/>
      <c r="D3354" s="8"/>
      <c r="E3354" s="8"/>
      <c r="F3354" s="8"/>
    </row>
    <row r="3355" ht="13.5" customHeight="1">
      <c r="A3355" s="8" t="s">
        <v>1876</v>
      </c>
      <c r="B3355" s="8">
        <v>28769.0</v>
      </c>
      <c r="C3355" s="8"/>
      <c r="D3355" s="8"/>
      <c r="E3355" s="8"/>
      <c r="F3355" s="8"/>
    </row>
    <row r="3356" ht="13.5" customHeight="1">
      <c r="A3356" s="8" t="s">
        <v>1882</v>
      </c>
      <c r="B3356" s="8">
        <v>28928.0</v>
      </c>
      <c r="C3356" s="8"/>
      <c r="D3356" s="8"/>
      <c r="E3356" s="8"/>
      <c r="F3356" s="8"/>
    </row>
    <row r="3357" ht="13.5" customHeight="1">
      <c r="A3357" s="8" t="s">
        <v>1842</v>
      </c>
      <c r="B3357" s="8">
        <v>29058.0</v>
      </c>
      <c r="C3357" s="8"/>
      <c r="D3357" s="8"/>
      <c r="E3357" s="8"/>
      <c r="F3357" s="8"/>
    </row>
    <row r="3358" ht="13.5" customHeight="1">
      <c r="A3358" s="8" t="s">
        <v>1881</v>
      </c>
      <c r="B3358" s="8">
        <v>29127.0</v>
      </c>
      <c r="C3358" s="8"/>
      <c r="D3358" s="8"/>
      <c r="E3358" s="8"/>
      <c r="F3358" s="8"/>
    </row>
    <row r="3359" ht="13.5" customHeight="1">
      <c r="A3359" s="8" t="s">
        <v>1844</v>
      </c>
      <c r="B3359" s="8">
        <v>29191.0</v>
      </c>
      <c r="C3359" s="8"/>
      <c r="D3359" s="8"/>
      <c r="E3359" s="8"/>
      <c r="F3359" s="8"/>
    </row>
    <row r="3360" ht="13.5" customHeight="1">
      <c r="A3360" s="8" t="s">
        <v>1888</v>
      </c>
      <c r="B3360" s="8">
        <v>29249.0</v>
      </c>
      <c r="C3360" s="8"/>
      <c r="D3360" s="8"/>
      <c r="E3360" s="8"/>
      <c r="F3360" s="8"/>
    </row>
    <row r="3361" ht="13.5" customHeight="1">
      <c r="A3361" s="8" t="s">
        <v>982</v>
      </c>
      <c r="B3361" s="8">
        <v>29347.0</v>
      </c>
      <c r="C3361" s="8"/>
      <c r="D3361" s="8"/>
      <c r="E3361" s="8"/>
      <c r="F3361" s="8"/>
    </row>
    <row r="3362" ht="13.5" customHeight="1">
      <c r="A3362" s="8" t="s">
        <v>1868</v>
      </c>
      <c r="B3362" s="8">
        <v>29478.0</v>
      </c>
      <c r="C3362" s="8"/>
      <c r="D3362" s="8"/>
      <c r="E3362" s="8"/>
      <c r="F3362" s="8"/>
    </row>
    <row r="3363" ht="13.5" customHeight="1">
      <c r="A3363" s="8" t="s">
        <v>1857</v>
      </c>
      <c r="B3363" s="8">
        <v>29991.0</v>
      </c>
      <c r="C3363" s="8"/>
      <c r="D3363" s="8"/>
      <c r="E3363" s="8"/>
      <c r="F3363" s="8"/>
    </row>
    <row r="3364" ht="13.5" customHeight="1">
      <c r="A3364" s="8" t="s">
        <v>1867</v>
      </c>
      <c r="B3364" s="8">
        <v>30853.0</v>
      </c>
      <c r="C3364" s="8"/>
      <c r="D3364" s="8"/>
      <c r="E3364" s="8"/>
      <c r="F3364" s="8"/>
    </row>
    <row r="3365" ht="13.5" customHeight="1">
      <c r="A3365" s="8" t="s">
        <v>1849</v>
      </c>
      <c r="B3365" s="8">
        <v>30886.0</v>
      </c>
      <c r="C3365" s="8"/>
      <c r="D3365" s="8"/>
      <c r="E3365" s="8"/>
      <c r="F3365" s="8"/>
    </row>
    <row r="3366" ht="13.5" customHeight="1">
      <c r="A3366" s="8" t="s">
        <v>1854</v>
      </c>
      <c r="B3366" s="8">
        <v>31042.0</v>
      </c>
      <c r="C3366" s="8"/>
      <c r="D3366" s="8"/>
      <c r="E3366" s="8"/>
      <c r="F3366" s="8"/>
    </row>
    <row r="3367" ht="13.5" customHeight="1">
      <c r="A3367" s="8" t="s">
        <v>1866</v>
      </c>
      <c r="B3367" s="8">
        <v>31078.0</v>
      </c>
      <c r="C3367" s="8"/>
      <c r="D3367" s="8"/>
      <c r="E3367" s="8"/>
      <c r="F3367" s="8"/>
    </row>
    <row r="3368" ht="13.5" customHeight="1">
      <c r="A3368" s="8" t="s">
        <v>1631</v>
      </c>
      <c r="B3368" s="8">
        <v>31493.0</v>
      </c>
      <c r="C3368" s="8"/>
      <c r="D3368" s="8"/>
      <c r="E3368" s="8"/>
      <c r="F3368" s="8"/>
    </row>
    <row r="3369" ht="13.5" customHeight="1">
      <c r="A3369" s="8" t="s">
        <v>1889</v>
      </c>
      <c r="B3369" s="8">
        <v>31555.0</v>
      </c>
      <c r="C3369" s="8"/>
      <c r="D3369" s="8"/>
      <c r="E3369" s="8"/>
      <c r="F3369" s="8"/>
    </row>
    <row r="3370" ht="13.5" customHeight="1">
      <c r="A3370" s="8" t="s">
        <v>1886</v>
      </c>
      <c r="B3370" s="8">
        <v>31744.0</v>
      </c>
      <c r="C3370" s="8"/>
      <c r="D3370" s="8"/>
      <c r="E3370" s="8"/>
      <c r="F3370" s="8"/>
    </row>
    <row r="3371" ht="13.5" customHeight="1">
      <c r="A3371" s="8" t="s">
        <v>1888</v>
      </c>
      <c r="B3371" s="8">
        <v>31842.0</v>
      </c>
      <c r="C3371" s="8"/>
      <c r="D3371" s="8"/>
      <c r="E3371" s="8"/>
      <c r="F3371" s="8"/>
    </row>
    <row r="3372" ht="13.5" customHeight="1">
      <c r="A3372" s="8" t="s">
        <v>1887</v>
      </c>
      <c r="B3372" s="8">
        <v>31910.0</v>
      </c>
      <c r="C3372" s="8"/>
      <c r="D3372" s="8"/>
      <c r="E3372" s="8"/>
      <c r="F3372" s="8"/>
    </row>
    <row r="3373" ht="13.5" customHeight="1">
      <c r="A3373" s="8" t="s">
        <v>1865</v>
      </c>
      <c r="B3373" s="8">
        <v>32519.0</v>
      </c>
      <c r="C3373" s="8"/>
      <c r="D3373" s="8"/>
      <c r="E3373" s="8"/>
      <c r="F3373" s="8"/>
    </row>
    <row r="3374" ht="13.5" customHeight="1">
      <c r="A3374" s="8" t="s">
        <v>1891</v>
      </c>
      <c r="B3374" s="8">
        <v>32647.0</v>
      </c>
      <c r="C3374" s="8"/>
      <c r="D3374" s="8"/>
      <c r="E3374" s="8"/>
      <c r="F3374" s="8"/>
    </row>
    <row r="3375" ht="13.5" customHeight="1">
      <c r="A3375" s="8" t="s">
        <v>1872</v>
      </c>
      <c r="B3375" s="8">
        <v>32966.0</v>
      </c>
      <c r="C3375" s="8"/>
      <c r="D3375" s="8"/>
      <c r="E3375" s="8"/>
      <c r="F3375" s="8"/>
    </row>
    <row r="3376" ht="13.5" customHeight="1">
      <c r="A3376" s="8" t="s">
        <v>1864</v>
      </c>
      <c r="B3376" s="8">
        <v>33218.0</v>
      </c>
      <c r="C3376" s="8"/>
      <c r="D3376" s="8"/>
      <c r="E3376" s="8"/>
      <c r="F3376" s="8"/>
    </row>
    <row r="3377" ht="13.5" customHeight="1">
      <c r="A3377" s="8" t="s">
        <v>1552</v>
      </c>
      <c r="B3377" s="8">
        <v>33285.0</v>
      </c>
      <c r="C3377" s="8"/>
      <c r="D3377" s="8"/>
      <c r="E3377" s="8"/>
      <c r="F3377" s="8"/>
    </row>
    <row r="3378" ht="13.5" customHeight="1">
      <c r="A3378" s="8" t="s">
        <v>1844</v>
      </c>
      <c r="B3378" s="8">
        <v>33479.0</v>
      </c>
      <c r="C3378" s="8"/>
      <c r="D3378" s="8"/>
      <c r="E3378" s="8"/>
      <c r="F3378" s="8"/>
    </row>
    <row r="3379" ht="13.5" customHeight="1">
      <c r="A3379" s="8" t="s">
        <v>1855</v>
      </c>
      <c r="B3379" s="8">
        <v>33537.0</v>
      </c>
      <c r="C3379" s="8"/>
      <c r="D3379" s="8"/>
      <c r="E3379" s="8"/>
      <c r="F3379" s="8"/>
    </row>
    <row r="3380" ht="13.5" customHeight="1">
      <c r="A3380" s="8" t="s">
        <v>1435</v>
      </c>
      <c r="B3380" s="8">
        <v>33569.0</v>
      </c>
      <c r="C3380" s="8"/>
      <c r="D3380" s="8"/>
      <c r="E3380" s="8"/>
      <c r="F3380" s="8"/>
    </row>
    <row r="3381" ht="13.5" customHeight="1">
      <c r="A3381" s="8" t="s">
        <v>1856</v>
      </c>
      <c r="B3381" s="8">
        <v>33571.0</v>
      </c>
      <c r="C3381" s="8"/>
      <c r="D3381" s="8"/>
      <c r="E3381" s="8"/>
      <c r="F3381" s="8"/>
    </row>
    <row r="3382" ht="13.5" customHeight="1">
      <c r="A3382" s="8" t="s">
        <v>1552</v>
      </c>
      <c r="B3382" s="8">
        <v>33637.0</v>
      </c>
      <c r="C3382" s="8"/>
      <c r="D3382" s="8"/>
      <c r="E3382" s="8"/>
      <c r="F3382" s="8"/>
    </row>
    <row r="3383" ht="13.5" customHeight="1">
      <c r="A3383" s="8" t="s">
        <v>1855</v>
      </c>
      <c r="B3383" s="8">
        <v>33670.0</v>
      </c>
      <c r="C3383" s="8"/>
      <c r="D3383" s="8"/>
      <c r="E3383" s="8"/>
      <c r="F3383" s="8"/>
    </row>
    <row r="3384" ht="13.5" customHeight="1">
      <c r="A3384" s="8" t="s">
        <v>1857</v>
      </c>
      <c r="B3384" s="8">
        <v>33794.0</v>
      </c>
      <c r="C3384" s="8"/>
      <c r="D3384" s="8"/>
      <c r="E3384" s="8"/>
      <c r="F3384" s="8"/>
    </row>
    <row r="3385" ht="13.5" customHeight="1">
      <c r="A3385" s="8" t="s">
        <v>1789</v>
      </c>
      <c r="B3385" s="8">
        <v>33857.0</v>
      </c>
      <c r="C3385" s="8"/>
      <c r="D3385" s="8"/>
      <c r="E3385" s="8"/>
      <c r="F3385" s="8"/>
    </row>
    <row r="3386" ht="13.5" customHeight="1">
      <c r="A3386" s="8" t="s">
        <v>1888</v>
      </c>
      <c r="B3386" s="8">
        <v>34400.0</v>
      </c>
      <c r="C3386" s="8"/>
      <c r="D3386" s="8"/>
      <c r="E3386" s="8"/>
      <c r="F3386" s="8"/>
    </row>
    <row r="3387" ht="13.5" customHeight="1">
      <c r="A3387" s="8" t="s">
        <v>1886</v>
      </c>
      <c r="B3387" s="8">
        <v>34407.0</v>
      </c>
      <c r="C3387" s="8"/>
      <c r="D3387" s="8"/>
      <c r="E3387" s="8"/>
      <c r="F3387" s="8"/>
    </row>
    <row r="3388" ht="13.5" customHeight="1">
      <c r="A3388" s="8" t="s">
        <v>1882</v>
      </c>
      <c r="B3388" s="8">
        <v>34432.0</v>
      </c>
      <c r="C3388" s="8"/>
      <c r="D3388" s="8"/>
      <c r="E3388" s="8"/>
      <c r="F3388" s="8"/>
    </row>
    <row r="3389" ht="13.5" customHeight="1">
      <c r="A3389" s="8" t="s">
        <v>901</v>
      </c>
      <c r="B3389" s="8">
        <v>34497.0</v>
      </c>
      <c r="C3389" s="8"/>
      <c r="D3389" s="8"/>
      <c r="E3389" s="8"/>
      <c r="F3389" s="8"/>
    </row>
    <row r="3390" ht="13.5" customHeight="1">
      <c r="A3390" s="8" t="s">
        <v>1678</v>
      </c>
      <c r="B3390" s="8">
        <v>34498.0</v>
      </c>
      <c r="C3390" s="8"/>
      <c r="D3390" s="8"/>
      <c r="E3390" s="8"/>
      <c r="F3390" s="8"/>
    </row>
    <row r="3391" ht="13.5" customHeight="1">
      <c r="A3391" s="8" t="s">
        <v>1777</v>
      </c>
      <c r="B3391" s="8">
        <v>35045.0</v>
      </c>
      <c r="C3391" s="8"/>
      <c r="D3391" s="8"/>
      <c r="E3391" s="8"/>
      <c r="F3391" s="8"/>
    </row>
    <row r="3392" ht="13.5" customHeight="1">
      <c r="A3392" s="8" t="s">
        <v>1845</v>
      </c>
      <c r="B3392" s="8">
        <v>35265.0</v>
      </c>
      <c r="C3392" s="8"/>
      <c r="D3392" s="8"/>
      <c r="E3392" s="8"/>
      <c r="F3392" s="8"/>
    </row>
    <row r="3393" ht="13.5" customHeight="1">
      <c r="A3393" s="8" t="s">
        <v>1588</v>
      </c>
      <c r="B3393" s="8">
        <v>35461.0</v>
      </c>
      <c r="C3393" s="8"/>
      <c r="D3393" s="8"/>
      <c r="E3393" s="8"/>
      <c r="F3393" s="8"/>
    </row>
    <row r="3394" ht="13.5" customHeight="1">
      <c r="A3394" s="8" t="s">
        <v>1857</v>
      </c>
      <c r="B3394" s="8">
        <v>35590.0</v>
      </c>
      <c r="C3394" s="8"/>
      <c r="D3394" s="8"/>
      <c r="E3394" s="8"/>
      <c r="F3394" s="8"/>
    </row>
    <row r="3395" ht="13.5" customHeight="1">
      <c r="A3395" s="8" t="s">
        <v>1869</v>
      </c>
      <c r="B3395" s="8">
        <v>35687.0</v>
      </c>
      <c r="C3395" s="8"/>
      <c r="D3395" s="8"/>
      <c r="E3395" s="8"/>
      <c r="F3395" s="8"/>
    </row>
    <row r="3396" ht="13.5" customHeight="1">
      <c r="A3396" s="8" t="s">
        <v>1610</v>
      </c>
      <c r="B3396" s="8">
        <v>35776.0</v>
      </c>
      <c r="C3396" s="8"/>
      <c r="D3396" s="8"/>
      <c r="E3396" s="8"/>
      <c r="F3396" s="8"/>
    </row>
    <row r="3397" ht="13.5" customHeight="1">
      <c r="A3397" s="8" t="s">
        <v>1588</v>
      </c>
      <c r="B3397" s="8">
        <v>35782.0</v>
      </c>
      <c r="C3397" s="8"/>
      <c r="D3397" s="8"/>
      <c r="E3397" s="8"/>
      <c r="F3397" s="8"/>
    </row>
    <row r="3398" ht="13.5" customHeight="1">
      <c r="A3398" s="8" t="s">
        <v>1879</v>
      </c>
      <c r="B3398" s="8">
        <v>35813.0</v>
      </c>
      <c r="C3398" s="8"/>
      <c r="D3398" s="8"/>
      <c r="E3398" s="8"/>
      <c r="F3398" s="8"/>
    </row>
    <row r="3399" ht="13.5" customHeight="1">
      <c r="A3399" s="8" t="s">
        <v>1849</v>
      </c>
      <c r="B3399" s="8">
        <v>36003.0</v>
      </c>
      <c r="C3399" s="8"/>
      <c r="D3399" s="8"/>
      <c r="E3399" s="8"/>
      <c r="F3399" s="8"/>
    </row>
    <row r="3400" ht="13.5" customHeight="1">
      <c r="A3400" s="8" t="s">
        <v>1610</v>
      </c>
      <c r="B3400" s="8">
        <v>36102.0</v>
      </c>
      <c r="C3400" s="8"/>
      <c r="D3400" s="8"/>
      <c r="E3400" s="8"/>
      <c r="F3400" s="8"/>
    </row>
    <row r="3401" ht="13.5" customHeight="1">
      <c r="A3401" s="8" t="s">
        <v>1882</v>
      </c>
      <c r="B3401" s="8">
        <v>36295.0</v>
      </c>
      <c r="C3401" s="8"/>
      <c r="D3401" s="8"/>
      <c r="E3401" s="8"/>
      <c r="F3401" s="8"/>
    </row>
    <row r="3402" ht="13.5" customHeight="1">
      <c r="A3402" s="8" t="s">
        <v>1861</v>
      </c>
      <c r="B3402" s="8">
        <v>36323.0</v>
      </c>
      <c r="C3402" s="8"/>
      <c r="D3402" s="8"/>
      <c r="E3402" s="8"/>
      <c r="F3402" s="8"/>
    </row>
    <row r="3403" ht="13.5" customHeight="1">
      <c r="A3403" s="8" t="s">
        <v>1878</v>
      </c>
      <c r="B3403" s="8">
        <v>36354.0</v>
      </c>
      <c r="C3403" s="8"/>
      <c r="D3403" s="8"/>
      <c r="E3403" s="8"/>
      <c r="F3403" s="8"/>
    </row>
    <row r="3404" ht="13.5" customHeight="1">
      <c r="A3404" s="8" t="s">
        <v>1845</v>
      </c>
      <c r="B3404" s="8">
        <v>36512.0</v>
      </c>
      <c r="C3404" s="8"/>
      <c r="D3404" s="8"/>
      <c r="E3404" s="8"/>
      <c r="F3404" s="8"/>
    </row>
    <row r="3405" ht="13.5" customHeight="1">
      <c r="A3405" s="8" t="s">
        <v>1789</v>
      </c>
      <c r="B3405" s="8">
        <v>36932.0</v>
      </c>
      <c r="C3405" s="8"/>
      <c r="D3405" s="8"/>
      <c r="E3405" s="8"/>
      <c r="F3405" s="8"/>
    </row>
    <row r="3406" ht="13.5" customHeight="1">
      <c r="A3406" s="8" t="s">
        <v>1879</v>
      </c>
      <c r="B3406" s="8">
        <v>37025.0</v>
      </c>
      <c r="C3406" s="8"/>
      <c r="D3406" s="8"/>
      <c r="E3406" s="8"/>
      <c r="F3406" s="8"/>
    </row>
    <row r="3407" ht="13.5" customHeight="1">
      <c r="A3407" s="8" t="s">
        <v>1588</v>
      </c>
      <c r="B3407" s="8">
        <v>37124.0</v>
      </c>
      <c r="C3407" s="8"/>
      <c r="D3407" s="8"/>
      <c r="E3407" s="8"/>
      <c r="F3407" s="8"/>
    </row>
    <row r="3408" ht="13.5" customHeight="1">
      <c r="A3408" s="8" t="s">
        <v>1846</v>
      </c>
      <c r="B3408" s="8">
        <v>37696.0</v>
      </c>
      <c r="C3408" s="8"/>
      <c r="D3408" s="8"/>
      <c r="E3408" s="8"/>
      <c r="F3408" s="8"/>
    </row>
    <row r="3409" ht="13.5" customHeight="1">
      <c r="A3409" s="8" t="s">
        <v>1849</v>
      </c>
      <c r="B3409" s="8">
        <v>37702.0</v>
      </c>
      <c r="C3409" s="8"/>
      <c r="D3409" s="8"/>
      <c r="E3409" s="8"/>
      <c r="F3409" s="8"/>
    </row>
    <row r="3410" ht="13.5" customHeight="1">
      <c r="A3410" s="8" t="s">
        <v>1552</v>
      </c>
      <c r="B3410" s="8">
        <v>37794.0</v>
      </c>
      <c r="C3410" s="8"/>
      <c r="D3410" s="8"/>
      <c r="E3410" s="8"/>
      <c r="F3410" s="8"/>
    </row>
    <row r="3411" ht="13.5" customHeight="1">
      <c r="A3411" s="8" t="s">
        <v>1851</v>
      </c>
      <c r="B3411" s="8">
        <v>37987.0</v>
      </c>
      <c r="C3411" s="8"/>
      <c r="D3411" s="8"/>
      <c r="E3411" s="8"/>
      <c r="F3411" s="8"/>
    </row>
    <row r="3412" ht="13.5" customHeight="1">
      <c r="A3412" s="8" t="s">
        <v>982</v>
      </c>
      <c r="B3412" s="8">
        <v>38340.0</v>
      </c>
      <c r="C3412" s="8"/>
      <c r="D3412" s="8"/>
      <c r="E3412" s="8"/>
      <c r="F3412" s="8"/>
    </row>
    <row r="3413" ht="13.5" customHeight="1">
      <c r="A3413" s="8" t="s">
        <v>901</v>
      </c>
      <c r="B3413" s="8">
        <v>38786.0</v>
      </c>
      <c r="C3413" s="8"/>
      <c r="D3413" s="8"/>
      <c r="E3413" s="8"/>
      <c r="F3413" s="8"/>
    </row>
    <row r="3414" ht="13.5" customHeight="1">
      <c r="A3414" s="8" t="s">
        <v>1462</v>
      </c>
      <c r="B3414" s="8">
        <v>38852.0</v>
      </c>
      <c r="C3414" s="8"/>
      <c r="D3414" s="8"/>
      <c r="E3414" s="8"/>
      <c r="F3414" s="8"/>
    </row>
    <row r="3415" ht="13.5" customHeight="1">
      <c r="A3415" s="8" t="s">
        <v>1859</v>
      </c>
      <c r="B3415" s="8">
        <v>39008.0</v>
      </c>
      <c r="C3415" s="8"/>
      <c r="D3415" s="8"/>
      <c r="E3415" s="8"/>
      <c r="F3415" s="8"/>
    </row>
    <row r="3416" ht="13.5" customHeight="1">
      <c r="A3416" s="8" t="s">
        <v>1610</v>
      </c>
      <c r="B3416" s="8">
        <v>39331.0</v>
      </c>
      <c r="C3416" s="8"/>
      <c r="D3416" s="8"/>
      <c r="E3416" s="8"/>
      <c r="F3416" s="8"/>
    </row>
    <row r="3417" ht="13.5" customHeight="1">
      <c r="A3417" s="8" t="s">
        <v>1874</v>
      </c>
      <c r="B3417" s="8">
        <v>39399.0</v>
      </c>
      <c r="C3417" s="8"/>
      <c r="D3417" s="8"/>
      <c r="E3417" s="8"/>
      <c r="F3417" s="8"/>
    </row>
    <row r="3418" ht="13.5" customHeight="1">
      <c r="A3418" s="8" t="s">
        <v>1865</v>
      </c>
      <c r="B3418" s="8">
        <v>39876.0</v>
      </c>
      <c r="C3418" s="8"/>
      <c r="D3418" s="8"/>
      <c r="E3418" s="8"/>
      <c r="F3418" s="8"/>
    </row>
    <row r="3419" ht="13.5" customHeight="1">
      <c r="A3419" s="8" t="s">
        <v>1552</v>
      </c>
      <c r="B3419" s="8">
        <v>40032.0</v>
      </c>
      <c r="C3419" s="8"/>
      <c r="D3419" s="8"/>
      <c r="E3419" s="8"/>
      <c r="F3419" s="8"/>
    </row>
    <row r="3420" ht="13.5" customHeight="1">
      <c r="A3420" s="8" t="s">
        <v>1866</v>
      </c>
      <c r="B3420" s="8">
        <v>40261.0</v>
      </c>
      <c r="C3420" s="8"/>
      <c r="D3420" s="8"/>
      <c r="E3420" s="8"/>
      <c r="F3420" s="8"/>
    </row>
    <row r="3421" ht="13.5" customHeight="1">
      <c r="A3421" s="8" t="s">
        <v>1882</v>
      </c>
      <c r="B3421" s="8">
        <v>40706.0</v>
      </c>
      <c r="C3421" s="8"/>
      <c r="D3421" s="8"/>
      <c r="E3421" s="8"/>
      <c r="F3421" s="8"/>
    </row>
    <row r="3422" ht="13.5" customHeight="1">
      <c r="A3422" s="8" t="s">
        <v>1880</v>
      </c>
      <c r="B3422" s="8">
        <v>40708.0</v>
      </c>
      <c r="C3422" s="8"/>
      <c r="D3422" s="8"/>
      <c r="E3422" s="8"/>
      <c r="F3422" s="8"/>
    </row>
    <row r="3423" ht="13.5" customHeight="1">
      <c r="A3423" s="8" t="s">
        <v>1859</v>
      </c>
      <c r="B3423" s="8">
        <v>40964.0</v>
      </c>
      <c r="C3423" s="8"/>
      <c r="D3423" s="8"/>
      <c r="E3423" s="8"/>
      <c r="F3423" s="8"/>
    </row>
    <row r="3424" ht="13.5" customHeight="1">
      <c r="A3424" s="8" t="s">
        <v>1678</v>
      </c>
      <c r="B3424" s="8">
        <v>42243.0</v>
      </c>
      <c r="C3424" s="8"/>
      <c r="D3424" s="8"/>
      <c r="E3424" s="8"/>
      <c r="F3424" s="8"/>
    </row>
    <row r="3425" ht="13.5" customHeight="1">
      <c r="A3425" s="8" t="s">
        <v>1797</v>
      </c>
      <c r="B3425" s="8">
        <v>42437.0</v>
      </c>
      <c r="C3425" s="8"/>
      <c r="D3425" s="8"/>
      <c r="E3425" s="8"/>
      <c r="F3425" s="8"/>
    </row>
    <row r="3426" ht="13.5" customHeight="1">
      <c r="A3426" s="8" t="s">
        <v>1879</v>
      </c>
      <c r="B3426" s="8">
        <v>42887.0</v>
      </c>
      <c r="C3426" s="8"/>
      <c r="D3426" s="8"/>
      <c r="E3426" s="8"/>
      <c r="F3426" s="8"/>
    </row>
    <row r="3427" ht="13.5" customHeight="1">
      <c r="A3427" s="8" t="s">
        <v>1849</v>
      </c>
      <c r="B3427" s="8">
        <v>43137.0</v>
      </c>
      <c r="C3427" s="8"/>
      <c r="D3427" s="8"/>
      <c r="E3427" s="8"/>
      <c r="F3427" s="8"/>
    </row>
    <row r="3428" ht="13.5" customHeight="1">
      <c r="A3428" s="8" t="s">
        <v>1886</v>
      </c>
      <c r="B3428" s="8">
        <v>43554.0</v>
      </c>
      <c r="C3428" s="8"/>
      <c r="D3428" s="8"/>
      <c r="E3428" s="8"/>
      <c r="F3428" s="8"/>
    </row>
    <row r="3429" ht="13.5" customHeight="1">
      <c r="A3429" s="8" t="s">
        <v>1891</v>
      </c>
      <c r="B3429" s="8">
        <v>43782.0</v>
      </c>
      <c r="C3429" s="8"/>
      <c r="D3429" s="8"/>
      <c r="E3429" s="8"/>
      <c r="F3429" s="8"/>
    </row>
    <row r="3430" ht="13.5" customHeight="1">
      <c r="A3430" s="8" t="s">
        <v>1552</v>
      </c>
      <c r="B3430" s="8">
        <v>43904.0</v>
      </c>
      <c r="C3430" s="8"/>
      <c r="D3430" s="8"/>
      <c r="E3430" s="8"/>
      <c r="F3430" s="8"/>
    </row>
    <row r="3431" ht="13.5" customHeight="1">
      <c r="A3431" s="8" t="s">
        <v>1846</v>
      </c>
      <c r="B3431" s="8">
        <v>43906.0</v>
      </c>
      <c r="C3431" s="8"/>
      <c r="D3431" s="8"/>
      <c r="E3431" s="8"/>
      <c r="F3431" s="8"/>
    </row>
    <row r="3432" ht="13.5" customHeight="1">
      <c r="A3432" s="8" t="s">
        <v>1687</v>
      </c>
      <c r="B3432" s="8">
        <v>44064.0</v>
      </c>
      <c r="C3432" s="8"/>
      <c r="D3432" s="8"/>
      <c r="E3432" s="8"/>
      <c r="F3432" s="8"/>
    </row>
    <row r="3433" ht="13.5" customHeight="1">
      <c r="A3433" s="8" t="s">
        <v>1460</v>
      </c>
      <c r="B3433" s="8">
        <v>44224.0</v>
      </c>
      <c r="C3433" s="8"/>
      <c r="D3433" s="8"/>
      <c r="E3433" s="8"/>
      <c r="F3433" s="8"/>
    </row>
    <row r="3434" ht="13.5" customHeight="1">
      <c r="A3434" s="8" t="s">
        <v>1897</v>
      </c>
      <c r="B3434" s="8">
        <v>44325.0</v>
      </c>
      <c r="C3434" s="8"/>
      <c r="D3434" s="8"/>
      <c r="E3434" s="8"/>
      <c r="F3434" s="8"/>
    </row>
    <row r="3435" ht="13.5" customHeight="1">
      <c r="A3435" s="8" t="s">
        <v>1848</v>
      </c>
      <c r="B3435" s="8">
        <v>44422.0</v>
      </c>
      <c r="C3435" s="8"/>
      <c r="D3435" s="8"/>
      <c r="E3435" s="8"/>
      <c r="F3435" s="8"/>
    </row>
    <row r="3436" ht="13.5" customHeight="1">
      <c r="A3436" s="8" t="s">
        <v>1552</v>
      </c>
      <c r="B3436" s="8">
        <v>44609.0</v>
      </c>
      <c r="C3436" s="8"/>
      <c r="D3436" s="8"/>
      <c r="E3436" s="8"/>
      <c r="F3436" s="8"/>
    </row>
    <row r="3437" ht="13.5" customHeight="1">
      <c r="A3437" s="8" t="s">
        <v>1718</v>
      </c>
      <c r="B3437" s="8">
        <v>44935.0</v>
      </c>
      <c r="C3437" s="8"/>
      <c r="D3437" s="8"/>
      <c r="E3437" s="8"/>
      <c r="F3437" s="8"/>
    </row>
    <row r="3438" ht="13.5" customHeight="1">
      <c r="A3438" s="8" t="s">
        <v>1687</v>
      </c>
      <c r="B3438" s="8">
        <v>45127.0</v>
      </c>
      <c r="C3438" s="8"/>
      <c r="D3438" s="8"/>
      <c r="E3438" s="8"/>
      <c r="F3438" s="8"/>
    </row>
    <row r="3439" ht="13.5" customHeight="1">
      <c r="A3439" s="8" t="s">
        <v>1462</v>
      </c>
      <c r="B3439" s="8">
        <v>45413.0</v>
      </c>
      <c r="C3439" s="8"/>
      <c r="D3439" s="8"/>
      <c r="E3439" s="8"/>
      <c r="F3439" s="8"/>
    </row>
    <row r="3440" ht="13.5" customHeight="1">
      <c r="A3440" s="8" t="s">
        <v>1891</v>
      </c>
      <c r="B3440" s="8">
        <v>45571.0</v>
      </c>
      <c r="C3440" s="8"/>
      <c r="D3440" s="8"/>
      <c r="E3440" s="8"/>
      <c r="F3440" s="8"/>
    </row>
    <row r="3441" ht="13.5" customHeight="1">
      <c r="A3441" s="8" t="s">
        <v>1462</v>
      </c>
      <c r="B3441" s="8">
        <v>45575.0</v>
      </c>
      <c r="C3441" s="8"/>
      <c r="D3441" s="8"/>
      <c r="E3441" s="8"/>
      <c r="F3441" s="8"/>
    </row>
    <row r="3442" ht="13.5" customHeight="1">
      <c r="A3442" s="8" t="s">
        <v>1891</v>
      </c>
      <c r="B3442" s="8">
        <v>45794.0</v>
      </c>
      <c r="C3442" s="8"/>
      <c r="D3442" s="8"/>
      <c r="E3442" s="8"/>
      <c r="F3442" s="8"/>
    </row>
    <row r="3443" ht="13.5" customHeight="1">
      <c r="A3443" s="8" t="s">
        <v>1435</v>
      </c>
      <c r="B3443" s="8">
        <v>45860.0</v>
      </c>
      <c r="C3443" s="8"/>
      <c r="D3443" s="8"/>
      <c r="E3443" s="8"/>
      <c r="F3443" s="8"/>
    </row>
    <row r="3444" ht="13.5" customHeight="1">
      <c r="A3444" s="8" t="s">
        <v>1687</v>
      </c>
      <c r="B3444" s="8">
        <v>46021.0</v>
      </c>
      <c r="C3444" s="8"/>
      <c r="D3444" s="8"/>
      <c r="E3444" s="8"/>
      <c r="F3444" s="8"/>
    </row>
    <row r="3445" ht="13.5" customHeight="1">
      <c r="A3445" s="8" t="s">
        <v>1855</v>
      </c>
      <c r="B3445" s="8">
        <v>46147.0</v>
      </c>
      <c r="C3445" s="8"/>
      <c r="D3445" s="8"/>
      <c r="E3445" s="8"/>
      <c r="F3445" s="8"/>
    </row>
    <row r="3446" ht="13.5" customHeight="1">
      <c r="A3446" s="8" t="s">
        <v>1869</v>
      </c>
      <c r="B3446" s="8">
        <v>46211.0</v>
      </c>
      <c r="C3446" s="8"/>
      <c r="D3446" s="8"/>
      <c r="E3446" s="8"/>
      <c r="F3446" s="8"/>
    </row>
    <row r="3447" ht="13.5" customHeight="1">
      <c r="A3447" s="8" t="s">
        <v>1881</v>
      </c>
      <c r="B3447" s="8">
        <v>46241.0</v>
      </c>
      <c r="C3447" s="8"/>
      <c r="D3447" s="8"/>
      <c r="E3447" s="8"/>
      <c r="F3447" s="8"/>
    </row>
    <row r="3448" ht="13.5" customHeight="1">
      <c r="A3448" s="8" t="s">
        <v>1718</v>
      </c>
      <c r="B3448" s="8">
        <v>46244.0</v>
      </c>
      <c r="C3448" s="8"/>
      <c r="D3448" s="8"/>
      <c r="E3448" s="8"/>
      <c r="F3448" s="8"/>
    </row>
    <row r="3449" ht="13.5" customHeight="1">
      <c r="A3449" s="8" t="s">
        <v>1873</v>
      </c>
      <c r="B3449" s="8">
        <v>46305.0</v>
      </c>
      <c r="C3449" s="8"/>
      <c r="D3449" s="8"/>
      <c r="E3449" s="8"/>
      <c r="F3449" s="8"/>
    </row>
    <row r="3450" ht="13.5" customHeight="1">
      <c r="A3450" s="8" t="s">
        <v>982</v>
      </c>
      <c r="B3450" s="8">
        <v>46372.0</v>
      </c>
      <c r="C3450" s="8"/>
      <c r="D3450" s="8"/>
      <c r="E3450" s="8"/>
      <c r="F3450" s="8"/>
    </row>
    <row r="3451" ht="13.5" customHeight="1">
      <c r="A3451" s="8" t="s">
        <v>1882</v>
      </c>
      <c r="B3451" s="8">
        <v>46656.0</v>
      </c>
      <c r="C3451" s="8"/>
      <c r="D3451" s="8"/>
      <c r="E3451" s="8"/>
      <c r="F3451" s="8"/>
    </row>
    <row r="3452" ht="13.5" customHeight="1">
      <c r="A3452" s="8" t="s">
        <v>1859</v>
      </c>
      <c r="B3452" s="8">
        <v>46721.0</v>
      </c>
      <c r="C3452" s="8"/>
      <c r="D3452" s="8"/>
      <c r="E3452" s="8"/>
      <c r="F3452" s="8"/>
    </row>
    <row r="3453" ht="13.5" customHeight="1">
      <c r="A3453" s="8" t="s">
        <v>1845</v>
      </c>
      <c r="B3453" s="8">
        <v>46852.0</v>
      </c>
      <c r="C3453" s="8"/>
      <c r="D3453" s="8"/>
      <c r="E3453" s="8"/>
      <c r="F3453" s="8"/>
    </row>
    <row r="3454" ht="13.5" customHeight="1">
      <c r="A3454" s="8" t="s">
        <v>1855</v>
      </c>
      <c r="B3454" s="8">
        <v>46949.0</v>
      </c>
      <c r="C3454" s="8"/>
      <c r="D3454" s="8"/>
      <c r="E3454" s="8"/>
      <c r="F3454" s="8"/>
    </row>
    <row r="3455" ht="13.5" customHeight="1">
      <c r="A3455" s="8" t="s">
        <v>1875</v>
      </c>
      <c r="B3455" s="8">
        <v>46951.0</v>
      </c>
      <c r="C3455" s="8"/>
      <c r="D3455" s="8"/>
      <c r="E3455" s="8"/>
      <c r="F3455" s="8"/>
    </row>
    <row r="3456" ht="13.5" customHeight="1">
      <c r="A3456" s="8" t="s">
        <v>1855</v>
      </c>
      <c r="B3456" s="8">
        <v>47075.0</v>
      </c>
      <c r="C3456" s="8"/>
      <c r="D3456" s="8"/>
      <c r="E3456" s="8"/>
      <c r="F3456" s="8"/>
    </row>
    <row r="3457" ht="13.5" customHeight="1">
      <c r="A3457" s="8" t="s">
        <v>1891</v>
      </c>
      <c r="B3457" s="8">
        <v>47399.0</v>
      </c>
      <c r="C3457" s="8"/>
      <c r="D3457" s="8"/>
      <c r="E3457" s="8"/>
      <c r="F3457" s="8"/>
    </row>
    <row r="3458" ht="13.5" customHeight="1">
      <c r="A3458" s="8" t="s">
        <v>1851</v>
      </c>
      <c r="B3458" s="8">
        <v>47493.0</v>
      </c>
      <c r="C3458" s="8"/>
      <c r="D3458" s="8"/>
      <c r="E3458" s="8"/>
      <c r="F3458" s="8"/>
    </row>
    <row r="3459" ht="13.5" customHeight="1">
      <c r="A3459" s="8" t="s">
        <v>1877</v>
      </c>
      <c r="B3459" s="8">
        <v>47777.0</v>
      </c>
      <c r="C3459" s="8"/>
      <c r="D3459" s="8"/>
      <c r="E3459" s="8"/>
      <c r="F3459" s="8"/>
    </row>
    <row r="3460" ht="13.5" customHeight="1">
      <c r="A3460" s="8" t="s">
        <v>982</v>
      </c>
      <c r="B3460" s="8">
        <v>47844.0</v>
      </c>
      <c r="C3460" s="8"/>
      <c r="D3460" s="8"/>
      <c r="E3460" s="8"/>
      <c r="F3460" s="8"/>
    </row>
    <row r="3461" ht="13.5" customHeight="1">
      <c r="A3461" s="8" t="s">
        <v>1866</v>
      </c>
      <c r="B3461" s="8">
        <v>47941.0</v>
      </c>
      <c r="C3461" s="8"/>
      <c r="D3461" s="8"/>
      <c r="E3461" s="8"/>
      <c r="F3461" s="8"/>
    </row>
    <row r="3462" ht="13.5" customHeight="1">
      <c r="A3462" s="8" t="s">
        <v>1878</v>
      </c>
      <c r="B3462" s="8">
        <v>48423.0</v>
      </c>
      <c r="C3462" s="8"/>
      <c r="D3462" s="8"/>
      <c r="E3462" s="8"/>
      <c r="F3462" s="8"/>
    </row>
    <row r="3463" ht="13.5" customHeight="1">
      <c r="A3463" s="8" t="s">
        <v>982</v>
      </c>
      <c r="B3463" s="8">
        <v>48837.0</v>
      </c>
      <c r="C3463" s="8"/>
      <c r="D3463" s="8"/>
      <c r="E3463" s="8"/>
      <c r="F3463" s="8"/>
    </row>
    <row r="3464" ht="13.5" customHeight="1">
      <c r="A3464" s="8" t="s">
        <v>1868</v>
      </c>
      <c r="B3464" s="8">
        <v>48993.0</v>
      </c>
      <c r="C3464" s="8"/>
      <c r="D3464" s="8"/>
      <c r="E3464" s="8"/>
      <c r="F3464" s="8"/>
    </row>
    <row r="3465" ht="13.5" customHeight="1">
      <c r="A3465" s="8" t="s">
        <v>1855</v>
      </c>
      <c r="B3465" s="8">
        <v>49123.0</v>
      </c>
      <c r="C3465" s="8"/>
      <c r="D3465" s="8"/>
      <c r="E3465" s="8"/>
      <c r="F3465" s="8"/>
    </row>
    <row r="3466" ht="13.5" customHeight="1">
      <c r="A3466" s="8" t="s">
        <v>1866</v>
      </c>
      <c r="B3466" s="8">
        <v>49220.0</v>
      </c>
      <c r="C3466" s="8"/>
      <c r="D3466" s="8"/>
      <c r="E3466" s="8"/>
      <c r="F3466" s="8"/>
    </row>
    <row r="3467" ht="13.5" customHeight="1">
      <c r="A3467" s="8" t="s">
        <v>1460</v>
      </c>
      <c r="B3467" s="8">
        <v>49409.0</v>
      </c>
      <c r="C3467" s="8"/>
      <c r="D3467" s="8"/>
      <c r="E3467" s="8"/>
      <c r="F3467" s="8"/>
    </row>
    <row r="3468" ht="13.5" customHeight="1">
      <c r="A3468" s="8" t="s">
        <v>1862</v>
      </c>
      <c r="B3468" s="8">
        <v>49479.0</v>
      </c>
      <c r="C3468" s="8"/>
      <c r="D3468" s="8"/>
      <c r="E3468" s="8"/>
      <c r="F3468" s="8"/>
    </row>
    <row r="3469" ht="13.5" customHeight="1">
      <c r="A3469" s="8" t="s">
        <v>1789</v>
      </c>
      <c r="B3469" s="8">
        <v>49600.0</v>
      </c>
      <c r="C3469" s="8"/>
      <c r="D3469" s="8"/>
      <c r="E3469" s="8"/>
      <c r="F3469" s="8"/>
    </row>
    <row r="3470" ht="13.5" customHeight="1">
      <c r="A3470" s="8" t="s">
        <v>1853</v>
      </c>
      <c r="B3470" s="8">
        <v>50242.0</v>
      </c>
      <c r="C3470" s="8"/>
      <c r="D3470" s="8"/>
      <c r="E3470" s="8"/>
      <c r="F3470" s="8"/>
    </row>
    <row r="3471" ht="13.5" customHeight="1">
      <c r="A3471" s="8" t="s">
        <v>1869</v>
      </c>
      <c r="B3471" s="8">
        <v>50275.0</v>
      </c>
      <c r="C3471" s="8"/>
      <c r="D3471" s="8"/>
      <c r="E3471" s="8"/>
      <c r="F3471" s="8"/>
    </row>
    <row r="3472" ht="13.5" customHeight="1">
      <c r="A3472" s="8" t="s">
        <v>1875</v>
      </c>
      <c r="B3472" s="8">
        <v>50403.0</v>
      </c>
      <c r="C3472" s="8"/>
      <c r="D3472" s="8"/>
      <c r="E3472" s="8"/>
      <c r="F3472" s="8"/>
    </row>
    <row r="3473" ht="13.5" customHeight="1">
      <c r="A3473" s="8" t="s">
        <v>1687</v>
      </c>
      <c r="B3473" s="8">
        <v>50405.0</v>
      </c>
      <c r="C3473" s="8"/>
      <c r="D3473" s="8"/>
      <c r="E3473" s="8"/>
      <c r="F3473" s="8"/>
    </row>
    <row r="3474" ht="13.5" customHeight="1">
      <c r="A3474" s="8" t="s">
        <v>1460</v>
      </c>
      <c r="B3474" s="8">
        <v>50464.0</v>
      </c>
      <c r="C3474" s="8"/>
      <c r="D3474" s="8"/>
      <c r="E3474" s="8"/>
      <c r="F3474" s="8"/>
    </row>
    <row r="3475" ht="13.5" customHeight="1">
      <c r="A3475" s="8" t="s">
        <v>1848</v>
      </c>
      <c r="B3475" s="8">
        <v>50465.0</v>
      </c>
      <c r="C3475" s="8"/>
      <c r="D3475" s="8"/>
      <c r="E3475" s="8"/>
      <c r="F3475" s="8"/>
    </row>
    <row r="3476" ht="13.5" customHeight="1">
      <c r="A3476" s="8" t="s">
        <v>1439</v>
      </c>
      <c r="B3476" s="8">
        <v>50469.0</v>
      </c>
      <c r="C3476" s="8"/>
      <c r="D3476" s="8"/>
      <c r="E3476" s="8"/>
      <c r="F3476" s="8"/>
    </row>
    <row r="3477" ht="13.5" customHeight="1">
      <c r="A3477" s="8" t="s">
        <v>1879</v>
      </c>
      <c r="B3477" s="8">
        <v>50789.0</v>
      </c>
      <c r="C3477" s="8"/>
      <c r="D3477" s="8"/>
      <c r="E3477" s="8"/>
      <c r="F3477" s="8"/>
    </row>
    <row r="3478" ht="13.5" customHeight="1">
      <c r="A3478" s="8" t="s">
        <v>1849</v>
      </c>
      <c r="B3478" s="8">
        <v>51044.0</v>
      </c>
      <c r="C3478" s="8"/>
      <c r="D3478" s="8"/>
      <c r="E3478" s="8"/>
      <c r="F3478" s="8"/>
    </row>
    <row r="3479" ht="13.5" customHeight="1">
      <c r="A3479" s="8" t="s">
        <v>1879</v>
      </c>
      <c r="B3479" s="8">
        <v>51302.0</v>
      </c>
      <c r="C3479" s="8"/>
      <c r="D3479" s="8"/>
      <c r="E3479" s="8"/>
      <c r="F3479" s="8"/>
    </row>
    <row r="3480" ht="13.5" customHeight="1">
      <c r="A3480" s="8" t="s">
        <v>1884</v>
      </c>
      <c r="B3480" s="8">
        <v>51392.0</v>
      </c>
      <c r="C3480" s="8"/>
      <c r="D3480" s="8"/>
      <c r="E3480" s="8"/>
      <c r="F3480" s="8"/>
    </row>
    <row r="3481" ht="13.5" customHeight="1">
      <c r="A3481" s="8" t="s">
        <v>1886</v>
      </c>
      <c r="B3481" s="8">
        <v>51650.0</v>
      </c>
      <c r="C3481" s="8"/>
      <c r="D3481" s="8"/>
      <c r="E3481" s="8"/>
      <c r="F3481" s="8"/>
    </row>
    <row r="3482" ht="13.5" customHeight="1">
      <c r="A3482" s="8" t="s">
        <v>1886</v>
      </c>
      <c r="B3482" s="8">
        <v>51652.0</v>
      </c>
      <c r="C3482" s="8"/>
      <c r="D3482" s="8"/>
      <c r="E3482" s="8"/>
      <c r="F3482" s="8"/>
    </row>
    <row r="3483" ht="13.5" customHeight="1">
      <c r="A3483" s="8" t="s">
        <v>1862</v>
      </c>
      <c r="B3483" s="8">
        <v>51876.0</v>
      </c>
      <c r="C3483" s="8"/>
      <c r="D3483" s="8"/>
      <c r="E3483" s="8"/>
      <c r="F3483" s="8"/>
    </row>
    <row r="3484" ht="13.5" customHeight="1">
      <c r="A3484" s="8" t="s">
        <v>1460</v>
      </c>
      <c r="B3484" s="8">
        <v>52070.0</v>
      </c>
      <c r="C3484" s="8"/>
      <c r="D3484" s="8"/>
      <c r="E3484" s="8"/>
      <c r="F3484" s="8"/>
    </row>
    <row r="3485" ht="13.5" customHeight="1">
      <c r="A3485" s="8" t="s">
        <v>109</v>
      </c>
      <c r="B3485" s="8">
        <v>52160.0</v>
      </c>
      <c r="C3485" s="8"/>
      <c r="D3485" s="8"/>
      <c r="E3485" s="8"/>
      <c r="F3485" s="8"/>
    </row>
    <row r="3486" ht="13.5" customHeight="1">
      <c r="A3486" s="8" t="s">
        <v>1848</v>
      </c>
      <c r="B3486" s="8">
        <v>52258.0</v>
      </c>
      <c r="C3486" s="8"/>
      <c r="D3486" s="8"/>
      <c r="E3486" s="8"/>
      <c r="F3486" s="8"/>
    </row>
    <row r="3487" ht="13.5" customHeight="1">
      <c r="A3487" s="8" t="s">
        <v>1881</v>
      </c>
      <c r="B3487" s="8">
        <v>52608.0</v>
      </c>
      <c r="C3487" s="8"/>
      <c r="D3487" s="8"/>
      <c r="E3487" s="8"/>
      <c r="F3487" s="8"/>
    </row>
    <row r="3488" ht="13.5" customHeight="1">
      <c r="A3488" s="8" t="s">
        <v>1856</v>
      </c>
      <c r="B3488" s="8">
        <v>52640.0</v>
      </c>
      <c r="C3488" s="8"/>
      <c r="D3488" s="8"/>
      <c r="E3488" s="8"/>
      <c r="F3488" s="8"/>
    </row>
    <row r="3489" ht="13.5" customHeight="1">
      <c r="A3489" s="8" t="s">
        <v>1864</v>
      </c>
      <c r="B3489" s="8">
        <v>53412.0</v>
      </c>
      <c r="C3489" s="8"/>
      <c r="D3489" s="8"/>
      <c r="E3489" s="8"/>
      <c r="F3489" s="8"/>
    </row>
    <row r="3490" ht="13.5" customHeight="1">
      <c r="A3490" s="8" t="s">
        <v>1869</v>
      </c>
      <c r="B3490" s="8">
        <v>53568.0</v>
      </c>
      <c r="C3490" s="8"/>
      <c r="D3490" s="8"/>
      <c r="E3490" s="8"/>
      <c r="F3490" s="8"/>
    </row>
    <row r="3491" ht="13.5" customHeight="1">
      <c r="A3491" s="8" t="s">
        <v>1513</v>
      </c>
      <c r="B3491" s="8">
        <v>53956.0</v>
      </c>
      <c r="C3491" s="8"/>
      <c r="D3491" s="8"/>
      <c r="E3491" s="8"/>
      <c r="F3491" s="8"/>
    </row>
    <row r="3492" ht="13.5" customHeight="1">
      <c r="A3492" s="8" t="s">
        <v>1880</v>
      </c>
      <c r="B3492" s="8">
        <v>54371.0</v>
      </c>
      <c r="C3492" s="8"/>
      <c r="D3492" s="8"/>
      <c r="E3492" s="8"/>
      <c r="F3492" s="8"/>
    </row>
    <row r="3493" ht="13.5" customHeight="1">
      <c r="A3493" s="8" t="s">
        <v>1880</v>
      </c>
      <c r="B3493" s="8">
        <v>54436.0</v>
      </c>
      <c r="C3493" s="8"/>
      <c r="D3493" s="8"/>
      <c r="E3493" s="8"/>
      <c r="F3493" s="8"/>
    </row>
    <row r="3494" ht="13.5" customHeight="1">
      <c r="A3494" s="8" t="s">
        <v>1126</v>
      </c>
      <c r="B3494" s="8">
        <v>54464.0</v>
      </c>
      <c r="C3494" s="8"/>
      <c r="D3494" s="8"/>
      <c r="E3494" s="8"/>
      <c r="F3494" s="8"/>
    </row>
    <row r="3495" ht="13.5" customHeight="1">
      <c r="A3495" s="8" t="s">
        <v>1842</v>
      </c>
      <c r="B3495" s="8">
        <v>54468.0</v>
      </c>
      <c r="C3495" s="8"/>
      <c r="D3495" s="8"/>
      <c r="E3495" s="8"/>
      <c r="F3495" s="8"/>
    </row>
    <row r="3496" ht="13.5" customHeight="1">
      <c r="A3496" s="8" t="s">
        <v>1678</v>
      </c>
      <c r="B3496" s="8">
        <v>54819.0</v>
      </c>
      <c r="C3496" s="8"/>
      <c r="D3496" s="8"/>
      <c r="E3496" s="8"/>
      <c r="F3496" s="8"/>
    </row>
    <row r="3497" ht="13.5" customHeight="1">
      <c r="A3497" s="8" t="s">
        <v>1460</v>
      </c>
      <c r="B3497" s="8">
        <v>54882.0</v>
      </c>
      <c r="C3497" s="8"/>
      <c r="D3497" s="8"/>
      <c r="E3497" s="8"/>
      <c r="F3497" s="8"/>
    </row>
    <row r="3498" ht="13.5" customHeight="1">
      <c r="A3498" s="8" t="s">
        <v>1164</v>
      </c>
      <c r="B3498" s="8">
        <v>55042.0</v>
      </c>
      <c r="C3498" s="8"/>
      <c r="D3498" s="8"/>
      <c r="E3498" s="8"/>
      <c r="F3498" s="8"/>
    </row>
    <row r="3499" ht="13.5" customHeight="1">
      <c r="A3499" s="8" t="s">
        <v>1848</v>
      </c>
      <c r="B3499" s="8">
        <v>55046.0</v>
      </c>
      <c r="C3499" s="8"/>
      <c r="D3499" s="8"/>
      <c r="E3499" s="8"/>
      <c r="F3499" s="8"/>
    </row>
    <row r="3500" ht="13.5" customHeight="1">
      <c r="A3500" s="8" t="s">
        <v>1884</v>
      </c>
      <c r="B3500" s="8">
        <v>55297.0</v>
      </c>
      <c r="C3500" s="8"/>
      <c r="D3500" s="8"/>
      <c r="E3500" s="8"/>
      <c r="F3500" s="8"/>
    </row>
    <row r="3501" ht="13.5" customHeight="1">
      <c r="A3501" s="8" t="s">
        <v>1164</v>
      </c>
      <c r="B3501" s="8">
        <v>55360.0</v>
      </c>
      <c r="C3501" s="8"/>
      <c r="D3501" s="8"/>
      <c r="E3501" s="8"/>
      <c r="F3501" s="8"/>
    </row>
    <row r="3502" ht="13.5" customHeight="1">
      <c r="A3502" s="8" t="s">
        <v>109</v>
      </c>
      <c r="B3502" s="8">
        <v>55623.0</v>
      </c>
      <c r="C3502" s="8"/>
      <c r="D3502" s="8"/>
      <c r="E3502" s="8"/>
      <c r="F3502" s="8"/>
    </row>
    <row r="3503" ht="13.5" customHeight="1">
      <c r="A3503" s="8" t="s">
        <v>1872</v>
      </c>
      <c r="B3503" s="8">
        <v>55650.0</v>
      </c>
      <c r="C3503" s="8"/>
      <c r="D3503" s="8"/>
      <c r="E3503" s="8"/>
      <c r="F3503" s="8"/>
    </row>
    <row r="3504" ht="13.5" customHeight="1">
      <c r="A3504" s="8" t="s">
        <v>1094</v>
      </c>
      <c r="B3504" s="8">
        <v>55651.0</v>
      </c>
      <c r="C3504" s="8"/>
      <c r="D3504" s="8"/>
      <c r="E3504" s="8"/>
      <c r="F3504" s="8"/>
    </row>
    <row r="3505" ht="13.5" customHeight="1">
      <c r="A3505" s="8" t="s">
        <v>1845</v>
      </c>
      <c r="B3505" s="8">
        <v>56322.0</v>
      </c>
      <c r="C3505" s="8"/>
      <c r="D3505" s="8"/>
      <c r="E3505" s="8"/>
      <c r="F3505" s="8"/>
    </row>
    <row r="3506" ht="13.5" customHeight="1">
      <c r="A3506" s="8" t="s">
        <v>1849</v>
      </c>
      <c r="B3506" s="8">
        <v>56608.0</v>
      </c>
      <c r="C3506" s="8"/>
      <c r="D3506" s="8"/>
      <c r="E3506" s="8"/>
      <c r="F3506" s="8"/>
    </row>
    <row r="3507" ht="13.5" customHeight="1">
      <c r="A3507" s="8" t="s">
        <v>1126</v>
      </c>
      <c r="B3507" s="8">
        <v>56612.0</v>
      </c>
      <c r="C3507" s="8"/>
      <c r="D3507" s="8"/>
      <c r="E3507" s="8"/>
      <c r="F3507" s="8"/>
    </row>
    <row r="3508" ht="13.5" customHeight="1">
      <c r="A3508" s="8" t="s">
        <v>1902</v>
      </c>
      <c r="B3508" s="8">
        <v>56835.0</v>
      </c>
      <c r="C3508" s="8"/>
      <c r="D3508" s="8"/>
      <c r="E3508" s="8"/>
      <c r="F3508" s="8"/>
    </row>
    <row r="3509" ht="13.5" customHeight="1">
      <c r="A3509" s="8" t="s">
        <v>109</v>
      </c>
      <c r="B3509" s="8">
        <v>57058.0</v>
      </c>
      <c r="C3509" s="8"/>
      <c r="D3509" s="8"/>
      <c r="E3509" s="8"/>
      <c r="F3509" s="8"/>
    </row>
    <row r="3510" ht="13.5" customHeight="1">
      <c r="A3510" s="8" t="s">
        <v>1848</v>
      </c>
      <c r="B3510" s="8">
        <v>57506.0</v>
      </c>
      <c r="C3510" s="8"/>
      <c r="D3510" s="8"/>
      <c r="E3510" s="8"/>
      <c r="F3510" s="8"/>
    </row>
    <row r="3511" ht="13.5" customHeight="1">
      <c r="A3511" s="8" t="s">
        <v>1868</v>
      </c>
      <c r="B3511" s="8">
        <v>57574.0</v>
      </c>
      <c r="C3511" s="8"/>
      <c r="D3511" s="8"/>
      <c r="E3511" s="8"/>
      <c r="F3511" s="8"/>
    </row>
    <row r="3512" ht="13.5" customHeight="1">
      <c r="A3512" s="8" t="s">
        <v>1886</v>
      </c>
      <c r="B3512" s="8">
        <v>57602.0</v>
      </c>
      <c r="C3512" s="8"/>
      <c r="D3512" s="8"/>
      <c r="E3512" s="8"/>
      <c r="F3512" s="8"/>
    </row>
    <row r="3513" ht="13.5" customHeight="1">
      <c r="A3513" s="8" t="s">
        <v>1718</v>
      </c>
      <c r="B3513" s="8">
        <v>57921.0</v>
      </c>
      <c r="C3513" s="8"/>
      <c r="D3513" s="8"/>
      <c r="E3513" s="8"/>
      <c r="F3513" s="8"/>
    </row>
    <row r="3514" ht="13.5" customHeight="1">
      <c r="A3514" s="8" t="s">
        <v>1856</v>
      </c>
      <c r="B3514" s="8">
        <v>57958.0</v>
      </c>
      <c r="C3514" s="8"/>
      <c r="D3514" s="8"/>
      <c r="E3514" s="8"/>
      <c r="F3514" s="8"/>
    </row>
    <row r="3515" ht="13.5" customHeight="1">
      <c r="A3515" s="8" t="s">
        <v>1718</v>
      </c>
      <c r="B3515" s="8">
        <v>58086.0</v>
      </c>
      <c r="C3515" s="8"/>
      <c r="D3515" s="8"/>
      <c r="E3515" s="8"/>
      <c r="F3515" s="8"/>
    </row>
    <row r="3516" ht="13.5" customHeight="1">
      <c r="A3516" s="8" t="s">
        <v>1879</v>
      </c>
      <c r="B3516" s="8">
        <v>58182.0</v>
      </c>
      <c r="C3516" s="8"/>
      <c r="D3516" s="8"/>
      <c r="E3516" s="8"/>
      <c r="F3516" s="8"/>
    </row>
    <row r="3517" ht="13.5" customHeight="1">
      <c r="A3517" s="8" t="s">
        <v>1891</v>
      </c>
      <c r="B3517" s="8">
        <v>58342.0</v>
      </c>
      <c r="C3517" s="8"/>
      <c r="D3517" s="8"/>
      <c r="E3517" s="8"/>
      <c r="F3517" s="8"/>
    </row>
    <row r="3518" ht="13.5" customHeight="1">
      <c r="A3518" s="8" t="s">
        <v>1870</v>
      </c>
      <c r="B3518" s="8">
        <v>59174.0</v>
      </c>
      <c r="C3518" s="8"/>
      <c r="D3518" s="8"/>
      <c r="E3518" s="8"/>
      <c r="F3518" s="8"/>
    </row>
    <row r="3519" ht="13.5" customHeight="1">
      <c r="A3519" s="8" t="s">
        <v>1881</v>
      </c>
      <c r="B3519" s="8">
        <v>59361.0</v>
      </c>
      <c r="C3519" s="8"/>
      <c r="D3519" s="8"/>
      <c r="E3519" s="8"/>
      <c r="F3519" s="8"/>
    </row>
    <row r="3520" ht="13.5" customHeight="1">
      <c r="A3520" s="8" t="s">
        <v>1874</v>
      </c>
      <c r="B3520" s="8">
        <v>59365.0</v>
      </c>
      <c r="C3520" s="8"/>
      <c r="D3520" s="8"/>
      <c r="E3520" s="8"/>
      <c r="F3520" s="8"/>
    </row>
    <row r="3521" ht="13.5" customHeight="1">
      <c r="A3521" s="8" t="s">
        <v>1889</v>
      </c>
      <c r="B3521" s="8">
        <v>59492.0</v>
      </c>
      <c r="C3521" s="8"/>
      <c r="D3521" s="8"/>
      <c r="E3521" s="8"/>
      <c r="F3521" s="8"/>
    </row>
    <row r="3522" ht="13.5" customHeight="1">
      <c r="A3522" s="8" t="s">
        <v>1847</v>
      </c>
      <c r="B3522" s="8">
        <v>59684.0</v>
      </c>
      <c r="C3522" s="8"/>
      <c r="D3522" s="8"/>
      <c r="E3522" s="8"/>
      <c r="F3522" s="8"/>
    </row>
    <row r="3523" ht="13.5" customHeight="1">
      <c r="A3523" s="8" t="s">
        <v>1906</v>
      </c>
      <c r="B3523" s="8">
        <v>512.0</v>
      </c>
      <c r="C3523" s="8"/>
      <c r="D3523" s="8"/>
      <c r="E3523" s="8"/>
      <c r="F3523" s="8"/>
    </row>
    <row r="3524" ht="13.5" customHeight="1">
      <c r="A3524" s="8" t="s">
        <v>1907</v>
      </c>
      <c r="B3524" s="8">
        <v>1287.0</v>
      </c>
      <c r="C3524" s="8"/>
      <c r="D3524" s="8"/>
      <c r="E3524" s="8"/>
      <c r="F3524" s="8"/>
    </row>
    <row r="3525" ht="13.5" customHeight="1">
      <c r="A3525" s="8" t="s">
        <v>1907</v>
      </c>
      <c r="B3525" s="8">
        <v>1895.0</v>
      </c>
      <c r="C3525" s="8"/>
      <c r="D3525" s="8"/>
      <c r="E3525" s="8"/>
      <c r="F3525" s="8"/>
    </row>
    <row r="3526" ht="13.5" customHeight="1">
      <c r="A3526" s="8" t="s">
        <v>1906</v>
      </c>
      <c r="B3526" s="8">
        <v>2023.0</v>
      </c>
      <c r="C3526" s="8"/>
      <c r="D3526" s="8"/>
      <c r="E3526" s="8"/>
      <c r="F3526" s="8"/>
    </row>
    <row r="3527" ht="13.5" customHeight="1">
      <c r="A3527" s="8" t="s">
        <v>1908</v>
      </c>
      <c r="B3527" s="8">
        <v>2593.0</v>
      </c>
      <c r="C3527" s="8"/>
      <c r="D3527" s="8"/>
      <c r="E3527" s="8"/>
      <c r="F3527" s="8"/>
    </row>
    <row r="3528" ht="13.5" customHeight="1">
      <c r="A3528" s="8" t="s">
        <v>1909</v>
      </c>
      <c r="B3528" s="8">
        <v>3461.0</v>
      </c>
      <c r="C3528" s="8"/>
      <c r="D3528" s="8"/>
      <c r="E3528" s="8"/>
      <c r="F3528" s="8"/>
    </row>
    <row r="3529" ht="13.5" customHeight="1">
      <c r="A3529" s="8" t="s">
        <v>1028</v>
      </c>
      <c r="B3529" s="8">
        <v>3554.0</v>
      </c>
      <c r="C3529" s="8"/>
      <c r="D3529" s="8"/>
      <c r="E3529" s="8"/>
      <c r="F3529" s="8"/>
    </row>
    <row r="3530" ht="13.5" customHeight="1">
      <c r="A3530" s="8" t="s">
        <v>1852</v>
      </c>
      <c r="B3530" s="8">
        <v>4166.0</v>
      </c>
      <c r="C3530" s="8"/>
      <c r="D3530" s="8"/>
      <c r="E3530" s="8"/>
      <c r="F3530" s="8"/>
    </row>
    <row r="3531" ht="13.5" customHeight="1">
      <c r="A3531" s="8" t="s">
        <v>1910</v>
      </c>
      <c r="B3531" s="8">
        <v>5059.0</v>
      </c>
      <c r="C3531" s="8"/>
      <c r="D3531" s="8"/>
      <c r="E3531" s="8"/>
      <c r="F3531" s="8"/>
    </row>
    <row r="3532" ht="13.5" customHeight="1">
      <c r="A3532" s="8" t="s">
        <v>1912</v>
      </c>
      <c r="B3532" s="8">
        <v>5254.0</v>
      </c>
      <c r="C3532" s="8"/>
      <c r="D3532" s="8"/>
      <c r="E3532" s="8"/>
      <c r="F3532" s="8"/>
    </row>
    <row r="3533" ht="13.5" customHeight="1">
      <c r="A3533" s="8" t="s">
        <v>1913</v>
      </c>
      <c r="B3533" s="8">
        <v>5575.0</v>
      </c>
      <c r="C3533" s="8"/>
      <c r="D3533" s="8"/>
      <c r="E3533" s="8"/>
      <c r="F3533" s="8"/>
    </row>
    <row r="3534" ht="13.5" customHeight="1">
      <c r="A3534" s="8" t="s">
        <v>1028</v>
      </c>
      <c r="B3534" s="8">
        <v>5954.0</v>
      </c>
      <c r="C3534" s="8"/>
      <c r="D3534" s="8"/>
      <c r="E3534" s="8"/>
      <c r="F3534" s="8"/>
    </row>
    <row r="3535" ht="13.5" customHeight="1">
      <c r="A3535" s="8" t="s">
        <v>1915</v>
      </c>
      <c r="B3535" s="8">
        <v>6018.0</v>
      </c>
      <c r="C3535" s="8"/>
      <c r="D3535" s="8"/>
      <c r="E3535" s="8"/>
      <c r="F3535" s="8"/>
    </row>
    <row r="3536" ht="13.5" customHeight="1">
      <c r="A3536" s="8" t="s">
        <v>1916</v>
      </c>
      <c r="B3536" s="8">
        <v>6336.0</v>
      </c>
      <c r="C3536" s="8"/>
      <c r="D3536" s="8"/>
      <c r="E3536" s="8"/>
      <c r="F3536" s="8"/>
    </row>
    <row r="3537" ht="13.5" customHeight="1">
      <c r="A3537" s="8" t="s">
        <v>1852</v>
      </c>
      <c r="B3537" s="8">
        <v>7559.0</v>
      </c>
      <c r="C3537" s="8"/>
      <c r="D3537" s="8"/>
      <c r="E3537" s="8"/>
      <c r="F3537" s="8"/>
    </row>
    <row r="3538" ht="13.5" customHeight="1">
      <c r="A3538" s="8" t="s">
        <v>1913</v>
      </c>
      <c r="B3538" s="8">
        <v>8070.0</v>
      </c>
      <c r="C3538" s="8"/>
      <c r="D3538" s="8"/>
      <c r="E3538" s="8"/>
      <c r="F3538" s="8"/>
    </row>
    <row r="3539" ht="13.5" customHeight="1">
      <c r="A3539" s="8" t="s">
        <v>1904</v>
      </c>
      <c r="B3539" s="8">
        <v>8259.0</v>
      </c>
      <c r="C3539" s="8"/>
      <c r="D3539" s="8"/>
      <c r="E3539" s="8"/>
      <c r="F3539" s="8"/>
    </row>
    <row r="3540" ht="13.5" customHeight="1">
      <c r="A3540" s="8" t="s">
        <v>1852</v>
      </c>
      <c r="B3540" s="8">
        <v>8642.0</v>
      </c>
      <c r="C3540" s="8"/>
      <c r="D3540" s="8"/>
      <c r="E3540" s="8"/>
      <c r="F3540" s="8"/>
    </row>
    <row r="3541" ht="13.5" customHeight="1">
      <c r="A3541" s="8" t="s">
        <v>1912</v>
      </c>
      <c r="B3541" s="8">
        <v>8803.0</v>
      </c>
      <c r="C3541" s="8"/>
      <c r="D3541" s="8"/>
      <c r="E3541" s="8"/>
      <c r="F3541" s="8"/>
    </row>
    <row r="3542" ht="13.5" customHeight="1">
      <c r="A3542" s="8" t="s">
        <v>1908</v>
      </c>
      <c r="B3542" s="8">
        <v>9383.0</v>
      </c>
      <c r="C3542" s="8"/>
      <c r="D3542" s="8"/>
      <c r="E3542" s="8"/>
      <c r="F3542" s="8"/>
    </row>
    <row r="3543" ht="13.5" customHeight="1">
      <c r="A3543" s="8" t="s">
        <v>1913</v>
      </c>
      <c r="B3543" s="8">
        <v>10278.0</v>
      </c>
      <c r="C3543" s="8"/>
      <c r="D3543" s="8"/>
      <c r="E3543" s="8"/>
      <c r="F3543" s="8"/>
    </row>
    <row r="3544" ht="13.5" customHeight="1">
      <c r="A3544" s="8" t="s">
        <v>1917</v>
      </c>
      <c r="B3544" s="8">
        <v>10949.0</v>
      </c>
      <c r="C3544" s="8"/>
      <c r="D3544" s="8"/>
      <c r="E3544" s="8"/>
      <c r="F3544" s="8"/>
    </row>
    <row r="3545" ht="13.5" customHeight="1">
      <c r="A3545" s="8" t="s">
        <v>1020</v>
      </c>
      <c r="B3545" s="8">
        <v>11335.0</v>
      </c>
      <c r="C3545" s="8"/>
      <c r="D3545" s="8"/>
      <c r="E3545" s="8"/>
      <c r="F3545" s="8"/>
    </row>
    <row r="3546" ht="13.5" customHeight="1">
      <c r="A3546" s="8" t="s">
        <v>1906</v>
      </c>
      <c r="B3546" s="8">
        <v>13127.0</v>
      </c>
      <c r="C3546" s="8"/>
      <c r="D3546" s="8"/>
      <c r="E3546" s="8"/>
      <c r="F3546" s="8"/>
    </row>
    <row r="3547" ht="13.5" customHeight="1">
      <c r="A3547" s="8" t="s">
        <v>1910</v>
      </c>
      <c r="B3547" s="8">
        <v>14978.0</v>
      </c>
      <c r="C3547" s="8"/>
      <c r="D3547" s="8"/>
      <c r="E3547" s="8"/>
      <c r="F3547" s="8"/>
    </row>
    <row r="3548" ht="13.5" customHeight="1">
      <c r="A3548" s="8" t="s">
        <v>1020</v>
      </c>
      <c r="B3548" s="8">
        <v>15751.0</v>
      </c>
      <c r="C3548" s="8"/>
      <c r="D3548" s="8"/>
      <c r="E3548" s="8"/>
      <c r="F3548" s="8"/>
    </row>
    <row r="3549" ht="13.5" customHeight="1">
      <c r="A3549" s="8" t="s">
        <v>1907</v>
      </c>
      <c r="B3549" s="8">
        <v>15815.0</v>
      </c>
      <c r="C3549" s="8"/>
      <c r="D3549" s="8"/>
      <c r="E3549" s="8"/>
      <c r="F3549" s="8"/>
    </row>
    <row r="3550" ht="13.5" customHeight="1">
      <c r="A3550" s="8" t="s">
        <v>1915</v>
      </c>
      <c r="B3550" s="8">
        <v>16737.0</v>
      </c>
      <c r="C3550" s="8"/>
      <c r="D3550" s="8"/>
      <c r="E3550" s="8"/>
      <c r="F3550" s="8"/>
    </row>
    <row r="3551" ht="13.5" customHeight="1">
      <c r="A3551" s="8" t="s">
        <v>1912</v>
      </c>
      <c r="B3551" s="8">
        <v>17124.0</v>
      </c>
      <c r="C3551" s="8"/>
      <c r="D3551" s="8"/>
      <c r="E3551" s="8"/>
      <c r="F3551" s="8"/>
    </row>
    <row r="3552" ht="13.5" customHeight="1">
      <c r="A3552" s="8" t="s">
        <v>1906</v>
      </c>
      <c r="B3552" s="8">
        <v>17666.0</v>
      </c>
      <c r="C3552" s="8"/>
      <c r="D3552" s="8"/>
      <c r="E3552" s="8"/>
      <c r="F3552" s="8"/>
    </row>
    <row r="3553" ht="13.5" customHeight="1">
      <c r="A3553" s="8" t="s">
        <v>1916</v>
      </c>
      <c r="B3553" s="8">
        <v>19075.0</v>
      </c>
      <c r="C3553" s="8"/>
      <c r="D3553" s="8"/>
      <c r="E3553" s="8"/>
      <c r="F3553" s="8"/>
    </row>
    <row r="3554" ht="13.5" customHeight="1">
      <c r="A3554" s="8" t="s">
        <v>1913</v>
      </c>
      <c r="B3554" s="8">
        <v>21220.0</v>
      </c>
      <c r="C3554" s="8"/>
      <c r="D3554" s="8"/>
      <c r="E3554" s="8"/>
      <c r="F3554" s="8"/>
    </row>
    <row r="3555" ht="13.5" customHeight="1">
      <c r="A3555" s="8" t="s">
        <v>1917</v>
      </c>
      <c r="B3555" s="8">
        <v>21600.0</v>
      </c>
      <c r="C3555" s="8"/>
      <c r="D3555" s="8"/>
      <c r="E3555" s="8"/>
      <c r="F3555" s="8"/>
    </row>
    <row r="3556" ht="13.5" customHeight="1">
      <c r="A3556" s="8" t="s">
        <v>1913</v>
      </c>
      <c r="B3556" s="8">
        <v>22117.0</v>
      </c>
      <c r="C3556" s="8"/>
      <c r="D3556" s="8"/>
      <c r="E3556" s="8"/>
      <c r="F3556" s="8"/>
    </row>
    <row r="3557" ht="13.5" customHeight="1">
      <c r="A3557" s="8" t="s">
        <v>1904</v>
      </c>
      <c r="B3557" s="8">
        <v>22211.0</v>
      </c>
      <c r="C3557" s="8"/>
      <c r="D3557" s="8"/>
      <c r="E3557" s="8"/>
      <c r="F3557" s="8"/>
    </row>
    <row r="3558" ht="13.5" customHeight="1">
      <c r="A3558" s="8" t="s">
        <v>1916</v>
      </c>
      <c r="B3558" s="8">
        <v>22404.0</v>
      </c>
      <c r="C3558" s="8"/>
      <c r="D3558" s="8"/>
      <c r="E3558" s="8"/>
      <c r="F3558" s="8"/>
    </row>
    <row r="3559" ht="13.5" customHeight="1">
      <c r="A3559" s="8" t="s">
        <v>1910</v>
      </c>
      <c r="B3559" s="8">
        <v>23362.0</v>
      </c>
      <c r="C3559" s="8"/>
      <c r="D3559" s="8"/>
      <c r="E3559" s="8"/>
      <c r="F3559" s="8"/>
    </row>
    <row r="3560" ht="13.5" customHeight="1">
      <c r="A3560" s="8" t="s">
        <v>1910</v>
      </c>
      <c r="B3560" s="8">
        <v>23399.0</v>
      </c>
      <c r="C3560" s="8"/>
      <c r="D3560" s="8"/>
      <c r="E3560" s="8"/>
      <c r="F3560" s="8"/>
    </row>
    <row r="3561" ht="13.5" customHeight="1">
      <c r="A3561" s="8" t="s">
        <v>1917</v>
      </c>
      <c r="B3561" s="8">
        <v>23781.0</v>
      </c>
      <c r="C3561" s="8"/>
      <c r="D3561" s="8"/>
      <c r="E3561" s="8"/>
      <c r="F3561" s="8"/>
    </row>
    <row r="3562" ht="13.5" customHeight="1">
      <c r="A3562" s="8" t="s">
        <v>1915</v>
      </c>
      <c r="B3562" s="8">
        <v>23812.0</v>
      </c>
      <c r="C3562" s="8"/>
      <c r="D3562" s="8"/>
      <c r="E3562" s="8"/>
      <c r="F3562" s="8"/>
    </row>
    <row r="3563" ht="13.5" customHeight="1">
      <c r="A3563" s="8" t="s">
        <v>1910</v>
      </c>
      <c r="B3563" s="8">
        <v>24199.0</v>
      </c>
      <c r="C3563" s="8"/>
      <c r="D3563" s="8"/>
      <c r="E3563" s="8"/>
      <c r="F3563" s="8"/>
    </row>
    <row r="3564" ht="13.5" customHeight="1">
      <c r="A3564" s="8" t="s">
        <v>1908</v>
      </c>
      <c r="B3564" s="8">
        <v>25155.0</v>
      </c>
      <c r="C3564" s="8"/>
      <c r="D3564" s="8"/>
      <c r="E3564" s="8"/>
      <c r="F3564" s="8"/>
    </row>
    <row r="3565" ht="13.5" customHeight="1">
      <c r="A3565" s="8" t="s">
        <v>1852</v>
      </c>
      <c r="B3565" s="8">
        <v>26084.0</v>
      </c>
      <c r="C3565" s="8"/>
      <c r="D3565" s="8"/>
      <c r="E3565" s="8"/>
      <c r="F3565" s="8"/>
    </row>
    <row r="3566" ht="13.5" customHeight="1">
      <c r="A3566" s="8" t="s">
        <v>1908</v>
      </c>
      <c r="B3566" s="8">
        <v>26146.0</v>
      </c>
      <c r="C3566" s="8"/>
      <c r="D3566" s="8"/>
      <c r="E3566" s="8"/>
      <c r="F3566" s="8"/>
    </row>
    <row r="3567" ht="13.5" customHeight="1">
      <c r="A3567" s="8" t="s">
        <v>1920</v>
      </c>
      <c r="B3567" s="8">
        <v>26529.0</v>
      </c>
      <c r="C3567" s="8"/>
      <c r="D3567" s="8"/>
      <c r="E3567" s="8"/>
      <c r="F3567" s="8"/>
    </row>
    <row r="3568" ht="13.5" customHeight="1">
      <c r="A3568" s="8" t="s">
        <v>1912</v>
      </c>
      <c r="B3568" s="8">
        <v>26693.0</v>
      </c>
      <c r="C3568" s="8"/>
      <c r="D3568" s="8"/>
      <c r="E3568" s="8"/>
      <c r="F3568" s="8"/>
    </row>
    <row r="3569" ht="13.5" customHeight="1">
      <c r="A3569" s="8" t="s">
        <v>1921</v>
      </c>
      <c r="B3569" s="8">
        <v>26951.0</v>
      </c>
      <c r="C3569" s="8"/>
      <c r="D3569" s="8"/>
      <c r="E3569" s="8"/>
      <c r="F3569" s="8"/>
    </row>
    <row r="3570" ht="13.5" customHeight="1">
      <c r="A3570" s="8" t="s">
        <v>1852</v>
      </c>
      <c r="B3570" s="8">
        <v>27141.0</v>
      </c>
      <c r="C3570" s="8"/>
      <c r="D3570" s="8"/>
      <c r="E3570" s="8"/>
      <c r="F3570" s="8"/>
    </row>
    <row r="3571" ht="13.5" customHeight="1">
      <c r="A3571" s="8" t="s">
        <v>1020</v>
      </c>
      <c r="B3571" s="8">
        <v>27302.0</v>
      </c>
      <c r="C3571" s="8"/>
      <c r="D3571" s="8"/>
      <c r="E3571" s="8"/>
      <c r="F3571" s="8"/>
    </row>
    <row r="3572" ht="13.5" customHeight="1">
      <c r="A3572" s="8" t="s">
        <v>1912</v>
      </c>
      <c r="B3572" s="8">
        <v>27426.0</v>
      </c>
      <c r="C3572" s="8"/>
      <c r="D3572" s="8"/>
      <c r="E3572" s="8"/>
      <c r="F3572" s="8"/>
    </row>
    <row r="3573" ht="13.5" customHeight="1">
      <c r="A3573" s="8" t="s">
        <v>1096</v>
      </c>
      <c r="B3573" s="8">
        <v>27810.0</v>
      </c>
      <c r="C3573" s="8"/>
      <c r="D3573" s="8"/>
      <c r="E3573" s="8"/>
      <c r="F3573" s="8"/>
    </row>
    <row r="3574" ht="13.5" customHeight="1">
      <c r="A3574" s="8" t="s">
        <v>1909</v>
      </c>
      <c r="B3574" s="8">
        <v>28674.0</v>
      </c>
      <c r="C3574" s="8"/>
      <c r="D3574" s="8"/>
      <c r="E3574" s="8"/>
      <c r="F3574" s="8"/>
    </row>
    <row r="3575" ht="13.5" customHeight="1">
      <c r="A3575" s="8" t="s">
        <v>1913</v>
      </c>
      <c r="B3575" s="8">
        <v>28742.0</v>
      </c>
      <c r="C3575" s="8"/>
      <c r="D3575" s="8"/>
      <c r="E3575" s="8"/>
      <c r="F3575" s="8"/>
    </row>
    <row r="3576" ht="13.5" customHeight="1">
      <c r="A3576" s="8" t="s">
        <v>1922</v>
      </c>
      <c r="B3576" s="8">
        <v>28772.0</v>
      </c>
      <c r="C3576" s="8"/>
      <c r="D3576" s="8"/>
      <c r="E3576" s="8"/>
      <c r="F3576" s="8"/>
    </row>
    <row r="3577" ht="13.5" customHeight="1">
      <c r="A3577" s="8" t="s">
        <v>1917</v>
      </c>
      <c r="B3577" s="8">
        <v>29152.0</v>
      </c>
      <c r="C3577" s="8"/>
      <c r="D3577" s="8"/>
      <c r="E3577" s="8"/>
      <c r="F3577" s="8"/>
    </row>
    <row r="3578" ht="13.5" customHeight="1">
      <c r="A3578" s="8" t="s">
        <v>1852</v>
      </c>
      <c r="B3578" s="8">
        <v>29639.0</v>
      </c>
      <c r="C3578" s="8"/>
      <c r="D3578" s="8"/>
      <c r="E3578" s="8"/>
      <c r="F3578" s="8"/>
    </row>
    <row r="3579" ht="13.5" customHeight="1">
      <c r="A3579" s="8" t="s">
        <v>1852</v>
      </c>
      <c r="B3579" s="8">
        <v>30407.0</v>
      </c>
      <c r="C3579" s="8"/>
      <c r="D3579" s="8"/>
      <c r="E3579" s="8"/>
      <c r="F3579" s="8"/>
    </row>
    <row r="3580" ht="13.5" customHeight="1">
      <c r="A3580" s="8" t="s">
        <v>1912</v>
      </c>
      <c r="B3580" s="8">
        <v>31175.0</v>
      </c>
      <c r="C3580" s="8"/>
      <c r="D3580" s="8"/>
      <c r="E3580" s="8"/>
      <c r="F3580" s="8"/>
    </row>
    <row r="3581" ht="13.5" customHeight="1">
      <c r="A3581" s="8" t="s">
        <v>1904</v>
      </c>
      <c r="B3581" s="8">
        <v>32455.0</v>
      </c>
      <c r="C3581" s="8"/>
      <c r="D3581" s="8"/>
      <c r="E3581" s="8"/>
      <c r="F3581" s="8"/>
    </row>
    <row r="3582" ht="13.5" customHeight="1">
      <c r="A3582" s="8" t="s">
        <v>1912</v>
      </c>
      <c r="B3582" s="8">
        <v>32484.0</v>
      </c>
      <c r="C3582" s="8"/>
      <c r="D3582" s="8"/>
      <c r="E3582" s="8"/>
      <c r="F3582" s="8"/>
    </row>
    <row r="3583" ht="13.5" customHeight="1">
      <c r="A3583" s="8" t="s">
        <v>1907</v>
      </c>
      <c r="B3583" s="8">
        <v>34402.0</v>
      </c>
      <c r="C3583" s="8"/>
      <c r="D3583" s="8"/>
      <c r="E3583" s="8"/>
      <c r="F3583" s="8"/>
    </row>
    <row r="3584" ht="13.5" customHeight="1">
      <c r="A3584" s="8" t="s">
        <v>1923</v>
      </c>
      <c r="B3584" s="8">
        <v>34723.0</v>
      </c>
      <c r="C3584" s="8"/>
      <c r="D3584" s="8"/>
      <c r="E3584" s="8"/>
      <c r="F3584" s="8"/>
    </row>
    <row r="3585" ht="13.5" customHeight="1">
      <c r="A3585" s="8" t="s">
        <v>1923</v>
      </c>
      <c r="B3585" s="8">
        <v>34757.0</v>
      </c>
      <c r="C3585" s="8"/>
      <c r="D3585" s="8"/>
      <c r="E3585" s="8"/>
      <c r="F3585" s="8"/>
    </row>
    <row r="3586" ht="13.5" customHeight="1">
      <c r="A3586" s="8" t="s">
        <v>1912</v>
      </c>
      <c r="B3586" s="8">
        <v>34913.0</v>
      </c>
      <c r="C3586" s="8"/>
      <c r="D3586" s="8"/>
      <c r="E3586" s="8"/>
      <c r="F3586" s="8"/>
    </row>
    <row r="3587" ht="13.5" customHeight="1">
      <c r="A3587" s="8" t="s">
        <v>1904</v>
      </c>
      <c r="B3587" s="8">
        <v>35136.0</v>
      </c>
      <c r="C3587" s="8"/>
      <c r="D3587" s="8"/>
      <c r="E3587" s="8"/>
      <c r="F3587" s="8"/>
    </row>
    <row r="3588" ht="13.5" customHeight="1">
      <c r="A3588" s="8" t="s">
        <v>1910</v>
      </c>
      <c r="B3588" s="8">
        <v>35299.0</v>
      </c>
      <c r="C3588" s="8"/>
      <c r="D3588" s="8"/>
      <c r="E3588" s="8"/>
      <c r="F3588" s="8"/>
    </row>
    <row r="3589" ht="13.5" customHeight="1">
      <c r="A3589" s="8" t="s">
        <v>1907</v>
      </c>
      <c r="B3589" s="8">
        <v>36676.0</v>
      </c>
      <c r="C3589" s="8"/>
      <c r="D3589" s="8"/>
      <c r="E3589" s="8"/>
      <c r="F3589" s="8"/>
    </row>
    <row r="3590" ht="13.5" customHeight="1">
      <c r="A3590" s="8" t="s">
        <v>1912</v>
      </c>
      <c r="B3590" s="8">
        <v>36708.0</v>
      </c>
      <c r="C3590" s="8"/>
      <c r="D3590" s="8"/>
      <c r="E3590" s="8"/>
      <c r="F3590" s="8"/>
    </row>
    <row r="3591" ht="13.5" customHeight="1">
      <c r="A3591" s="8" t="s">
        <v>1912</v>
      </c>
      <c r="B3591" s="8">
        <v>36835.0</v>
      </c>
      <c r="C3591" s="8"/>
      <c r="D3591" s="8"/>
      <c r="E3591" s="8"/>
      <c r="F3591" s="8"/>
    </row>
    <row r="3592" ht="13.5" customHeight="1">
      <c r="A3592" s="8" t="s">
        <v>1908</v>
      </c>
      <c r="B3592" s="8">
        <v>37127.0</v>
      </c>
      <c r="C3592" s="8"/>
      <c r="D3592" s="8"/>
      <c r="E3592" s="8"/>
      <c r="F3592" s="8"/>
    </row>
    <row r="3593" ht="13.5" customHeight="1">
      <c r="A3593" s="8" t="s">
        <v>1904</v>
      </c>
      <c r="B3593" s="8">
        <v>37667.0</v>
      </c>
      <c r="C3593" s="8"/>
      <c r="D3593" s="8"/>
      <c r="E3593" s="8"/>
      <c r="F3593" s="8"/>
    </row>
    <row r="3594" ht="13.5" customHeight="1">
      <c r="A3594" s="8" t="s">
        <v>1396</v>
      </c>
      <c r="B3594" s="8">
        <v>37825.0</v>
      </c>
      <c r="C3594" s="8"/>
      <c r="D3594" s="8"/>
      <c r="E3594" s="8"/>
      <c r="F3594" s="8"/>
    </row>
    <row r="3595" ht="13.5" customHeight="1">
      <c r="A3595" s="8" t="s">
        <v>1852</v>
      </c>
      <c r="B3595" s="8">
        <v>37861.0</v>
      </c>
      <c r="C3595" s="8"/>
      <c r="D3595" s="8"/>
      <c r="E3595" s="8"/>
      <c r="F3595" s="8"/>
    </row>
    <row r="3596" ht="13.5" customHeight="1">
      <c r="A3596" s="8" t="s">
        <v>1913</v>
      </c>
      <c r="B3596" s="8">
        <v>37926.0</v>
      </c>
      <c r="C3596" s="8"/>
      <c r="D3596" s="8"/>
      <c r="E3596" s="8"/>
      <c r="F3596" s="8"/>
    </row>
    <row r="3597" ht="13.5" customHeight="1">
      <c r="A3597" s="8" t="s">
        <v>1920</v>
      </c>
      <c r="B3597" s="8">
        <v>38304.0</v>
      </c>
      <c r="C3597" s="8"/>
      <c r="D3597" s="8"/>
      <c r="E3597" s="8"/>
      <c r="F3597" s="8"/>
    </row>
    <row r="3598" ht="13.5" customHeight="1">
      <c r="A3598" s="8" t="s">
        <v>1922</v>
      </c>
      <c r="B3598" s="8">
        <v>38978.0</v>
      </c>
      <c r="C3598" s="8"/>
      <c r="D3598" s="8"/>
      <c r="E3598" s="8"/>
      <c r="F3598" s="8"/>
    </row>
    <row r="3599" ht="13.5" customHeight="1">
      <c r="A3599" s="8" t="s">
        <v>1906</v>
      </c>
      <c r="B3599" s="8">
        <v>39267.0</v>
      </c>
      <c r="C3599" s="8"/>
      <c r="D3599" s="8"/>
      <c r="E3599" s="8"/>
      <c r="F3599" s="8"/>
    </row>
    <row r="3600" ht="13.5" customHeight="1">
      <c r="A3600" s="8" t="s">
        <v>1920</v>
      </c>
      <c r="B3600" s="8">
        <v>40772.0</v>
      </c>
      <c r="C3600" s="8"/>
      <c r="D3600" s="8"/>
      <c r="E3600" s="8"/>
      <c r="F3600" s="8"/>
    </row>
    <row r="3601" ht="13.5" customHeight="1">
      <c r="A3601" s="8" t="s">
        <v>1852</v>
      </c>
      <c r="B3601" s="8">
        <v>40928.0</v>
      </c>
      <c r="C3601" s="8"/>
      <c r="D3601" s="8"/>
      <c r="E3601" s="8"/>
      <c r="F3601" s="8"/>
    </row>
    <row r="3602" ht="13.5" customHeight="1">
      <c r="A3602" s="8" t="s">
        <v>1921</v>
      </c>
      <c r="B3602" s="8">
        <v>41216.0</v>
      </c>
      <c r="C3602" s="8"/>
      <c r="D3602" s="8"/>
      <c r="E3602" s="8"/>
      <c r="F3602" s="8"/>
    </row>
    <row r="3603" ht="13.5" customHeight="1">
      <c r="A3603" s="8" t="s">
        <v>1096</v>
      </c>
      <c r="B3603" s="8">
        <v>42310.0</v>
      </c>
      <c r="C3603" s="8"/>
      <c r="D3603" s="8"/>
      <c r="E3603" s="8"/>
      <c r="F3603" s="8"/>
    </row>
    <row r="3604" ht="13.5" customHeight="1">
      <c r="A3604" s="8" t="s">
        <v>1922</v>
      </c>
      <c r="B3604" s="8">
        <v>42403.0</v>
      </c>
      <c r="C3604" s="8"/>
      <c r="D3604" s="8"/>
      <c r="E3604" s="8"/>
      <c r="F3604" s="8"/>
    </row>
    <row r="3605" ht="13.5" customHeight="1">
      <c r="A3605" s="8" t="s">
        <v>1396</v>
      </c>
      <c r="B3605" s="8">
        <v>43138.0</v>
      </c>
      <c r="C3605" s="8"/>
      <c r="D3605" s="8"/>
      <c r="E3605" s="8"/>
      <c r="F3605" s="8"/>
    </row>
    <row r="3606" ht="13.5" customHeight="1">
      <c r="A3606" s="8" t="s">
        <v>1908</v>
      </c>
      <c r="B3606" s="8">
        <v>43206.0</v>
      </c>
      <c r="C3606" s="8"/>
      <c r="D3606" s="8"/>
      <c r="E3606" s="8"/>
      <c r="F3606" s="8"/>
    </row>
    <row r="3607" ht="13.5" customHeight="1">
      <c r="A3607" s="8" t="s">
        <v>1096</v>
      </c>
      <c r="B3607" s="8">
        <v>43207.0</v>
      </c>
      <c r="C3607" s="8"/>
      <c r="D3607" s="8"/>
      <c r="E3607" s="8"/>
      <c r="F3607" s="8"/>
    </row>
    <row r="3608" ht="13.5" customHeight="1">
      <c r="A3608" s="8" t="s">
        <v>1912</v>
      </c>
      <c r="B3608" s="8">
        <v>43650.0</v>
      </c>
      <c r="C3608" s="8"/>
      <c r="D3608" s="8"/>
      <c r="E3608" s="8"/>
      <c r="F3608" s="8"/>
    </row>
    <row r="3609" ht="13.5" customHeight="1">
      <c r="A3609" s="8" t="s">
        <v>1904</v>
      </c>
      <c r="B3609" s="8">
        <v>44290.0</v>
      </c>
      <c r="C3609" s="8"/>
      <c r="D3609" s="8"/>
      <c r="E3609" s="8"/>
      <c r="F3609" s="8"/>
    </row>
    <row r="3610" ht="13.5" customHeight="1">
      <c r="A3610" s="8" t="s">
        <v>1923</v>
      </c>
      <c r="B3610" s="8">
        <v>44613.0</v>
      </c>
      <c r="C3610" s="8"/>
      <c r="D3610" s="8"/>
      <c r="E3610" s="8"/>
      <c r="F3610" s="8"/>
    </row>
    <row r="3611" ht="13.5" customHeight="1">
      <c r="A3611" s="8" t="s">
        <v>1904</v>
      </c>
      <c r="B3611" s="8">
        <v>44965.0</v>
      </c>
      <c r="C3611" s="8"/>
      <c r="D3611" s="8"/>
      <c r="E3611" s="8"/>
      <c r="F3611" s="8"/>
    </row>
    <row r="3612" ht="13.5" customHeight="1">
      <c r="A3612" s="8" t="s">
        <v>1020</v>
      </c>
      <c r="B3612" s="8">
        <v>45733.0</v>
      </c>
      <c r="C3612" s="8"/>
      <c r="D3612" s="8"/>
      <c r="E3612" s="8"/>
      <c r="F3612" s="8"/>
    </row>
    <row r="3613" ht="13.5" customHeight="1">
      <c r="A3613" s="8" t="s">
        <v>1852</v>
      </c>
      <c r="B3613" s="8">
        <v>45893.0</v>
      </c>
      <c r="C3613" s="8"/>
      <c r="D3613" s="8"/>
      <c r="E3613" s="8"/>
      <c r="F3613" s="8"/>
    </row>
    <row r="3614" ht="13.5" customHeight="1">
      <c r="A3614" s="8" t="s">
        <v>1922</v>
      </c>
      <c r="B3614" s="8">
        <v>46113.0</v>
      </c>
      <c r="C3614" s="8"/>
      <c r="D3614" s="8"/>
      <c r="E3614" s="8"/>
      <c r="F3614" s="8"/>
    </row>
    <row r="3615" ht="13.5" customHeight="1">
      <c r="A3615" s="8" t="s">
        <v>1904</v>
      </c>
      <c r="B3615" s="8">
        <v>46311.0</v>
      </c>
      <c r="C3615" s="8"/>
      <c r="D3615" s="8"/>
      <c r="E3615" s="8"/>
      <c r="F3615" s="8"/>
    </row>
    <row r="3616" ht="13.5" customHeight="1">
      <c r="A3616" s="8" t="s">
        <v>1904</v>
      </c>
      <c r="B3616" s="8">
        <v>47398.0</v>
      </c>
      <c r="C3616" s="8"/>
      <c r="D3616" s="8"/>
      <c r="E3616" s="8"/>
      <c r="F3616" s="8"/>
    </row>
    <row r="3617" ht="13.5" customHeight="1">
      <c r="A3617" s="8" t="s">
        <v>1908</v>
      </c>
      <c r="B3617" s="8">
        <v>47554.0</v>
      </c>
      <c r="C3617" s="8"/>
      <c r="D3617" s="8"/>
      <c r="E3617" s="8"/>
      <c r="F3617" s="8"/>
    </row>
    <row r="3618" ht="13.5" customHeight="1">
      <c r="A3618" s="8" t="s">
        <v>1913</v>
      </c>
      <c r="B3618" s="8">
        <v>49346.0</v>
      </c>
      <c r="C3618" s="8"/>
      <c r="D3618" s="8"/>
      <c r="E3618" s="8"/>
      <c r="F3618" s="8"/>
    </row>
    <row r="3619" ht="13.5" customHeight="1">
      <c r="A3619" s="8" t="s">
        <v>1907</v>
      </c>
      <c r="B3619" s="8">
        <v>49735.0</v>
      </c>
      <c r="C3619" s="8"/>
      <c r="D3619" s="8"/>
      <c r="E3619" s="8"/>
      <c r="F3619" s="8"/>
    </row>
    <row r="3620" ht="13.5" customHeight="1">
      <c r="A3620" s="8" t="s">
        <v>1852</v>
      </c>
      <c r="B3620" s="8">
        <v>50087.0</v>
      </c>
      <c r="C3620" s="8"/>
      <c r="D3620" s="8"/>
      <c r="E3620" s="8"/>
      <c r="F3620" s="8"/>
    </row>
    <row r="3621" ht="13.5" customHeight="1">
      <c r="A3621" s="8" t="s">
        <v>1915</v>
      </c>
      <c r="B3621" s="8">
        <v>50466.0</v>
      </c>
      <c r="C3621" s="8"/>
      <c r="D3621" s="8"/>
      <c r="E3621" s="8"/>
      <c r="F3621" s="8"/>
    </row>
    <row r="3622" ht="13.5" customHeight="1">
      <c r="A3622" s="8" t="s">
        <v>1908</v>
      </c>
      <c r="B3622" s="8">
        <v>50501.0</v>
      </c>
      <c r="C3622" s="8"/>
      <c r="D3622" s="8"/>
      <c r="E3622" s="8"/>
      <c r="F3622" s="8"/>
    </row>
    <row r="3623" ht="13.5" customHeight="1">
      <c r="A3623" s="8" t="s">
        <v>1923</v>
      </c>
      <c r="B3623" s="8">
        <v>50818.0</v>
      </c>
      <c r="C3623" s="8"/>
      <c r="D3623" s="8"/>
      <c r="E3623" s="8"/>
      <c r="F3623" s="8"/>
    </row>
    <row r="3624" ht="13.5" customHeight="1">
      <c r="A3624" s="8" t="s">
        <v>1922</v>
      </c>
      <c r="B3624" s="8">
        <v>50852.0</v>
      </c>
      <c r="C3624" s="8"/>
      <c r="D3624" s="8"/>
      <c r="E3624" s="8"/>
      <c r="F3624" s="8"/>
    </row>
    <row r="3625" ht="13.5" customHeight="1">
      <c r="A3625" s="8" t="s">
        <v>1904</v>
      </c>
      <c r="B3625" s="8">
        <v>52068.0</v>
      </c>
      <c r="C3625" s="8"/>
      <c r="D3625" s="8"/>
      <c r="E3625" s="8"/>
      <c r="F3625" s="8"/>
    </row>
    <row r="3626" ht="13.5" customHeight="1">
      <c r="A3626" s="8" t="s">
        <v>1096</v>
      </c>
      <c r="B3626" s="8">
        <v>52641.0</v>
      </c>
      <c r="C3626" s="8"/>
      <c r="D3626" s="8"/>
      <c r="E3626" s="8"/>
      <c r="F3626" s="8"/>
    </row>
    <row r="3627" ht="13.5" customHeight="1">
      <c r="A3627" s="8" t="s">
        <v>1907</v>
      </c>
      <c r="B3627" s="8">
        <v>53378.0</v>
      </c>
      <c r="C3627" s="8"/>
      <c r="D3627" s="8"/>
      <c r="E3627" s="8"/>
      <c r="F3627" s="8"/>
    </row>
    <row r="3628" ht="13.5" customHeight="1">
      <c r="A3628" s="8" t="s">
        <v>1912</v>
      </c>
      <c r="B3628" s="8">
        <v>55136.0</v>
      </c>
      <c r="C3628" s="8"/>
      <c r="D3628" s="8"/>
      <c r="E3628" s="8"/>
      <c r="F3628" s="8"/>
    </row>
    <row r="3629" ht="13.5" customHeight="1">
      <c r="A3629" s="8" t="s">
        <v>1915</v>
      </c>
      <c r="B3629" s="8">
        <v>55655.0</v>
      </c>
      <c r="C3629" s="8"/>
      <c r="D3629" s="8"/>
      <c r="E3629" s="8"/>
      <c r="F3629" s="8"/>
    </row>
    <row r="3630" ht="13.5" customHeight="1">
      <c r="A3630" s="8" t="s">
        <v>1922</v>
      </c>
      <c r="B3630" s="8">
        <v>55750.0</v>
      </c>
      <c r="C3630" s="8"/>
      <c r="D3630" s="8"/>
      <c r="E3630" s="8"/>
      <c r="F3630" s="8"/>
    </row>
    <row r="3631" ht="13.5" customHeight="1">
      <c r="A3631" s="8" t="s">
        <v>1912</v>
      </c>
      <c r="B3631" s="8">
        <v>56064.0</v>
      </c>
      <c r="C3631" s="8"/>
      <c r="D3631" s="8"/>
      <c r="E3631" s="8"/>
      <c r="F3631" s="8"/>
    </row>
    <row r="3632" ht="13.5" customHeight="1">
      <c r="A3632" s="8" t="s">
        <v>1913</v>
      </c>
      <c r="B3632" s="8">
        <v>56804.0</v>
      </c>
      <c r="C3632" s="8"/>
      <c r="D3632" s="8"/>
      <c r="E3632" s="8"/>
      <c r="F3632" s="8"/>
    </row>
    <row r="3633" ht="13.5" customHeight="1">
      <c r="A3633" s="8" t="s">
        <v>1020</v>
      </c>
      <c r="B3633" s="8">
        <v>57157.0</v>
      </c>
      <c r="C3633" s="8"/>
      <c r="D3633" s="8"/>
      <c r="E3633" s="8"/>
      <c r="F3633" s="8"/>
    </row>
    <row r="3634" ht="13.5" customHeight="1">
      <c r="A3634" s="8" t="s">
        <v>1909</v>
      </c>
      <c r="B3634" s="8">
        <v>58053.0</v>
      </c>
      <c r="C3634" s="8"/>
      <c r="D3634" s="8"/>
      <c r="E3634" s="8"/>
      <c r="F3634" s="8"/>
    </row>
    <row r="3635" ht="13.5" customHeight="1">
      <c r="A3635" s="8" t="s">
        <v>1922</v>
      </c>
      <c r="B3635" s="8">
        <v>58116.0</v>
      </c>
      <c r="C3635" s="8"/>
      <c r="D3635" s="8"/>
      <c r="E3635" s="8"/>
      <c r="F3635" s="8"/>
    </row>
    <row r="3636" ht="13.5" customHeight="1">
      <c r="A3636" s="8" t="s">
        <v>1912</v>
      </c>
      <c r="B3636" s="8">
        <v>58181.0</v>
      </c>
      <c r="C3636" s="8"/>
      <c r="D3636" s="8"/>
      <c r="E3636" s="8"/>
      <c r="F3636" s="8"/>
    </row>
    <row r="3637" ht="13.5" customHeight="1">
      <c r="A3637" s="8" t="s">
        <v>1912</v>
      </c>
      <c r="B3637" s="8">
        <v>58308.0</v>
      </c>
      <c r="C3637" s="8"/>
      <c r="D3637" s="8"/>
      <c r="E3637" s="8"/>
      <c r="F3637" s="8"/>
    </row>
    <row r="3638" ht="13.5" customHeight="1">
      <c r="A3638" s="8" t="s">
        <v>1913</v>
      </c>
      <c r="B3638" s="8">
        <v>58339.0</v>
      </c>
      <c r="C3638" s="8"/>
      <c r="D3638" s="8"/>
      <c r="E3638" s="8"/>
      <c r="F3638" s="8"/>
    </row>
    <row r="3639" ht="13.5" customHeight="1">
      <c r="A3639" s="8" t="s">
        <v>1020</v>
      </c>
      <c r="B3639" s="8">
        <v>58883.0</v>
      </c>
      <c r="C3639" s="8"/>
      <c r="D3639" s="8"/>
      <c r="E3639" s="8"/>
      <c r="F3639" s="8"/>
    </row>
    <row r="3640" ht="13.5" customHeight="1">
      <c r="A3640" s="8" t="s">
        <v>1906</v>
      </c>
      <c r="B3640" s="8">
        <v>59777.0</v>
      </c>
      <c r="C3640" s="8"/>
      <c r="D3640" s="8"/>
      <c r="E3640" s="8"/>
      <c r="F3640" s="8"/>
    </row>
    <row r="3641" ht="13.5" customHeight="1">
      <c r="A3641" s="8" t="s">
        <v>1927</v>
      </c>
      <c r="B3641" s="8">
        <v>548.0</v>
      </c>
      <c r="C3641" s="8"/>
      <c r="D3641" s="8"/>
      <c r="E3641" s="8"/>
      <c r="F3641" s="8"/>
    </row>
    <row r="3642" ht="13.5" customHeight="1">
      <c r="A3642" s="8" t="s">
        <v>1928</v>
      </c>
      <c r="B3642" s="8">
        <v>771.0</v>
      </c>
      <c r="C3642" s="8"/>
      <c r="D3642" s="8"/>
      <c r="E3642" s="8"/>
      <c r="F3642" s="8"/>
    </row>
    <row r="3643" ht="13.5" customHeight="1">
      <c r="A3643" s="8" t="s">
        <v>689</v>
      </c>
      <c r="B3643" s="8">
        <v>2086.0</v>
      </c>
      <c r="C3643" s="8"/>
      <c r="D3643" s="8"/>
      <c r="E3643" s="8"/>
      <c r="F3643" s="8"/>
    </row>
    <row r="3644" ht="13.5" customHeight="1">
      <c r="A3644" s="8" t="s">
        <v>1929</v>
      </c>
      <c r="B3644" s="8">
        <v>6560.0</v>
      </c>
      <c r="C3644" s="8"/>
      <c r="D3644" s="8"/>
      <c r="E3644" s="8"/>
      <c r="F3644" s="8"/>
    </row>
    <row r="3645" ht="13.5" customHeight="1">
      <c r="A3645" s="8" t="s">
        <v>689</v>
      </c>
      <c r="B3645" s="8">
        <v>7105.0</v>
      </c>
      <c r="C3645" s="8"/>
      <c r="D3645" s="8"/>
      <c r="E3645" s="8"/>
      <c r="F3645" s="8"/>
    </row>
    <row r="3646" ht="13.5" customHeight="1">
      <c r="A3646" s="8" t="s">
        <v>1930</v>
      </c>
      <c r="B3646" s="8">
        <v>7776.0</v>
      </c>
      <c r="C3646" s="8"/>
      <c r="D3646" s="8"/>
      <c r="E3646" s="8"/>
      <c r="F3646" s="8"/>
    </row>
    <row r="3647" ht="13.5" customHeight="1">
      <c r="A3647" s="8" t="s">
        <v>1228</v>
      </c>
      <c r="B3647" s="8">
        <v>8450.0</v>
      </c>
      <c r="C3647" s="8"/>
      <c r="D3647" s="8"/>
      <c r="E3647" s="8"/>
      <c r="F3647" s="8"/>
    </row>
    <row r="3648" ht="13.5" customHeight="1">
      <c r="A3648" s="8" t="s">
        <v>1228</v>
      </c>
      <c r="B3648" s="8">
        <v>16164.0</v>
      </c>
      <c r="C3648" s="8"/>
      <c r="D3648" s="8"/>
      <c r="E3648" s="8"/>
      <c r="F3648" s="8"/>
    </row>
    <row r="3649" ht="13.5" customHeight="1">
      <c r="A3649" s="8" t="s">
        <v>1931</v>
      </c>
      <c r="B3649" s="8">
        <v>18789.0</v>
      </c>
      <c r="C3649" s="8"/>
      <c r="D3649" s="8"/>
      <c r="E3649" s="8"/>
      <c r="F3649" s="8"/>
    </row>
    <row r="3650" ht="13.5" customHeight="1">
      <c r="A3650" s="8" t="s">
        <v>1929</v>
      </c>
      <c r="B3650" s="8">
        <v>19105.0</v>
      </c>
      <c r="C3650" s="8"/>
      <c r="D3650" s="8"/>
      <c r="E3650" s="8"/>
      <c r="F3650" s="8"/>
    </row>
    <row r="3651" ht="13.5" customHeight="1">
      <c r="A3651" s="8" t="s">
        <v>1930</v>
      </c>
      <c r="B3651" s="8">
        <v>19136.0</v>
      </c>
      <c r="C3651" s="8"/>
      <c r="D3651" s="8"/>
      <c r="E3651" s="8"/>
      <c r="F3651" s="8"/>
    </row>
    <row r="3652" ht="13.5" customHeight="1">
      <c r="A3652" s="8" t="s">
        <v>1930</v>
      </c>
      <c r="B3652" s="8">
        <v>19206.0</v>
      </c>
      <c r="C3652" s="8"/>
      <c r="D3652" s="8"/>
      <c r="E3652" s="8"/>
      <c r="F3652" s="8"/>
    </row>
    <row r="3653" ht="13.5" customHeight="1">
      <c r="A3653" s="8" t="s">
        <v>1932</v>
      </c>
      <c r="B3653" s="8">
        <v>19654.0</v>
      </c>
      <c r="C3653" s="8"/>
      <c r="D3653" s="8"/>
      <c r="E3653" s="8"/>
      <c r="F3653" s="8"/>
    </row>
    <row r="3654" ht="13.5" customHeight="1">
      <c r="A3654" s="8" t="s">
        <v>1930</v>
      </c>
      <c r="B3654" s="8">
        <v>20037.0</v>
      </c>
      <c r="C3654" s="8"/>
      <c r="D3654" s="8"/>
      <c r="E3654" s="8"/>
      <c r="F3654" s="8"/>
    </row>
    <row r="3655" ht="13.5" customHeight="1">
      <c r="A3655" s="8" t="s">
        <v>360</v>
      </c>
      <c r="B3655" s="8">
        <v>20549.0</v>
      </c>
      <c r="C3655" s="8"/>
      <c r="D3655" s="8"/>
      <c r="E3655" s="8"/>
      <c r="F3655" s="8"/>
    </row>
    <row r="3656" ht="13.5" customHeight="1">
      <c r="A3656" s="8" t="s">
        <v>1933</v>
      </c>
      <c r="B3656" s="8">
        <v>20832.0</v>
      </c>
      <c r="C3656" s="8"/>
      <c r="D3656" s="8"/>
      <c r="E3656" s="8"/>
      <c r="F3656" s="8"/>
    </row>
    <row r="3657" ht="13.5" customHeight="1">
      <c r="A3657" s="8" t="s">
        <v>1933</v>
      </c>
      <c r="B3657" s="8">
        <v>22887.0</v>
      </c>
      <c r="C3657" s="8"/>
      <c r="D3657" s="8"/>
      <c r="E3657" s="8"/>
      <c r="F3657" s="8"/>
    </row>
    <row r="3658" ht="13.5" customHeight="1">
      <c r="A3658" s="8" t="s">
        <v>1928</v>
      </c>
      <c r="B3658" s="8">
        <v>23936.0</v>
      </c>
      <c r="C3658" s="8"/>
      <c r="D3658" s="8"/>
      <c r="E3658" s="8"/>
      <c r="F3658" s="8"/>
    </row>
    <row r="3659" ht="13.5" customHeight="1">
      <c r="A3659" s="8" t="s">
        <v>360</v>
      </c>
      <c r="B3659" s="8">
        <v>24326.0</v>
      </c>
      <c r="C3659" s="8"/>
      <c r="D3659" s="8"/>
      <c r="E3659" s="8"/>
      <c r="F3659" s="8"/>
    </row>
    <row r="3660" ht="13.5" customHeight="1">
      <c r="A3660" s="8" t="s">
        <v>1930</v>
      </c>
      <c r="B3660" s="8">
        <v>25926.0</v>
      </c>
      <c r="C3660" s="8"/>
      <c r="D3660" s="8"/>
      <c r="E3660" s="8"/>
      <c r="F3660" s="8"/>
    </row>
    <row r="3661" ht="13.5" customHeight="1">
      <c r="A3661" s="8" t="s">
        <v>1932</v>
      </c>
      <c r="B3661" s="8">
        <v>27687.0</v>
      </c>
      <c r="C3661" s="8"/>
      <c r="D3661" s="8"/>
      <c r="E3661" s="8"/>
      <c r="F3661" s="8"/>
    </row>
    <row r="3662" ht="13.5" customHeight="1">
      <c r="A3662" s="8" t="s">
        <v>880</v>
      </c>
      <c r="B3662" s="8">
        <v>27776.0</v>
      </c>
      <c r="C3662" s="8"/>
      <c r="D3662" s="8"/>
      <c r="E3662" s="8"/>
      <c r="F3662" s="8"/>
    </row>
    <row r="3663" ht="13.5" customHeight="1">
      <c r="A3663" s="8" t="s">
        <v>880</v>
      </c>
      <c r="B3663" s="8">
        <v>27813.0</v>
      </c>
      <c r="C3663" s="8"/>
      <c r="D3663" s="8"/>
      <c r="E3663" s="8"/>
      <c r="F3663" s="8"/>
    </row>
    <row r="3664" ht="13.5" customHeight="1">
      <c r="A3664" s="8" t="s">
        <v>689</v>
      </c>
      <c r="B3664" s="8">
        <v>28256.0</v>
      </c>
      <c r="C3664" s="8"/>
      <c r="D3664" s="8"/>
      <c r="E3664" s="8"/>
      <c r="F3664" s="8"/>
    </row>
    <row r="3665" ht="13.5" customHeight="1">
      <c r="A3665" s="8" t="s">
        <v>360</v>
      </c>
      <c r="B3665" s="8">
        <v>28550.0</v>
      </c>
      <c r="C3665" s="8"/>
      <c r="D3665" s="8"/>
      <c r="E3665" s="8"/>
      <c r="F3665" s="8"/>
    </row>
    <row r="3666" ht="13.5" customHeight="1">
      <c r="A3666" s="8" t="s">
        <v>1930</v>
      </c>
      <c r="B3666" s="8">
        <v>30374.0</v>
      </c>
      <c r="C3666" s="8"/>
      <c r="D3666" s="8"/>
      <c r="E3666" s="8"/>
      <c r="F3666" s="8"/>
    </row>
    <row r="3667" ht="13.5" customHeight="1">
      <c r="A3667" s="8" t="s">
        <v>1928</v>
      </c>
      <c r="B3667" s="8">
        <v>30564.0</v>
      </c>
      <c r="C3667" s="8"/>
      <c r="D3667" s="8"/>
      <c r="E3667" s="8"/>
      <c r="F3667" s="8"/>
    </row>
    <row r="3668" ht="13.5" customHeight="1">
      <c r="A3668" s="8" t="s">
        <v>1932</v>
      </c>
      <c r="B3668" s="8">
        <v>31620.0</v>
      </c>
      <c r="C3668" s="8"/>
      <c r="D3668" s="8"/>
      <c r="E3668" s="8"/>
      <c r="F3668" s="8"/>
    </row>
    <row r="3669" ht="13.5" customHeight="1">
      <c r="A3669" s="8" t="s">
        <v>1929</v>
      </c>
      <c r="B3669" s="8">
        <v>31780.0</v>
      </c>
      <c r="C3669" s="8"/>
      <c r="D3669" s="8"/>
      <c r="E3669" s="8"/>
      <c r="F3669" s="8"/>
    </row>
    <row r="3670" ht="13.5" customHeight="1">
      <c r="A3670" s="8" t="s">
        <v>689</v>
      </c>
      <c r="B3670" s="8">
        <v>31876.0</v>
      </c>
      <c r="C3670" s="8"/>
      <c r="D3670" s="8"/>
      <c r="E3670" s="8"/>
      <c r="F3670" s="8"/>
    </row>
    <row r="3671" ht="13.5" customHeight="1">
      <c r="A3671" s="8" t="s">
        <v>1932</v>
      </c>
      <c r="B3671" s="8">
        <v>32356.0</v>
      </c>
      <c r="C3671" s="8"/>
      <c r="D3671" s="8"/>
      <c r="E3671" s="8"/>
      <c r="F3671" s="8"/>
    </row>
    <row r="3672" ht="13.5" customHeight="1">
      <c r="A3672" s="8" t="s">
        <v>1930</v>
      </c>
      <c r="B3672" s="8">
        <v>33473.0</v>
      </c>
      <c r="C3672" s="8"/>
      <c r="D3672" s="8"/>
      <c r="E3672" s="8"/>
      <c r="F3672" s="8"/>
    </row>
    <row r="3673" ht="13.5" customHeight="1">
      <c r="A3673" s="8" t="s">
        <v>1932</v>
      </c>
      <c r="B3673" s="8">
        <v>35043.0</v>
      </c>
      <c r="C3673" s="8"/>
      <c r="D3673" s="8"/>
      <c r="E3673" s="8"/>
      <c r="F3673" s="8"/>
    </row>
    <row r="3674" ht="13.5" customHeight="1">
      <c r="A3674" s="8" t="s">
        <v>880</v>
      </c>
      <c r="B3674" s="8">
        <v>37603.0</v>
      </c>
      <c r="C3674" s="8"/>
      <c r="D3674" s="8"/>
      <c r="E3674" s="8"/>
      <c r="F3674" s="8"/>
    </row>
    <row r="3675" ht="13.5" customHeight="1">
      <c r="A3675" s="8" t="s">
        <v>1934</v>
      </c>
      <c r="B3675" s="8">
        <v>38561.0</v>
      </c>
      <c r="C3675" s="8"/>
      <c r="D3675" s="8"/>
      <c r="E3675" s="8"/>
      <c r="F3675" s="8"/>
    </row>
    <row r="3676" ht="13.5" customHeight="1">
      <c r="A3676" s="8" t="s">
        <v>1931</v>
      </c>
      <c r="B3676" s="8">
        <v>40547.0</v>
      </c>
      <c r="C3676" s="8"/>
      <c r="D3676" s="8"/>
      <c r="E3676" s="8"/>
      <c r="F3676" s="8"/>
    </row>
    <row r="3677" ht="13.5" customHeight="1">
      <c r="A3677" s="8" t="s">
        <v>1928</v>
      </c>
      <c r="B3677" s="8">
        <v>40611.0</v>
      </c>
      <c r="C3677" s="8"/>
      <c r="D3677" s="8"/>
      <c r="E3677" s="8"/>
      <c r="F3677" s="8"/>
    </row>
    <row r="3678" ht="13.5" customHeight="1">
      <c r="A3678" s="8" t="s">
        <v>1928</v>
      </c>
      <c r="B3678" s="8">
        <v>40901.0</v>
      </c>
      <c r="C3678" s="8"/>
      <c r="D3678" s="8"/>
      <c r="E3678" s="8"/>
      <c r="F3678" s="8"/>
    </row>
    <row r="3679" ht="13.5" customHeight="1">
      <c r="A3679" s="8" t="s">
        <v>1928</v>
      </c>
      <c r="B3679" s="8">
        <v>41634.0</v>
      </c>
      <c r="C3679" s="8"/>
      <c r="D3679" s="8"/>
      <c r="E3679" s="8"/>
      <c r="F3679" s="8"/>
    </row>
    <row r="3680" ht="13.5" customHeight="1">
      <c r="A3680" s="8" t="s">
        <v>1935</v>
      </c>
      <c r="B3680" s="8">
        <v>41956.0</v>
      </c>
      <c r="C3680" s="8"/>
      <c r="D3680" s="8"/>
      <c r="E3680" s="8"/>
      <c r="F3680" s="8"/>
    </row>
    <row r="3681" ht="13.5" customHeight="1">
      <c r="A3681" s="8" t="s">
        <v>1934</v>
      </c>
      <c r="B3681" s="8">
        <v>44646.0</v>
      </c>
      <c r="C3681" s="8"/>
      <c r="D3681" s="8"/>
      <c r="E3681" s="8"/>
      <c r="F3681" s="8"/>
    </row>
    <row r="3682" ht="13.5" customHeight="1">
      <c r="A3682" s="8" t="s">
        <v>880</v>
      </c>
      <c r="B3682" s="8">
        <v>45825.0</v>
      </c>
      <c r="C3682" s="8"/>
      <c r="D3682" s="8"/>
      <c r="E3682" s="8"/>
      <c r="F3682" s="8"/>
    </row>
    <row r="3683" ht="13.5" customHeight="1">
      <c r="A3683" s="8" t="s">
        <v>689</v>
      </c>
      <c r="B3683" s="8">
        <v>47232.0</v>
      </c>
      <c r="C3683" s="8"/>
      <c r="D3683" s="8"/>
      <c r="E3683" s="8"/>
      <c r="F3683" s="8"/>
    </row>
    <row r="3684" ht="13.5" customHeight="1">
      <c r="A3684" s="8" t="s">
        <v>1932</v>
      </c>
      <c r="B3684" s="8">
        <v>49344.0</v>
      </c>
      <c r="C3684" s="8"/>
      <c r="D3684" s="8"/>
      <c r="E3684" s="8"/>
      <c r="F3684" s="8"/>
    </row>
    <row r="3685" ht="13.5" customHeight="1">
      <c r="A3685" s="8" t="s">
        <v>1930</v>
      </c>
      <c r="B3685" s="8">
        <v>49351.0</v>
      </c>
      <c r="C3685" s="8"/>
      <c r="D3685" s="8"/>
      <c r="E3685" s="8"/>
      <c r="F3685" s="8"/>
    </row>
    <row r="3686" ht="13.5" customHeight="1">
      <c r="A3686" s="8" t="s">
        <v>1933</v>
      </c>
      <c r="B3686" s="8">
        <v>49511.0</v>
      </c>
      <c r="C3686" s="8"/>
      <c r="D3686" s="8"/>
      <c r="E3686" s="8"/>
      <c r="F3686" s="8"/>
    </row>
    <row r="3687" ht="13.5" customHeight="1">
      <c r="A3687" s="8" t="s">
        <v>592</v>
      </c>
      <c r="B3687" s="8">
        <v>52419.0</v>
      </c>
      <c r="C3687" s="8"/>
      <c r="D3687" s="8"/>
      <c r="E3687" s="8"/>
      <c r="F3687" s="8"/>
    </row>
    <row r="3688" ht="13.5" customHeight="1">
      <c r="A3688" s="8" t="s">
        <v>1929</v>
      </c>
      <c r="B3688" s="8">
        <v>53029.0</v>
      </c>
      <c r="C3688" s="8"/>
      <c r="D3688" s="8"/>
      <c r="E3688" s="8"/>
      <c r="F3688" s="8"/>
    </row>
    <row r="3689" ht="13.5" customHeight="1">
      <c r="A3689" s="8" t="s">
        <v>1932</v>
      </c>
      <c r="B3689" s="8">
        <v>54786.0</v>
      </c>
      <c r="C3689" s="8"/>
      <c r="D3689" s="8"/>
      <c r="E3689" s="8"/>
      <c r="F3689" s="8"/>
    </row>
    <row r="3690" ht="13.5" customHeight="1">
      <c r="A3690" s="8" t="s">
        <v>360</v>
      </c>
      <c r="B3690" s="8">
        <v>55362.0</v>
      </c>
      <c r="C3690" s="8"/>
      <c r="D3690" s="8"/>
      <c r="E3690" s="8"/>
      <c r="F3690" s="8"/>
    </row>
    <row r="3691" ht="13.5" customHeight="1">
      <c r="A3691" s="8" t="s">
        <v>1930</v>
      </c>
      <c r="B3691" s="8">
        <v>56099.0</v>
      </c>
      <c r="C3691" s="8"/>
      <c r="D3691" s="8"/>
      <c r="E3691" s="8"/>
      <c r="F3691" s="8"/>
    </row>
    <row r="3692" ht="13.5" customHeight="1">
      <c r="A3692" s="8" t="s">
        <v>1518</v>
      </c>
      <c r="B3692" s="8">
        <v>56516.0</v>
      </c>
      <c r="C3692" s="8"/>
      <c r="D3692" s="8"/>
      <c r="E3692" s="8"/>
      <c r="F3692" s="8"/>
    </row>
    <row r="3693" ht="13.5" customHeight="1">
      <c r="A3693" s="8" t="s">
        <v>1934</v>
      </c>
      <c r="B3693" s="8">
        <v>59556.0</v>
      </c>
      <c r="C3693" s="8"/>
      <c r="D3693" s="8"/>
      <c r="E3693" s="8"/>
      <c r="F3693" s="8"/>
    </row>
    <row r="3694" ht="13.5" customHeight="1">
      <c r="A3694" s="8" t="s">
        <v>1518</v>
      </c>
      <c r="B3694" s="8">
        <v>59779.0</v>
      </c>
      <c r="C3694" s="8"/>
      <c r="D3694" s="8"/>
      <c r="E3694" s="8"/>
      <c r="F3694" s="8"/>
    </row>
    <row r="3695" ht="13.5" customHeight="1">
      <c r="A3695" s="8" t="s">
        <v>1937</v>
      </c>
      <c r="B3695" s="8">
        <v>1217.0</v>
      </c>
      <c r="C3695" s="8"/>
      <c r="D3695" s="8"/>
      <c r="E3695" s="8"/>
      <c r="F3695" s="8"/>
    </row>
    <row r="3696" ht="13.5" customHeight="1">
      <c r="A3696" s="8" t="s">
        <v>1819</v>
      </c>
      <c r="B3696" s="8">
        <v>1666.0</v>
      </c>
      <c r="C3696" s="8"/>
      <c r="D3696" s="8"/>
      <c r="E3696" s="8"/>
      <c r="F3696" s="8"/>
    </row>
    <row r="3697" ht="13.5" customHeight="1">
      <c r="A3697" s="8" t="s">
        <v>1628</v>
      </c>
      <c r="B3697" s="8">
        <v>1829.0</v>
      </c>
      <c r="C3697" s="8"/>
      <c r="D3697" s="8"/>
      <c r="E3697" s="8"/>
      <c r="F3697" s="8"/>
    </row>
    <row r="3698" ht="13.5" customHeight="1">
      <c r="A3698" s="8" t="s">
        <v>1939</v>
      </c>
      <c r="B3698" s="8">
        <v>3202.0</v>
      </c>
      <c r="C3698" s="8"/>
      <c r="D3698" s="8"/>
      <c r="E3698" s="8"/>
      <c r="F3698" s="8"/>
    </row>
    <row r="3699" ht="13.5" customHeight="1">
      <c r="A3699" s="8" t="s">
        <v>1940</v>
      </c>
      <c r="B3699" s="8">
        <v>4871.0</v>
      </c>
      <c r="C3699" s="8"/>
      <c r="D3699" s="8"/>
      <c r="E3699" s="8"/>
      <c r="F3699" s="8"/>
    </row>
    <row r="3700" ht="13.5" customHeight="1">
      <c r="A3700" s="8" t="s">
        <v>1819</v>
      </c>
      <c r="B3700" s="8">
        <v>6211.0</v>
      </c>
      <c r="C3700" s="8"/>
      <c r="D3700" s="8"/>
      <c r="E3700" s="8"/>
      <c r="F3700" s="8"/>
    </row>
    <row r="3701" ht="13.5" customHeight="1">
      <c r="A3701" s="8" t="s">
        <v>1937</v>
      </c>
      <c r="B3701" s="8">
        <v>7363.0</v>
      </c>
      <c r="C3701" s="8"/>
      <c r="D3701" s="8"/>
      <c r="E3701" s="8"/>
      <c r="F3701" s="8"/>
    </row>
    <row r="3702" ht="13.5" customHeight="1">
      <c r="A3702" s="8" t="s">
        <v>1940</v>
      </c>
      <c r="B3702" s="8">
        <v>8133.0</v>
      </c>
      <c r="C3702" s="8"/>
      <c r="D3702" s="8"/>
      <c r="E3702" s="8"/>
      <c r="F3702" s="8"/>
    </row>
    <row r="3703" ht="13.5" customHeight="1">
      <c r="A3703" s="8" t="s">
        <v>1941</v>
      </c>
      <c r="B3703" s="8">
        <v>8416.0</v>
      </c>
      <c r="C3703" s="8"/>
      <c r="D3703" s="8"/>
      <c r="E3703" s="8"/>
      <c r="F3703" s="8"/>
    </row>
    <row r="3704" ht="13.5" customHeight="1">
      <c r="A3704" s="8" t="s">
        <v>1942</v>
      </c>
      <c r="B3704" s="8">
        <v>8802.0</v>
      </c>
      <c r="C3704" s="8"/>
      <c r="D3704" s="8"/>
      <c r="E3704" s="8"/>
      <c r="F3704" s="8"/>
    </row>
    <row r="3705" ht="13.5" customHeight="1">
      <c r="A3705" s="8" t="s">
        <v>1329</v>
      </c>
      <c r="B3705" s="8">
        <v>9637.0</v>
      </c>
      <c r="C3705" s="8"/>
      <c r="D3705" s="8"/>
      <c r="E3705" s="8"/>
      <c r="F3705" s="8"/>
    </row>
    <row r="3706" ht="13.5" customHeight="1">
      <c r="A3706" s="8" t="s">
        <v>1937</v>
      </c>
      <c r="B3706" s="8">
        <v>9671.0</v>
      </c>
      <c r="C3706" s="8"/>
      <c r="D3706" s="8"/>
      <c r="E3706" s="8"/>
      <c r="F3706" s="8"/>
    </row>
    <row r="3707" ht="13.5" customHeight="1">
      <c r="A3707" s="8" t="s">
        <v>1942</v>
      </c>
      <c r="B3707" s="8">
        <v>9957.0</v>
      </c>
      <c r="C3707" s="8"/>
      <c r="D3707" s="8"/>
      <c r="E3707" s="8"/>
      <c r="F3707" s="8"/>
    </row>
    <row r="3708" ht="13.5" customHeight="1">
      <c r="A3708" s="8" t="s">
        <v>1944</v>
      </c>
      <c r="B3708" s="8">
        <v>10567.0</v>
      </c>
      <c r="C3708" s="8"/>
      <c r="D3708" s="8"/>
      <c r="E3708" s="8"/>
      <c r="F3708" s="8"/>
    </row>
    <row r="3709" ht="13.5" customHeight="1">
      <c r="A3709" s="8" t="s">
        <v>1939</v>
      </c>
      <c r="B3709" s="8">
        <v>12613.0</v>
      </c>
      <c r="C3709" s="8"/>
      <c r="D3709" s="8"/>
      <c r="E3709" s="8"/>
      <c r="F3709" s="8"/>
    </row>
    <row r="3710" ht="13.5" customHeight="1">
      <c r="A3710" s="8" t="s">
        <v>1937</v>
      </c>
      <c r="B3710" s="8">
        <v>12711.0</v>
      </c>
      <c r="C3710" s="8"/>
      <c r="D3710" s="8"/>
      <c r="E3710" s="8"/>
      <c r="F3710" s="8"/>
    </row>
    <row r="3711" ht="13.5" customHeight="1">
      <c r="A3711" s="8" t="s">
        <v>1329</v>
      </c>
      <c r="B3711" s="8">
        <v>13543.0</v>
      </c>
      <c r="C3711" s="8"/>
      <c r="D3711" s="8"/>
      <c r="E3711" s="8"/>
      <c r="F3711" s="8"/>
    </row>
    <row r="3712" ht="13.5" customHeight="1">
      <c r="A3712" s="8" t="s">
        <v>1939</v>
      </c>
      <c r="B3712" s="8">
        <v>17924.0</v>
      </c>
      <c r="C3712" s="8"/>
      <c r="D3712" s="8"/>
      <c r="E3712" s="8"/>
      <c r="F3712" s="8"/>
    </row>
    <row r="3713" ht="13.5" customHeight="1">
      <c r="A3713" s="8" t="s">
        <v>1945</v>
      </c>
      <c r="B3713" s="8">
        <v>18374.0</v>
      </c>
      <c r="C3713" s="8"/>
      <c r="D3713" s="8"/>
      <c r="E3713" s="8"/>
      <c r="F3713" s="8"/>
    </row>
    <row r="3714" ht="13.5" customHeight="1">
      <c r="A3714" s="8" t="s">
        <v>1942</v>
      </c>
      <c r="B3714" s="8">
        <v>21638.0</v>
      </c>
      <c r="C3714" s="8"/>
      <c r="D3714" s="8"/>
      <c r="E3714" s="8"/>
      <c r="F3714" s="8"/>
    </row>
    <row r="3715" ht="13.5" customHeight="1">
      <c r="A3715" s="8" t="s">
        <v>1937</v>
      </c>
      <c r="B3715" s="8">
        <v>22407.0</v>
      </c>
      <c r="C3715" s="8"/>
      <c r="D3715" s="8"/>
      <c r="E3715" s="8"/>
      <c r="F3715" s="8"/>
    </row>
    <row r="3716" ht="13.5" customHeight="1">
      <c r="A3716" s="8" t="s">
        <v>1945</v>
      </c>
      <c r="B3716" s="8">
        <v>25314.0</v>
      </c>
      <c r="C3716" s="8"/>
      <c r="D3716" s="8"/>
      <c r="E3716" s="8"/>
      <c r="F3716" s="8"/>
    </row>
    <row r="3717" ht="13.5" customHeight="1">
      <c r="A3717" s="8" t="s">
        <v>1152</v>
      </c>
      <c r="B3717" s="8">
        <v>25574.0</v>
      </c>
      <c r="C3717" s="8"/>
      <c r="D3717" s="8"/>
      <c r="E3717" s="8"/>
      <c r="F3717" s="8"/>
    </row>
    <row r="3718" ht="13.5" customHeight="1">
      <c r="A3718" s="8" t="s">
        <v>1940</v>
      </c>
      <c r="B3718" s="8">
        <v>26310.0</v>
      </c>
      <c r="C3718" s="8"/>
      <c r="D3718" s="8"/>
      <c r="E3718" s="8"/>
      <c r="F3718" s="8"/>
    </row>
    <row r="3719" ht="13.5" customHeight="1">
      <c r="A3719" s="8" t="s">
        <v>1944</v>
      </c>
      <c r="B3719" s="8">
        <v>27616.0</v>
      </c>
      <c r="C3719" s="8"/>
      <c r="D3719" s="8"/>
      <c r="E3719" s="8"/>
      <c r="F3719" s="8"/>
    </row>
    <row r="3720" ht="13.5" customHeight="1">
      <c r="A3720" s="8" t="s">
        <v>1940</v>
      </c>
      <c r="B3720" s="8">
        <v>29539.0</v>
      </c>
      <c r="C3720" s="8"/>
      <c r="D3720" s="8"/>
      <c r="E3720" s="8"/>
      <c r="F3720" s="8"/>
    </row>
    <row r="3721" ht="13.5" customHeight="1">
      <c r="A3721" s="8" t="s">
        <v>1945</v>
      </c>
      <c r="B3721" s="8">
        <v>31106.0</v>
      </c>
      <c r="C3721" s="8"/>
      <c r="D3721" s="8"/>
      <c r="E3721" s="8"/>
      <c r="F3721" s="8"/>
    </row>
    <row r="3722" ht="13.5" customHeight="1">
      <c r="A3722" s="8" t="s">
        <v>1944</v>
      </c>
      <c r="B3722" s="8">
        <v>31140.0</v>
      </c>
      <c r="C3722" s="8"/>
      <c r="D3722" s="8"/>
      <c r="E3722" s="8"/>
      <c r="F3722" s="8"/>
    </row>
    <row r="3723" ht="13.5" customHeight="1">
      <c r="A3723" s="8" t="s">
        <v>1942</v>
      </c>
      <c r="B3723" s="8">
        <v>31170.0</v>
      </c>
      <c r="C3723" s="8"/>
      <c r="D3723" s="8"/>
      <c r="E3723" s="8"/>
      <c r="F3723" s="8"/>
    </row>
    <row r="3724" ht="13.5" customHeight="1">
      <c r="A3724" s="8" t="s">
        <v>1152</v>
      </c>
      <c r="B3724" s="8">
        <v>31520.0</v>
      </c>
      <c r="C3724" s="8"/>
      <c r="D3724" s="8"/>
      <c r="E3724" s="8"/>
      <c r="F3724" s="8"/>
    </row>
    <row r="3725" ht="13.5" customHeight="1">
      <c r="A3725" s="8" t="s">
        <v>1945</v>
      </c>
      <c r="B3725" s="8">
        <v>34663.0</v>
      </c>
      <c r="C3725" s="8"/>
      <c r="D3725" s="8"/>
      <c r="E3725" s="8"/>
      <c r="F3725" s="8"/>
    </row>
    <row r="3726" ht="13.5" customHeight="1">
      <c r="A3726" s="8" t="s">
        <v>1944</v>
      </c>
      <c r="B3726" s="8">
        <v>35842.0</v>
      </c>
      <c r="C3726" s="8"/>
      <c r="D3726" s="8"/>
      <c r="E3726" s="8"/>
      <c r="F3726" s="8"/>
    </row>
    <row r="3727" ht="13.5" customHeight="1">
      <c r="A3727" s="8" t="s">
        <v>1948</v>
      </c>
      <c r="B3727" s="8">
        <v>36131.0</v>
      </c>
      <c r="C3727" s="8"/>
      <c r="D3727" s="8"/>
      <c r="E3727" s="8"/>
      <c r="F3727" s="8"/>
    </row>
    <row r="3728" ht="13.5" customHeight="1">
      <c r="A3728" s="8" t="s">
        <v>1948</v>
      </c>
      <c r="B3728" s="8">
        <v>36992.0</v>
      </c>
      <c r="C3728" s="8"/>
      <c r="D3728" s="8"/>
      <c r="E3728" s="8"/>
      <c r="F3728" s="8"/>
    </row>
    <row r="3729" ht="13.5" customHeight="1">
      <c r="A3729" s="8" t="s">
        <v>1948</v>
      </c>
      <c r="B3729" s="8">
        <v>38596.0</v>
      </c>
      <c r="C3729" s="8"/>
      <c r="D3729" s="8"/>
      <c r="E3729" s="8"/>
      <c r="F3729" s="8"/>
    </row>
    <row r="3730" ht="13.5" customHeight="1">
      <c r="A3730" s="8" t="s">
        <v>1939</v>
      </c>
      <c r="B3730" s="8">
        <v>39143.0</v>
      </c>
      <c r="C3730" s="8"/>
      <c r="D3730" s="8"/>
      <c r="E3730" s="8"/>
      <c r="F3730" s="8"/>
    </row>
    <row r="3731" ht="13.5" customHeight="1">
      <c r="A3731" s="8" t="s">
        <v>1948</v>
      </c>
      <c r="B3731" s="8">
        <v>41186.0</v>
      </c>
      <c r="C3731" s="8"/>
      <c r="D3731" s="8"/>
      <c r="E3731" s="8"/>
      <c r="F3731" s="8"/>
    </row>
    <row r="3732" ht="13.5" customHeight="1">
      <c r="A3732" s="8" t="s">
        <v>1945</v>
      </c>
      <c r="B3732" s="8">
        <v>43493.0</v>
      </c>
      <c r="C3732" s="8"/>
      <c r="D3732" s="8"/>
      <c r="E3732" s="8"/>
      <c r="F3732" s="8"/>
    </row>
    <row r="3733" ht="13.5" customHeight="1">
      <c r="A3733" s="8" t="s">
        <v>1937</v>
      </c>
      <c r="B3733" s="8">
        <v>43555.0</v>
      </c>
      <c r="C3733" s="8"/>
      <c r="D3733" s="8"/>
      <c r="E3733" s="8"/>
      <c r="F3733" s="8"/>
    </row>
    <row r="3734" ht="13.5" customHeight="1">
      <c r="A3734" s="8" t="s">
        <v>1944</v>
      </c>
      <c r="B3734" s="8">
        <v>44452.0</v>
      </c>
      <c r="C3734" s="8"/>
      <c r="D3734" s="8"/>
      <c r="E3734" s="8"/>
      <c r="F3734" s="8"/>
    </row>
    <row r="3735" ht="13.5" customHeight="1">
      <c r="A3735" s="8" t="s">
        <v>1940</v>
      </c>
      <c r="B3735" s="8">
        <v>45506.0</v>
      </c>
      <c r="C3735" s="8"/>
      <c r="D3735" s="8"/>
      <c r="E3735" s="8"/>
      <c r="F3735" s="8"/>
    </row>
    <row r="3736" ht="13.5" customHeight="1">
      <c r="A3736" s="8" t="s">
        <v>1945</v>
      </c>
      <c r="B3736" s="8">
        <v>45767.0</v>
      </c>
      <c r="C3736" s="8"/>
      <c r="D3736" s="8"/>
      <c r="E3736" s="8"/>
      <c r="F3736" s="8"/>
    </row>
    <row r="3737" ht="13.5" customHeight="1">
      <c r="A3737" s="8" t="s">
        <v>1942</v>
      </c>
      <c r="B3737" s="8">
        <v>45986.0</v>
      </c>
      <c r="C3737" s="8"/>
      <c r="D3737" s="8"/>
      <c r="E3737" s="8"/>
      <c r="F3737" s="8"/>
    </row>
    <row r="3738" ht="13.5" customHeight="1">
      <c r="A3738" s="8" t="s">
        <v>1945</v>
      </c>
      <c r="B3738" s="8">
        <v>46881.0</v>
      </c>
      <c r="C3738" s="8"/>
      <c r="D3738" s="8"/>
      <c r="E3738" s="8"/>
      <c r="F3738" s="8"/>
    </row>
    <row r="3739" ht="13.5" customHeight="1">
      <c r="A3739" s="8" t="s">
        <v>1940</v>
      </c>
      <c r="B3739" s="8">
        <v>46979.0</v>
      </c>
      <c r="C3739" s="8"/>
      <c r="D3739" s="8"/>
      <c r="E3739" s="8"/>
      <c r="F3739" s="8"/>
    </row>
    <row r="3740" ht="13.5" customHeight="1">
      <c r="A3740" s="8" t="s">
        <v>1152</v>
      </c>
      <c r="B3740" s="8">
        <v>47040.0</v>
      </c>
      <c r="C3740" s="8"/>
      <c r="D3740" s="8"/>
      <c r="E3740" s="8"/>
      <c r="F3740" s="8"/>
    </row>
    <row r="3741" ht="13.5" customHeight="1">
      <c r="A3741" s="8" t="s">
        <v>1945</v>
      </c>
      <c r="B3741" s="8">
        <v>48391.0</v>
      </c>
      <c r="C3741" s="8"/>
      <c r="D3741" s="8"/>
      <c r="E3741" s="8"/>
      <c r="F3741" s="8"/>
    </row>
    <row r="3742" ht="13.5" customHeight="1">
      <c r="A3742" s="8" t="s">
        <v>1944</v>
      </c>
      <c r="B3742" s="8">
        <v>53350.0</v>
      </c>
      <c r="C3742" s="8"/>
      <c r="D3742" s="8"/>
      <c r="E3742" s="8"/>
      <c r="F3742" s="8"/>
    </row>
    <row r="3743" ht="13.5" customHeight="1">
      <c r="A3743" s="8" t="s">
        <v>1937</v>
      </c>
      <c r="B3743" s="8">
        <v>55648.0</v>
      </c>
      <c r="C3743" s="8"/>
      <c r="D3743" s="8"/>
      <c r="E3743" s="8"/>
      <c r="F3743" s="8"/>
    </row>
    <row r="3744" ht="13.5" customHeight="1">
      <c r="A3744" s="8" t="s">
        <v>1942</v>
      </c>
      <c r="B3744" s="8">
        <v>55686.0</v>
      </c>
      <c r="C3744" s="8"/>
      <c r="D3744" s="8"/>
      <c r="E3744" s="8"/>
      <c r="F3744" s="8"/>
    </row>
    <row r="3745" ht="13.5" customHeight="1">
      <c r="A3745" s="8" t="s">
        <v>1940</v>
      </c>
      <c r="B3745" s="8">
        <v>55847.0</v>
      </c>
      <c r="C3745" s="8"/>
      <c r="D3745" s="8"/>
      <c r="E3745" s="8"/>
      <c r="F3745" s="8"/>
    </row>
    <row r="3746" ht="13.5" customHeight="1">
      <c r="A3746" s="8" t="s">
        <v>1940</v>
      </c>
      <c r="B3746" s="8">
        <v>56197.0</v>
      </c>
      <c r="C3746" s="8"/>
      <c r="D3746" s="8"/>
      <c r="E3746" s="8"/>
      <c r="F3746" s="8"/>
    </row>
    <row r="3747" ht="13.5" customHeight="1">
      <c r="A3747" s="8" t="s">
        <v>1942</v>
      </c>
      <c r="B3747" s="8">
        <v>56548.0</v>
      </c>
      <c r="C3747" s="8"/>
      <c r="D3747" s="8"/>
      <c r="E3747" s="8"/>
      <c r="F3747" s="8"/>
    </row>
    <row r="3748" ht="13.5" customHeight="1">
      <c r="A3748" s="8" t="s">
        <v>1093</v>
      </c>
      <c r="B3748" s="8">
        <v>59232.0</v>
      </c>
      <c r="C3748" s="8"/>
      <c r="D3748" s="8"/>
      <c r="E3748" s="8"/>
      <c r="F3748" s="8"/>
    </row>
    <row r="3749" ht="13.5" customHeight="1">
      <c r="A3749" s="8" t="s">
        <v>1941</v>
      </c>
      <c r="B3749" s="8">
        <v>59939.0</v>
      </c>
      <c r="C3749" s="8"/>
      <c r="D3749" s="8"/>
      <c r="E3749" s="8"/>
      <c r="F3749" s="8"/>
    </row>
    <row r="3750" ht="13.5" customHeight="1">
      <c r="A3750" s="8" t="s">
        <v>1942</v>
      </c>
      <c r="B3750" s="8">
        <v>59973.0</v>
      </c>
      <c r="C3750" s="8"/>
      <c r="D3750" s="8"/>
      <c r="E3750" s="8"/>
      <c r="F3750" s="8"/>
    </row>
    <row r="3751" ht="13.5" customHeight="1">
      <c r="A3751" s="8" t="s">
        <v>1681</v>
      </c>
      <c r="B3751" s="8">
        <v>2563.0</v>
      </c>
      <c r="C3751" s="8"/>
      <c r="D3751" s="8"/>
      <c r="E3751" s="8"/>
      <c r="F3751" s="8"/>
    </row>
    <row r="3752" ht="13.5" customHeight="1">
      <c r="A3752" s="8" t="s">
        <v>1681</v>
      </c>
      <c r="B3752" s="8">
        <v>2759.0</v>
      </c>
      <c r="C3752" s="8"/>
      <c r="D3752" s="8"/>
      <c r="E3752" s="8"/>
      <c r="F3752" s="8"/>
    </row>
    <row r="3753" ht="13.5" customHeight="1">
      <c r="A3753" s="8" t="s">
        <v>1950</v>
      </c>
      <c r="B3753" s="8">
        <v>5350.0</v>
      </c>
      <c r="C3753" s="8"/>
      <c r="D3753" s="8"/>
      <c r="E3753" s="8"/>
      <c r="F3753" s="8"/>
    </row>
    <row r="3754" ht="13.5" customHeight="1">
      <c r="A3754" s="8" t="s">
        <v>1003</v>
      </c>
      <c r="B3754" s="8">
        <v>11777.0</v>
      </c>
      <c r="C3754" s="8"/>
      <c r="D3754" s="8"/>
      <c r="E3754" s="8"/>
      <c r="F3754" s="8"/>
    </row>
    <row r="3755" ht="13.5" customHeight="1">
      <c r="A3755" s="8" t="s">
        <v>1951</v>
      </c>
      <c r="B3755" s="8">
        <v>12420.0</v>
      </c>
      <c r="C3755" s="8"/>
      <c r="D3755" s="8"/>
      <c r="E3755" s="8"/>
      <c r="F3755" s="8"/>
    </row>
    <row r="3756" ht="13.5" customHeight="1">
      <c r="A3756" s="8" t="s">
        <v>1952</v>
      </c>
      <c r="B3756" s="8">
        <v>12611.0</v>
      </c>
      <c r="C3756" s="8"/>
      <c r="D3756" s="8"/>
      <c r="E3756" s="8"/>
      <c r="F3756" s="8"/>
    </row>
    <row r="3757" ht="13.5" customHeight="1">
      <c r="A3757" s="8" t="s">
        <v>1953</v>
      </c>
      <c r="B3757" s="8">
        <v>12676.0</v>
      </c>
      <c r="C3757" s="8"/>
      <c r="D3757" s="8"/>
      <c r="E3757" s="8"/>
      <c r="F3757" s="8"/>
    </row>
    <row r="3758" ht="13.5" customHeight="1">
      <c r="A3758" s="8" t="s">
        <v>1552</v>
      </c>
      <c r="B3758" s="8">
        <v>12871.0</v>
      </c>
      <c r="C3758" s="8"/>
      <c r="D3758" s="8"/>
      <c r="E3758" s="8"/>
      <c r="F3758" s="8"/>
    </row>
    <row r="3759" ht="13.5" customHeight="1">
      <c r="A3759" s="8" t="s">
        <v>1950</v>
      </c>
      <c r="B3759" s="8">
        <v>15040.0</v>
      </c>
      <c r="C3759" s="8"/>
      <c r="D3759" s="8"/>
      <c r="E3759" s="8"/>
      <c r="F3759" s="8"/>
    </row>
    <row r="3760" ht="13.5" customHeight="1">
      <c r="A3760" s="8" t="s">
        <v>1552</v>
      </c>
      <c r="B3760" s="8">
        <v>15491.0</v>
      </c>
      <c r="C3760" s="8"/>
      <c r="D3760" s="8"/>
      <c r="E3760" s="8"/>
      <c r="F3760" s="8"/>
    </row>
    <row r="3761" ht="13.5" customHeight="1">
      <c r="A3761" s="8" t="s">
        <v>1953</v>
      </c>
      <c r="B3761" s="8">
        <v>17028.0</v>
      </c>
      <c r="C3761" s="8"/>
      <c r="D3761" s="8"/>
      <c r="E3761" s="8"/>
      <c r="F3761" s="8"/>
    </row>
    <row r="3762" ht="13.5" customHeight="1">
      <c r="A3762" s="8" t="s">
        <v>1003</v>
      </c>
      <c r="B3762" s="8">
        <v>17859.0</v>
      </c>
      <c r="C3762" s="8"/>
      <c r="D3762" s="8"/>
      <c r="E3762" s="8"/>
      <c r="F3762" s="8"/>
    </row>
    <row r="3763" ht="13.5" customHeight="1">
      <c r="A3763" s="8" t="s">
        <v>1003</v>
      </c>
      <c r="B3763" s="8">
        <v>18340.0</v>
      </c>
      <c r="C3763" s="8"/>
      <c r="D3763" s="8"/>
      <c r="E3763" s="8"/>
      <c r="F3763" s="8"/>
    </row>
    <row r="3764" ht="13.5" customHeight="1">
      <c r="A3764" s="8" t="s">
        <v>1952</v>
      </c>
      <c r="B3764" s="8">
        <v>20704.0</v>
      </c>
      <c r="C3764" s="8"/>
      <c r="D3764" s="8"/>
      <c r="E3764" s="8"/>
      <c r="F3764" s="8"/>
    </row>
    <row r="3765" ht="13.5" customHeight="1">
      <c r="A3765" s="8" t="s">
        <v>1953</v>
      </c>
      <c r="B3765" s="8">
        <v>21477.0</v>
      </c>
      <c r="C3765" s="8"/>
      <c r="D3765" s="8"/>
      <c r="E3765" s="8"/>
      <c r="F3765" s="8"/>
    </row>
    <row r="3766" ht="13.5" customHeight="1">
      <c r="A3766" s="8" t="s">
        <v>1003</v>
      </c>
      <c r="B3766" s="8">
        <v>21602.0</v>
      </c>
      <c r="C3766" s="8"/>
      <c r="D3766" s="8"/>
      <c r="E3766" s="8"/>
      <c r="F3766" s="8"/>
    </row>
    <row r="3767" ht="13.5" customHeight="1">
      <c r="A3767" s="8" t="s">
        <v>1952</v>
      </c>
      <c r="B3767" s="8">
        <v>26758.0</v>
      </c>
      <c r="C3767" s="8"/>
      <c r="D3767" s="8"/>
      <c r="E3767" s="8"/>
      <c r="F3767" s="8"/>
    </row>
    <row r="3768" ht="13.5" customHeight="1">
      <c r="A3768" s="8" t="s">
        <v>1950</v>
      </c>
      <c r="B3768" s="8">
        <v>28291.0</v>
      </c>
      <c r="C3768" s="8"/>
      <c r="D3768" s="8"/>
      <c r="E3768" s="8"/>
      <c r="F3768" s="8"/>
    </row>
    <row r="3769" ht="13.5" customHeight="1">
      <c r="A3769" s="8" t="s">
        <v>1003</v>
      </c>
      <c r="B3769" s="8">
        <v>28455.0</v>
      </c>
      <c r="C3769" s="8"/>
      <c r="D3769" s="8"/>
      <c r="E3769" s="8"/>
      <c r="F3769" s="8"/>
    </row>
    <row r="3770" ht="13.5" customHeight="1">
      <c r="A3770" s="8" t="s">
        <v>1951</v>
      </c>
      <c r="B3770" s="8">
        <v>28963.0</v>
      </c>
      <c r="C3770" s="8"/>
      <c r="D3770" s="8"/>
      <c r="E3770" s="8"/>
      <c r="F3770" s="8"/>
    </row>
    <row r="3771" ht="13.5" customHeight="1">
      <c r="A3771" s="8" t="s">
        <v>1953</v>
      </c>
      <c r="B3771" s="8">
        <v>29216.0</v>
      </c>
      <c r="C3771" s="8"/>
      <c r="D3771" s="8"/>
      <c r="E3771" s="8"/>
      <c r="F3771" s="8"/>
    </row>
    <row r="3772" ht="13.5" customHeight="1">
      <c r="A3772" s="8" t="s">
        <v>1952</v>
      </c>
      <c r="B3772" s="8">
        <v>30405.0</v>
      </c>
      <c r="C3772" s="8"/>
      <c r="D3772" s="8"/>
      <c r="E3772" s="8"/>
      <c r="F3772" s="8"/>
    </row>
    <row r="3773" ht="13.5" customHeight="1">
      <c r="A3773" s="8" t="s">
        <v>1003</v>
      </c>
      <c r="B3773" s="8">
        <v>30976.0</v>
      </c>
      <c r="C3773" s="8"/>
      <c r="D3773" s="8"/>
      <c r="E3773" s="8"/>
      <c r="F3773" s="8"/>
    </row>
    <row r="3774" ht="13.5" customHeight="1">
      <c r="A3774" s="8" t="s">
        <v>1950</v>
      </c>
      <c r="B3774" s="8">
        <v>33220.0</v>
      </c>
      <c r="C3774" s="8"/>
      <c r="D3774" s="8"/>
      <c r="E3774" s="8"/>
      <c r="F3774" s="8"/>
    </row>
    <row r="3775" ht="13.5" customHeight="1">
      <c r="A3775" s="8" t="s">
        <v>1950</v>
      </c>
      <c r="B3775" s="8">
        <v>33701.0</v>
      </c>
      <c r="C3775" s="8"/>
      <c r="D3775" s="8"/>
      <c r="E3775" s="8"/>
      <c r="F3775" s="8"/>
    </row>
    <row r="3776" ht="13.5" customHeight="1">
      <c r="A3776" s="8" t="s">
        <v>1951</v>
      </c>
      <c r="B3776" s="8">
        <v>33793.0</v>
      </c>
      <c r="C3776" s="8"/>
      <c r="D3776" s="8"/>
      <c r="E3776" s="8"/>
      <c r="F3776" s="8"/>
    </row>
    <row r="3777" ht="13.5" customHeight="1">
      <c r="A3777" s="8" t="s">
        <v>1951</v>
      </c>
      <c r="B3777" s="8">
        <v>34499.0</v>
      </c>
      <c r="C3777" s="8"/>
      <c r="D3777" s="8"/>
      <c r="E3777" s="8"/>
      <c r="F3777" s="8"/>
    </row>
    <row r="3778" ht="13.5" customHeight="1">
      <c r="A3778" s="8" t="s">
        <v>1003</v>
      </c>
      <c r="B3778" s="8">
        <v>35040.0</v>
      </c>
      <c r="C3778" s="8"/>
      <c r="D3778" s="8"/>
      <c r="E3778" s="8"/>
      <c r="F3778" s="8"/>
    </row>
    <row r="3779" ht="13.5" customHeight="1">
      <c r="A3779" s="8" t="s">
        <v>1003</v>
      </c>
      <c r="B3779" s="8">
        <v>35238.0</v>
      </c>
      <c r="C3779" s="8"/>
      <c r="D3779" s="8"/>
      <c r="E3779" s="8"/>
      <c r="F3779" s="8"/>
    </row>
    <row r="3780" ht="13.5" customHeight="1">
      <c r="A3780" s="8" t="s">
        <v>1954</v>
      </c>
      <c r="B3780" s="8">
        <v>35399.0</v>
      </c>
      <c r="C3780" s="8"/>
      <c r="D3780" s="8"/>
      <c r="E3780" s="8"/>
      <c r="F3780" s="8"/>
    </row>
    <row r="3781" ht="13.5" customHeight="1">
      <c r="A3781" s="8" t="s">
        <v>1798</v>
      </c>
      <c r="B3781" s="8">
        <v>35910.0</v>
      </c>
      <c r="C3781" s="8"/>
      <c r="D3781" s="8"/>
      <c r="E3781" s="8"/>
      <c r="F3781" s="8"/>
    </row>
    <row r="3782" ht="13.5" customHeight="1">
      <c r="A3782" s="8" t="s">
        <v>1003</v>
      </c>
      <c r="B3782" s="8">
        <v>38118.0</v>
      </c>
      <c r="C3782" s="8"/>
      <c r="D3782" s="8"/>
      <c r="E3782" s="8"/>
      <c r="F3782" s="8"/>
    </row>
    <row r="3783" ht="13.5" customHeight="1">
      <c r="A3783" s="8" t="s">
        <v>1798</v>
      </c>
      <c r="B3783" s="8">
        <v>42886.0</v>
      </c>
      <c r="C3783" s="8"/>
      <c r="D3783" s="8"/>
      <c r="E3783" s="8"/>
      <c r="F3783" s="8"/>
    </row>
    <row r="3784" ht="13.5" customHeight="1">
      <c r="A3784" s="8" t="s">
        <v>1951</v>
      </c>
      <c r="B3784" s="8">
        <v>43620.0</v>
      </c>
      <c r="C3784" s="8"/>
      <c r="D3784" s="8"/>
      <c r="E3784" s="8"/>
      <c r="F3784" s="8"/>
    </row>
    <row r="3785" ht="13.5" customHeight="1">
      <c r="A3785" s="8" t="s">
        <v>1950</v>
      </c>
      <c r="B3785" s="8">
        <v>43936.0</v>
      </c>
      <c r="C3785" s="8"/>
      <c r="D3785" s="8"/>
      <c r="E3785" s="8"/>
      <c r="F3785" s="8"/>
    </row>
    <row r="3786" ht="13.5" customHeight="1">
      <c r="A3786" s="8" t="s">
        <v>1952</v>
      </c>
      <c r="B3786" s="8">
        <v>46018.0</v>
      </c>
      <c r="C3786" s="8"/>
      <c r="D3786" s="8"/>
      <c r="E3786" s="8"/>
      <c r="F3786" s="8"/>
    </row>
    <row r="3787" ht="13.5" customHeight="1">
      <c r="A3787" s="8" t="s">
        <v>1953</v>
      </c>
      <c r="B3787" s="8">
        <v>48327.0</v>
      </c>
      <c r="C3787" s="8"/>
      <c r="D3787" s="8"/>
      <c r="E3787" s="8"/>
      <c r="F3787" s="8"/>
    </row>
    <row r="3788" ht="13.5" customHeight="1">
      <c r="A3788" s="8" t="s">
        <v>1951</v>
      </c>
      <c r="B3788" s="8">
        <v>48448.0</v>
      </c>
      <c r="C3788" s="8"/>
      <c r="D3788" s="8"/>
      <c r="E3788" s="8"/>
      <c r="F3788" s="8"/>
    </row>
    <row r="3789" ht="13.5" customHeight="1">
      <c r="A3789" s="8" t="s">
        <v>1003</v>
      </c>
      <c r="B3789" s="8">
        <v>48544.0</v>
      </c>
      <c r="C3789" s="8"/>
      <c r="D3789" s="8"/>
      <c r="E3789" s="8"/>
      <c r="F3789" s="8"/>
    </row>
    <row r="3790" ht="13.5" customHeight="1">
      <c r="A3790" s="8" t="s">
        <v>1003</v>
      </c>
      <c r="B3790" s="8">
        <v>48900.0</v>
      </c>
      <c r="C3790" s="8"/>
      <c r="D3790" s="8"/>
      <c r="E3790" s="8"/>
      <c r="F3790" s="8"/>
    </row>
    <row r="3791" ht="13.5" customHeight="1">
      <c r="A3791" s="8" t="s">
        <v>1954</v>
      </c>
      <c r="B3791" s="8">
        <v>49319.0</v>
      </c>
      <c r="C3791" s="8"/>
      <c r="D3791" s="8"/>
      <c r="E3791" s="8"/>
      <c r="F3791" s="8"/>
    </row>
    <row r="3792" ht="13.5" customHeight="1">
      <c r="A3792" s="8" t="s">
        <v>1003</v>
      </c>
      <c r="B3792" s="8">
        <v>49638.0</v>
      </c>
      <c r="C3792" s="8"/>
      <c r="D3792" s="8"/>
      <c r="E3792" s="8"/>
      <c r="F3792" s="8"/>
    </row>
    <row r="3793" ht="13.5" customHeight="1">
      <c r="A3793" s="8" t="s">
        <v>1003</v>
      </c>
      <c r="B3793" s="8">
        <v>50055.0</v>
      </c>
      <c r="C3793" s="8"/>
      <c r="D3793" s="8"/>
      <c r="E3793" s="8"/>
      <c r="F3793" s="8"/>
    </row>
    <row r="3794" ht="13.5" customHeight="1">
      <c r="A3794" s="8" t="s">
        <v>1003</v>
      </c>
      <c r="B3794" s="8">
        <v>51360.0</v>
      </c>
      <c r="C3794" s="8"/>
      <c r="D3794" s="8"/>
      <c r="E3794" s="8"/>
      <c r="F3794" s="8"/>
    </row>
    <row r="3795" ht="13.5" customHeight="1">
      <c r="A3795" s="8" t="s">
        <v>1003</v>
      </c>
      <c r="B3795" s="8">
        <v>52672.0</v>
      </c>
      <c r="C3795" s="8"/>
      <c r="D3795" s="8"/>
      <c r="E3795" s="8"/>
      <c r="F3795" s="8"/>
    </row>
    <row r="3796" ht="13.5" customHeight="1">
      <c r="A3796" s="8" t="s">
        <v>1003</v>
      </c>
      <c r="B3796" s="8">
        <v>52867.0</v>
      </c>
      <c r="C3796" s="8"/>
      <c r="D3796" s="8"/>
      <c r="E3796" s="8"/>
      <c r="F3796" s="8"/>
    </row>
    <row r="3797" ht="13.5" customHeight="1">
      <c r="A3797" s="8" t="s">
        <v>1003</v>
      </c>
      <c r="B3797" s="8">
        <v>54176.0</v>
      </c>
      <c r="C3797" s="8"/>
      <c r="D3797" s="8"/>
      <c r="E3797" s="8"/>
      <c r="F3797" s="8"/>
    </row>
    <row r="3798" ht="13.5" customHeight="1">
      <c r="A3798" s="8" t="s">
        <v>1953</v>
      </c>
      <c r="B3798" s="8">
        <v>55171.0</v>
      </c>
      <c r="C3798" s="8"/>
      <c r="D3798" s="8"/>
      <c r="E3798" s="8"/>
      <c r="F3798" s="8"/>
    </row>
    <row r="3799" ht="13.5" customHeight="1">
      <c r="A3799" s="8" t="s">
        <v>1867</v>
      </c>
      <c r="B3799" s="8">
        <v>55683.0</v>
      </c>
      <c r="C3799" s="8"/>
      <c r="D3799" s="8"/>
      <c r="E3799" s="8"/>
      <c r="F3799" s="8"/>
    </row>
    <row r="3800" ht="13.5" customHeight="1">
      <c r="A3800" s="8" t="s">
        <v>1003</v>
      </c>
      <c r="B3800" s="8">
        <v>58147.0</v>
      </c>
      <c r="C3800" s="8"/>
      <c r="D3800" s="8"/>
      <c r="E3800" s="8"/>
      <c r="F3800" s="8"/>
    </row>
    <row r="3801" ht="13.5" customHeight="1">
      <c r="A3801" s="8" t="s">
        <v>1952</v>
      </c>
      <c r="B3801" s="8">
        <v>59456.0</v>
      </c>
      <c r="C3801" s="8"/>
      <c r="D3801" s="8"/>
      <c r="E3801" s="8"/>
      <c r="F3801" s="8"/>
    </row>
    <row r="3802" ht="13.5" customHeight="1">
      <c r="A3802" s="8" t="s">
        <v>1953</v>
      </c>
      <c r="B3802" s="8">
        <v>59591.0</v>
      </c>
      <c r="C3802" s="8"/>
      <c r="D3802" s="8"/>
      <c r="E3802" s="8"/>
      <c r="F3802" s="8"/>
    </row>
    <row r="3803" ht="13.5" customHeight="1">
      <c r="A3803" s="8" t="s">
        <v>1954</v>
      </c>
      <c r="B3803" s="8">
        <v>59879.0</v>
      </c>
      <c r="C3803" s="8"/>
      <c r="D3803" s="8"/>
      <c r="E3803" s="8"/>
      <c r="F3803" s="8"/>
    </row>
    <row r="3804" ht="13.5" customHeight="1">
      <c r="A3804" s="8" t="s">
        <v>1956</v>
      </c>
      <c r="B3804" s="8">
        <v>32.0</v>
      </c>
      <c r="C3804" s="8"/>
      <c r="D3804" s="8"/>
      <c r="E3804" s="8"/>
      <c r="F3804" s="8"/>
    </row>
    <row r="3805" ht="13.5" customHeight="1">
      <c r="A3805" s="8" t="s">
        <v>1957</v>
      </c>
      <c r="B3805" s="8">
        <v>69.0</v>
      </c>
      <c r="C3805" s="8"/>
      <c r="D3805" s="8"/>
      <c r="E3805" s="8"/>
      <c r="F3805" s="8"/>
    </row>
    <row r="3806" ht="13.5" customHeight="1">
      <c r="A3806" s="8" t="s">
        <v>1958</v>
      </c>
      <c r="B3806" s="8">
        <v>324.0</v>
      </c>
      <c r="C3806" s="8"/>
      <c r="D3806" s="8"/>
      <c r="E3806" s="8"/>
      <c r="F3806" s="8"/>
    </row>
    <row r="3807" ht="13.5" customHeight="1">
      <c r="A3807" s="8" t="s">
        <v>1959</v>
      </c>
      <c r="B3807" s="8">
        <v>1317.0</v>
      </c>
      <c r="C3807" s="8"/>
      <c r="D3807" s="8"/>
      <c r="E3807" s="8"/>
      <c r="F3807" s="8"/>
    </row>
    <row r="3808" ht="13.5" customHeight="1">
      <c r="A3808" s="8" t="s">
        <v>1196</v>
      </c>
      <c r="B3808" s="8">
        <v>1604.0</v>
      </c>
      <c r="C3808" s="8"/>
      <c r="D3808" s="8"/>
      <c r="E3808" s="8"/>
      <c r="F3808" s="8"/>
    </row>
    <row r="3809" ht="13.5" customHeight="1">
      <c r="A3809" s="8" t="s">
        <v>1957</v>
      </c>
      <c r="B3809" s="8">
        <v>2144.0</v>
      </c>
      <c r="C3809" s="8"/>
      <c r="D3809" s="8"/>
      <c r="E3809" s="8"/>
      <c r="F3809" s="8"/>
    </row>
    <row r="3810" ht="13.5" customHeight="1">
      <c r="A3810" s="8" t="s">
        <v>1960</v>
      </c>
      <c r="B3810" s="8">
        <v>3012.0</v>
      </c>
      <c r="C3810" s="8"/>
      <c r="D3810" s="8"/>
      <c r="E3810" s="8"/>
      <c r="F3810" s="8"/>
    </row>
    <row r="3811" ht="13.5" customHeight="1">
      <c r="A3811" s="8" t="s">
        <v>1961</v>
      </c>
      <c r="B3811" s="8">
        <v>3169.0</v>
      </c>
      <c r="C3811" s="8"/>
      <c r="D3811" s="8"/>
      <c r="E3811" s="8"/>
      <c r="F3811" s="8"/>
    </row>
    <row r="3812" ht="13.5" customHeight="1">
      <c r="A3812" s="8" t="s">
        <v>949</v>
      </c>
      <c r="B3812" s="8">
        <v>3331.0</v>
      </c>
      <c r="C3812" s="8"/>
      <c r="D3812" s="8"/>
      <c r="E3812" s="8"/>
      <c r="F3812" s="8"/>
    </row>
    <row r="3813" ht="13.5" customHeight="1">
      <c r="A3813" s="8" t="s">
        <v>1837</v>
      </c>
      <c r="B3813" s="8">
        <v>3650.0</v>
      </c>
      <c r="C3813" s="8"/>
      <c r="D3813" s="8"/>
      <c r="E3813" s="8"/>
      <c r="F3813" s="8"/>
    </row>
    <row r="3814" ht="13.5" customHeight="1">
      <c r="A3814" s="8" t="s">
        <v>1957</v>
      </c>
      <c r="B3814" s="8">
        <v>3783.0</v>
      </c>
      <c r="C3814" s="8"/>
      <c r="D3814" s="8"/>
      <c r="E3814" s="8"/>
      <c r="F3814" s="8"/>
    </row>
    <row r="3815" ht="13.5" customHeight="1">
      <c r="A3815" s="8" t="s">
        <v>1960</v>
      </c>
      <c r="B3815" s="8">
        <v>4583.0</v>
      </c>
      <c r="C3815" s="8"/>
      <c r="D3815" s="8"/>
      <c r="E3815" s="8"/>
      <c r="F3815" s="8"/>
    </row>
    <row r="3816" ht="13.5" customHeight="1">
      <c r="A3816" s="8" t="s">
        <v>1196</v>
      </c>
      <c r="B3816" s="8">
        <v>4675.0</v>
      </c>
      <c r="C3816" s="8"/>
      <c r="D3816" s="8"/>
      <c r="E3816" s="8"/>
      <c r="F3816" s="8"/>
    </row>
    <row r="3817" ht="13.5" customHeight="1">
      <c r="A3817" s="8" t="s">
        <v>949</v>
      </c>
      <c r="B3817" s="8">
        <v>4772.0</v>
      </c>
      <c r="C3817" s="8"/>
      <c r="D3817" s="8"/>
      <c r="E3817" s="8"/>
      <c r="F3817" s="8"/>
    </row>
    <row r="3818" ht="13.5" customHeight="1">
      <c r="A3818" s="8" t="s">
        <v>1131</v>
      </c>
      <c r="B3818" s="8">
        <v>5217.0</v>
      </c>
      <c r="C3818" s="8"/>
      <c r="D3818" s="8"/>
      <c r="E3818" s="8"/>
      <c r="F3818" s="8"/>
    </row>
    <row r="3819" ht="13.5" customHeight="1">
      <c r="A3819" s="8" t="s">
        <v>1957</v>
      </c>
      <c r="B3819" s="8">
        <v>5765.0</v>
      </c>
      <c r="C3819" s="8"/>
      <c r="D3819" s="8"/>
      <c r="E3819" s="8"/>
      <c r="F3819" s="8"/>
    </row>
    <row r="3820" ht="13.5" customHeight="1">
      <c r="A3820" s="8" t="s">
        <v>1957</v>
      </c>
      <c r="B3820" s="8">
        <v>6339.0</v>
      </c>
      <c r="C3820" s="8"/>
      <c r="D3820" s="8"/>
      <c r="E3820" s="8"/>
      <c r="F3820" s="8"/>
    </row>
    <row r="3821" ht="13.5" customHeight="1">
      <c r="A3821" s="8" t="s">
        <v>1962</v>
      </c>
      <c r="B3821" s="8">
        <v>6848.0</v>
      </c>
      <c r="C3821" s="8"/>
      <c r="D3821" s="8"/>
      <c r="E3821" s="8"/>
      <c r="F3821" s="8"/>
    </row>
    <row r="3822" ht="13.5" customHeight="1">
      <c r="A3822" s="8" t="s">
        <v>1960</v>
      </c>
      <c r="B3822" s="8">
        <v>7782.0</v>
      </c>
      <c r="C3822" s="8"/>
      <c r="D3822" s="8"/>
      <c r="E3822" s="8"/>
      <c r="F3822" s="8"/>
    </row>
    <row r="3823" ht="13.5" customHeight="1">
      <c r="A3823" s="8" t="s">
        <v>949</v>
      </c>
      <c r="B3823" s="8">
        <v>7941.0</v>
      </c>
      <c r="C3823" s="8"/>
      <c r="D3823" s="8"/>
      <c r="E3823" s="8"/>
      <c r="F3823" s="8"/>
    </row>
    <row r="3824" ht="13.5" customHeight="1">
      <c r="A3824" s="8" t="s">
        <v>1963</v>
      </c>
      <c r="B3824" s="8">
        <v>8034.0</v>
      </c>
      <c r="C3824" s="8"/>
      <c r="D3824" s="8"/>
      <c r="E3824" s="8"/>
      <c r="F3824" s="8"/>
    </row>
    <row r="3825" ht="13.5" customHeight="1">
      <c r="A3825" s="8" t="s">
        <v>1196</v>
      </c>
      <c r="B3825" s="8">
        <v>8135.0</v>
      </c>
      <c r="C3825" s="8"/>
      <c r="D3825" s="8"/>
      <c r="E3825" s="8"/>
      <c r="F3825" s="8"/>
    </row>
    <row r="3826" ht="13.5" customHeight="1">
      <c r="A3826" s="8" t="s">
        <v>1957</v>
      </c>
      <c r="B3826" s="8">
        <v>9473.0</v>
      </c>
      <c r="C3826" s="8"/>
      <c r="D3826" s="8"/>
      <c r="E3826" s="8"/>
      <c r="F3826" s="8"/>
    </row>
    <row r="3827" ht="13.5" customHeight="1">
      <c r="A3827" s="8" t="s">
        <v>1961</v>
      </c>
      <c r="B3827" s="8">
        <v>10210.0</v>
      </c>
      <c r="C3827" s="8"/>
      <c r="D3827" s="8"/>
      <c r="E3827" s="8"/>
      <c r="F3827" s="8"/>
    </row>
    <row r="3828" ht="13.5" customHeight="1">
      <c r="A3828" s="8" t="s">
        <v>1963</v>
      </c>
      <c r="B3828" s="8">
        <v>10308.0</v>
      </c>
      <c r="C3828" s="8"/>
      <c r="D3828" s="8"/>
      <c r="E3828" s="8"/>
      <c r="F3828" s="8"/>
    </row>
    <row r="3829" ht="13.5" customHeight="1">
      <c r="A3829" s="8" t="s">
        <v>949</v>
      </c>
      <c r="B3829" s="8">
        <v>10951.0</v>
      </c>
      <c r="C3829" s="8"/>
      <c r="D3829" s="8"/>
      <c r="E3829" s="8"/>
      <c r="F3829" s="8"/>
    </row>
    <row r="3830" ht="13.5" customHeight="1">
      <c r="A3830" s="8" t="s">
        <v>1960</v>
      </c>
      <c r="B3830" s="8">
        <v>12194.0</v>
      </c>
      <c r="C3830" s="8"/>
      <c r="D3830" s="8"/>
      <c r="E3830" s="8"/>
      <c r="F3830" s="8"/>
    </row>
    <row r="3831" ht="13.5" customHeight="1">
      <c r="A3831" s="8" t="s">
        <v>949</v>
      </c>
      <c r="B3831" s="8">
        <v>12642.0</v>
      </c>
      <c r="C3831" s="8"/>
      <c r="D3831" s="8"/>
      <c r="E3831" s="8"/>
      <c r="F3831" s="8"/>
    </row>
    <row r="3832" ht="13.5" customHeight="1">
      <c r="A3832" s="8" t="s">
        <v>1964</v>
      </c>
      <c r="B3832" s="8">
        <v>13542.0</v>
      </c>
      <c r="C3832" s="8"/>
      <c r="D3832" s="8"/>
      <c r="E3832" s="8"/>
      <c r="F3832" s="8"/>
    </row>
    <row r="3833" ht="13.5" customHeight="1">
      <c r="A3833" s="8" t="s">
        <v>1965</v>
      </c>
      <c r="B3833" s="8">
        <v>13988.0</v>
      </c>
      <c r="C3833" s="8"/>
      <c r="D3833" s="8"/>
      <c r="E3833" s="8"/>
      <c r="F3833" s="8"/>
    </row>
    <row r="3834" ht="13.5" customHeight="1">
      <c r="A3834" s="8" t="s">
        <v>1965</v>
      </c>
      <c r="B3834" s="8">
        <v>14241.0</v>
      </c>
      <c r="C3834" s="8"/>
      <c r="D3834" s="8"/>
      <c r="E3834" s="8"/>
      <c r="F3834" s="8"/>
    </row>
    <row r="3835" ht="13.5" customHeight="1">
      <c r="A3835" s="8" t="s">
        <v>1963</v>
      </c>
      <c r="B3835" s="8">
        <v>14242.0</v>
      </c>
      <c r="C3835" s="8"/>
      <c r="D3835" s="8"/>
      <c r="E3835" s="8"/>
      <c r="F3835" s="8"/>
    </row>
    <row r="3836" ht="13.5" customHeight="1">
      <c r="A3836" s="8" t="s">
        <v>1959</v>
      </c>
      <c r="B3836" s="8">
        <v>14913.0</v>
      </c>
      <c r="C3836" s="8"/>
      <c r="D3836" s="8"/>
      <c r="E3836" s="8"/>
      <c r="F3836" s="8"/>
    </row>
    <row r="3837" ht="13.5" customHeight="1">
      <c r="A3837" s="8" t="s">
        <v>1837</v>
      </c>
      <c r="B3837" s="8">
        <v>14951.0</v>
      </c>
      <c r="C3837" s="8"/>
      <c r="D3837" s="8"/>
      <c r="E3837" s="8"/>
      <c r="F3837" s="8"/>
    </row>
    <row r="3838" ht="13.5" customHeight="1">
      <c r="A3838" s="8" t="s">
        <v>1196</v>
      </c>
      <c r="B3838" s="8">
        <v>14983.0</v>
      </c>
      <c r="C3838" s="8"/>
      <c r="D3838" s="8"/>
      <c r="E3838" s="8"/>
      <c r="F3838" s="8"/>
    </row>
    <row r="3839" ht="13.5" customHeight="1">
      <c r="A3839" s="8" t="s">
        <v>1964</v>
      </c>
      <c r="B3839" s="8">
        <v>15524.0</v>
      </c>
      <c r="C3839" s="8"/>
      <c r="D3839" s="8"/>
      <c r="E3839" s="8"/>
      <c r="F3839" s="8"/>
    </row>
    <row r="3840" ht="13.5" customHeight="1">
      <c r="A3840" s="8" t="s">
        <v>1965</v>
      </c>
      <c r="B3840" s="8">
        <v>15714.0</v>
      </c>
      <c r="C3840" s="8"/>
      <c r="D3840" s="8"/>
      <c r="E3840" s="8"/>
      <c r="F3840" s="8"/>
    </row>
    <row r="3841" ht="13.5" customHeight="1">
      <c r="A3841" s="8" t="s">
        <v>1837</v>
      </c>
      <c r="B3841" s="8">
        <v>17282.0</v>
      </c>
      <c r="C3841" s="8"/>
      <c r="D3841" s="8"/>
      <c r="E3841" s="8"/>
      <c r="F3841" s="8"/>
    </row>
    <row r="3842" ht="13.5" customHeight="1">
      <c r="A3842" s="8" t="s">
        <v>1196</v>
      </c>
      <c r="B3842" s="8">
        <v>17381.0</v>
      </c>
      <c r="C3842" s="8"/>
      <c r="D3842" s="8"/>
      <c r="E3842" s="8"/>
      <c r="F3842" s="8"/>
    </row>
    <row r="3843" ht="13.5" customHeight="1">
      <c r="A3843" s="8" t="s">
        <v>949</v>
      </c>
      <c r="B3843" s="8">
        <v>17862.0</v>
      </c>
      <c r="C3843" s="8"/>
      <c r="D3843" s="8"/>
      <c r="E3843" s="8"/>
      <c r="F3843" s="8"/>
    </row>
    <row r="3844" ht="13.5" customHeight="1">
      <c r="A3844" s="8" t="s">
        <v>1959</v>
      </c>
      <c r="B3844" s="8">
        <v>17927.0</v>
      </c>
      <c r="C3844" s="8"/>
      <c r="D3844" s="8"/>
      <c r="E3844" s="8"/>
      <c r="F3844" s="8"/>
    </row>
    <row r="3845" ht="13.5" customHeight="1">
      <c r="A3845" s="8" t="s">
        <v>1543</v>
      </c>
      <c r="B3845" s="8">
        <v>17988.0</v>
      </c>
      <c r="C3845" s="8"/>
      <c r="D3845" s="8"/>
      <c r="E3845" s="8"/>
      <c r="F3845" s="8"/>
    </row>
    <row r="3846" ht="13.5" customHeight="1">
      <c r="A3846" s="8" t="s">
        <v>1961</v>
      </c>
      <c r="B3846" s="8">
        <v>18049.0</v>
      </c>
      <c r="C3846" s="8"/>
      <c r="D3846" s="8"/>
      <c r="E3846" s="8"/>
      <c r="F3846" s="8"/>
    </row>
    <row r="3847" ht="13.5" customHeight="1">
      <c r="A3847" s="8" t="s">
        <v>1963</v>
      </c>
      <c r="B3847" s="8">
        <v>18307.0</v>
      </c>
      <c r="C3847" s="8"/>
      <c r="D3847" s="8"/>
      <c r="E3847" s="8"/>
      <c r="F3847" s="8"/>
    </row>
    <row r="3848" ht="13.5" customHeight="1">
      <c r="A3848" s="8" t="s">
        <v>1196</v>
      </c>
      <c r="B3848" s="8">
        <v>18370.0</v>
      </c>
      <c r="C3848" s="8"/>
      <c r="D3848" s="8"/>
      <c r="E3848" s="8"/>
      <c r="F3848" s="8"/>
    </row>
    <row r="3849" ht="13.5" customHeight="1">
      <c r="A3849" s="8" t="s">
        <v>1837</v>
      </c>
      <c r="B3849" s="8">
        <v>18371.0</v>
      </c>
      <c r="C3849" s="8"/>
      <c r="D3849" s="8"/>
      <c r="E3849" s="8"/>
      <c r="F3849" s="8"/>
    </row>
    <row r="3850" ht="13.5" customHeight="1">
      <c r="A3850" s="8" t="s">
        <v>1959</v>
      </c>
      <c r="B3850" s="8">
        <v>19649.0</v>
      </c>
      <c r="C3850" s="8"/>
      <c r="D3850" s="8"/>
      <c r="E3850" s="8"/>
      <c r="F3850" s="8"/>
    </row>
    <row r="3851" ht="13.5" customHeight="1">
      <c r="A3851" s="8" t="s">
        <v>1960</v>
      </c>
      <c r="B3851" s="8">
        <v>19748.0</v>
      </c>
      <c r="C3851" s="8"/>
      <c r="D3851" s="8"/>
      <c r="E3851" s="8"/>
      <c r="F3851" s="8"/>
    </row>
    <row r="3852" ht="13.5" customHeight="1">
      <c r="A3852" s="8" t="s">
        <v>1196</v>
      </c>
      <c r="B3852" s="8">
        <v>19974.0</v>
      </c>
      <c r="C3852" s="8"/>
      <c r="D3852" s="8"/>
      <c r="E3852" s="8"/>
      <c r="F3852" s="8"/>
    </row>
    <row r="3853" ht="13.5" customHeight="1">
      <c r="A3853" s="8" t="s">
        <v>1961</v>
      </c>
      <c r="B3853" s="8">
        <v>20032.0</v>
      </c>
      <c r="C3853" s="8"/>
      <c r="D3853" s="8"/>
      <c r="E3853" s="8"/>
      <c r="F3853" s="8"/>
    </row>
    <row r="3854" ht="13.5" customHeight="1">
      <c r="A3854" s="8" t="s">
        <v>1131</v>
      </c>
      <c r="B3854" s="8">
        <v>22727.0</v>
      </c>
      <c r="C3854" s="8"/>
      <c r="D3854" s="8"/>
      <c r="E3854" s="8"/>
      <c r="F3854" s="8"/>
    </row>
    <row r="3855" ht="13.5" customHeight="1">
      <c r="A3855" s="8" t="s">
        <v>1543</v>
      </c>
      <c r="B3855" s="8">
        <v>22978.0</v>
      </c>
      <c r="C3855" s="8"/>
      <c r="D3855" s="8"/>
      <c r="E3855" s="8"/>
      <c r="F3855" s="8"/>
    </row>
    <row r="3856" ht="13.5" customHeight="1">
      <c r="A3856" s="8" t="s">
        <v>1965</v>
      </c>
      <c r="B3856" s="8">
        <v>23140.0</v>
      </c>
      <c r="C3856" s="8"/>
      <c r="D3856" s="8"/>
      <c r="E3856" s="8"/>
      <c r="F3856" s="8"/>
    </row>
    <row r="3857" ht="13.5" customHeight="1">
      <c r="A3857" s="8" t="s">
        <v>1543</v>
      </c>
      <c r="B3857" s="8">
        <v>23586.0</v>
      </c>
      <c r="C3857" s="8"/>
      <c r="D3857" s="8"/>
      <c r="E3857" s="8"/>
      <c r="F3857" s="8"/>
    </row>
    <row r="3858" ht="13.5" customHeight="1">
      <c r="A3858" s="8" t="s">
        <v>1961</v>
      </c>
      <c r="B3858" s="8">
        <v>23648.0</v>
      </c>
      <c r="C3858" s="8"/>
      <c r="D3858" s="8"/>
      <c r="E3858" s="8"/>
      <c r="F3858" s="8"/>
    </row>
    <row r="3859" ht="13.5" customHeight="1">
      <c r="A3859" s="8" t="s">
        <v>1965</v>
      </c>
      <c r="B3859" s="8">
        <v>24931.0</v>
      </c>
      <c r="C3859" s="8"/>
      <c r="D3859" s="8"/>
      <c r="E3859" s="8"/>
      <c r="F3859" s="8"/>
    </row>
    <row r="3860" ht="13.5" customHeight="1">
      <c r="A3860" s="8" t="s">
        <v>1196</v>
      </c>
      <c r="B3860" s="8">
        <v>25443.0</v>
      </c>
      <c r="C3860" s="8"/>
      <c r="D3860" s="8"/>
      <c r="E3860" s="8"/>
      <c r="F3860" s="8"/>
    </row>
    <row r="3861" ht="13.5" customHeight="1">
      <c r="A3861" s="8" t="s">
        <v>1961</v>
      </c>
      <c r="B3861" s="8">
        <v>25953.0</v>
      </c>
      <c r="C3861" s="8"/>
      <c r="D3861" s="8"/>
      <c r="E3861" s="8"/>
      <c r="F3861" s="8"/>
    </row>
    <row r="3862" ht="13.5" customHeight="1">
      <c r="A3862" s="8" t="s">
        <v>1705</v>
      </c>
      <c r="B3862" s="8">
        <v>26144.0</v>
      </c>
      <c r="C3862" s="8"/>
      <c r="D3862" s="8"/>
      <c r="E3862" s="8"/>
      <c r="F3862" s="8"/>
    </row>
    <row r="3863" ht="13.5" customHeight="1">
      <c r="A3863" s="8" t="s">
        <v>1823</v>
      </c>
      <c r="B3863" s="8">
        <v>26439.0</v>
      </c>
      <c r="C3863" s="8"/>
      <c r="D3863" s="8"/>
      <c r="E3863" s="8"/>
      <c r="F3863" s="8"/>
    </row>
    <row r="3864" ht="13.5" customHeight="1">
      <c r="A3864" s="8" t="s">
        <v>1196</v>
      </c>
      <c r="B3864" s="8">
        <v>26466.0</v>
      </c>
      <c r="C3864" s="8"/>
      <c r="D3864" s="8"/>
      <c r="E3864" s="8"/>
      <c r="F3864" s="8"/>
    </row>
    <row r="3865" ht="13.5" customHeight="1">
      <c r="A3865" s="8" t="s">
        <v>1960</v>
      </c>
      <c r="B3865" s="8">
        <v>28037.0</v>
      </c>
      <c r="C3865" s="8"/>
      <c r="D3865" s="8"/>
      <c r="E3865" s="8"/>
      <c r="F3865" s="8"/>
    </row>
    <row r="3866" ht="13.5" customHeight="1">
      <c r="A3866" s="8" t="s">
        <v>1705</v>
      </c>
      <c r="B3866" s="8">
        <v>28294.0</v>
      </c>
      <c r="C3866" s="8"/>
      <c r="D3866" s="8"/>
      <c r="E3866" s="8"/>
      <c r="F3866" s="8"/>
    </row>
    <row r="3867" ht="13.5" customHeight="1">
      <c r="A3867" s="8" t="s">
        <v>1131</v>
      </c>
      <c r="B3867" s="8">
        <v>28453.0</v>
      </c>
      <c r="C3867" s="8"/>
      <c r="D3867" s="8"/>
      <c r="E3867" s="8"/>
      <c r="F3867" s="8"/>
    </row>
    <row r="3868" ht="13.5" customHeight="1">
      <c r="A3868" s="8" t="s">
        <v>1705</v>
      </c>
      <c r="B3868" s="8">
        <v>28512.0</v>
      </c>
      <c r="C3868" s="8"/>
      <c r="D3868" s="8"/>
      <c r="E3868" s="8"/>
      <c r="F3868" s="8"/>
    </row>
    <row r="3869" ht="13.5" customHeight="1">
      <c r="A3869" s="8" t="s">
        <v>1956</v>
      </c>
      <c r="B3869" s="8">
        <v>28641.0</v>
      </c>
      <c r="C3869" s="8"/>
      <c r="D3869" s="8"/>
      <c r="E3869" s="8"/>
      <c r="F3869" s="8"/>
    </row>
    <row r="3870" ht="13.5" customHeight="1">
      <c r="A3870" s="8" t="s">
        <v>1960</v>
      </c>
      <c r="B3870" s="8">
        <v>28867.0</v>
      </c>
      <c r="C3870" s="8"/>
      <c r="D3870" s="8"/>
      <c r="E3870" s="8"/>
      <c r="F3870" s="8"/>
    </row>
    <row r="3871" ht="13.5" customHeight="1">
      <c r="A3871" s="8" t="s">
        <v>1959</v>
      </c>
      <c r="B3871" s="8">
        <v>28899.0</v>
      </c>
      <c r="C3871" s="8"/>
      <c r="D3871" s="8"/>
      <c r="E3871" s="8"/>
      <c r="F3871" s="8"/>
    </row>
    <row r="3872" ht="13.5" customHeight="1">
      <c r="A3872" s="8" t="s">
        <v>1967</v>
      </c>
      <c r="B3872" s="8">
        <v>30343.0</v>
      </c>
      <c r="C3872" s="8"/>
      <c r="D3872" s="8"/>
      <c r="E3872" s="8"/>
      <c r="F3872" s="8"/>
    </row>
    <row r="3873" ht="13.5" customHeight="1">
      <c r="A3873" s="8" t="s">
        <v>1968</v>
      </c>
      <c r="B3873" s="8">
        <v>30657.0</v>
      </c>
      <c r="C3873" s="8"/>
      <c r="D3873" s="8"/>
      <c r="E3873" s="8"/>
      <c r="F3873" s="8"/>
    </row>
    <row r="3874" ht="13.5" customHeight="1">
      <c r="A3874" s="8" t="s">
        <v>1968</v>
      </c>
      <c r="B3874" s="8">
        <v>31330.0</v>
      </c>
      <c r="C3874" s="8"/>
      <c r="D3874" s="8"/>
      <c r="E3874" s="8"/>
      <c r="F3874" s="8"/>
    </row>
    <row r="3875" ht="13.5" customHeight="1">
      <c r="A3875" s="8" t="s">
        <v>1962</v>
      </c>
      <c r="B3875" s="8">
        <v>31556.0</v>
      </c>
      <c r="C3875" s="8"/>
      <c r="D3875" s="8"/>
      <c r="E3875" s="8"/>
      <c r="F3875" s="8"/>
    </row>
    <row r="3876" ht="13.5" customHeight="1">
      <c r="A3876" s="8" t="s">
        <v>1776</v>
      </c>
      <c r="B3876" s="8">
        <v>31648.0</v>
      </c>
      <c r="C3876" s="8"/>
      <c r="D3876" s="8"/>
      <c r="E3876" s="8"/>
      <c r="F3876" s="8"/>
    </row>
    <row r="3877" ht="13.5" customHeight="1">
      <c r="A3877" s="8" t="s">
        <v>1961</v>
      </c>
      <c r="B3877" s="8">
        <v>32100.0</v>
      </c>
      <c r="C3877" s="8"/>
      <c r="D3877" s="8"/>
      <c r="E3877" s="8"/>
      <c r="F3877" s="8"/>
    </row>
    <row r="3878" ht="13.5" customHeight="1">
      <c r="A3878" s="8" t="s">
        <v>1957</v>
      </c>
      <c r="B3878" s="8">
        <v>32675.0</v>
      </c>
      <c r="C3878" s="8"/>
      <c r="D3878" s="8"/>
      <c r="E3878" s="8"/>
      <c r="F3878" s="8"/>
    </row>
    <row r="3879" ht="13.5" customHeight="1">
      <c r="A3879" s="8" t="s">
        <v>1131</v>
      </c>
      <c r="B3879" s="8">
        <v>32804.0</v>
      </c>
      <c r="C3879" s="8"/>
      <c r="D3879" s="8"/>
      <c r="E3879" s="8"/>
      <c r="F3879" s="8"/>
    </row>
    <row r="3880" ht="13.5" customHeight="1">
      <c r="A3880" s="8" t="s">
        <v>1959</v>
      </c>
      <c r="B3880" s="8">
        <v>32996.0</v>
      </c>
      <c r="C3880" s="8"/>
      <c r="D3880" s="8"/>
      <c r="E3880" s="8"/>
      <c r="F3880" s="8"/>
    </row>
    <row r="3881" ht="13.5" customHeight="1">
      <c r="A3881" s="8" t="s">
        <v>1963</v>
      </c>
      <c r="B3881" s="8">
        <v>33184.0</v>
      </c>
      <c r="C3881" s="8"/>
      <c r="D3881" s="8"/>
      <c r="E3881" s="8"/>
      <c r="F3881" s="8"/>
    </row>
    <row r="3882" ht="13.5" customHeight="1">
      <c r="A3882" s="8" t="s">
        <v>1957</v>
      </c>
      <c r="B3882" s="8">
        <v>33731.0</v>
      </c>
      <c r="C3882" s="8"/>
      <c r="D3882" s="8"/>
      <c r="E3882" s="8"/>
      <c r="F3882" s="8"/>
    </row>
    <row r="3883" ht="13.5" customHeight="1">
      <c r="A3883" s="8" t="s">
        <v>1963</v>
      </c>
      <c r="B3883" s="8">
        <v>34112.0</v>
      </c>
      <c r="C3883" s="8"/>
      <c r="D3883" s="8"/>
      <c r="E3883" s="8"/>
      <c r="F3883" s="8"/>
    </row>
    <row r="3884" ht="13.5" customHeight="1">
      <c r="A3884" s="8" t="s">
        <v>1131</v>
      </c>
      <c r="B3884" s="8">
        <v>34849.0</v>
      </c>
      <c r="C3884" s="8"/>
      <c r="D3884" s="8"/>
      <c r="E3884" s="8"/>
      <c r="F3884" s="8"/>
    </row>
    <row r="3885" ht="13.5" customHeight="1">
      <c r="A3885" s="8" t="s">
        <v>1968</v>
      </c>
      <c r="B3885" s="8">
        <v>37923.0</v>
      </c>
      <c r="C3885" s="8"/>
      <c r="D3885" s="8"/>
      <c r="E3885" s="8"/>
      <c r="F3885" s="8"/>
    </row>
    <row r="3886" ht="13.5" customHeight="1">
      <c r="A3886" s="8" t="s">
        <v>1963</v>
      </c>
      <c r="B3886" s="8">
        <v>38215.0</v>
      </c>
      <c r="C3886" s="8"/>
      <c r="D3886" s="8"/>
      <c r="E3886" s="8"/>
      <c r="F3886" s="8"/>
    </row>
    <row r="3887" ht="13.5" customHeight="1">
      <c r="A3887" s="8" t="s">
        <v>1957</v>
      </c>
      <c r="B3887" s="8">
        <v>38659.0</v>
      </c>
      <c r="C3887" s="8"/>
      <c r="D3887" s="8"/>
      <c r="E3887" s="8"/>
      <c r="F3887" s="8"/>
    </row>
    <row r="3888" ht="13.5" customHeight="1">
      <c r="A3888" s="8" t="s">
        <v>1961</v>
      </c>
      <c r="B3888" s="8">
        <v>38982.0</v>
      </c>
      <c r="C3888" s="8"/>
      <c r="D3888" s="8"/>
      <c r="E3888" s="8"/>
      <c r="F3888" s="8"/>
    </row>
    <row r="3889" ht="13.5" customHeight="1">
      <c r="A3889" s="8" t="s">
        <v>949</v>
      </c>
      <c r="B3889" s="8">
        <v>39908.0</v>
      </c>
      <c r="C3889" s="8"/>
      <c r="D3889" s="8"/>
      <c r="E3889" s="8"/>
      <c r="F3889" s="8"/>
    </row>
    <row r="3890" ht="13.5" customHeight="1">
      <c r="A3890" s="8" t="s">
        <v>1958</v>
      </c>
      <c r="B3890" s="8">
        <v>40225.0</v>
      </c>
      <c r="C3890" s="8"/>
      <c r="D3890" s="8"/>
      <c r="E3890" s="8"/>
      <c r="F3890" s="8"/>
    </row>
    <row r="3891" ht="13.5" customHeight="1">
      <c r="A3891" s="8" t="s">
        <v>1776</v>
      </c>
      <c r="B3891" s="8">
        <v>40512.0</v>
      </c>
      <c r="C3891" s="8"/>
      <c r="D3891" s="8"/>
      <c r="E3891" s="8"/>
      <c r="F3891" s="8"/>
    </row>
    <row r="3892" ht="13.5" customHeight="1">
      <c r="A3892" s="8" t="s">
        <v>1965</v>
      </c>
      <c r="B3892" s="8">
        <v>41636.0</v>
      </c>
      <c r="C3892" s="8"/>
      <c r="D3892" s="8"/>
      <c r="E3892" s="8"/>
      <c r="F3892" s="8"/>
    </row>
    <row r="3893" ht="13.5" customHeight="1">
      <c r="A3893" s="8" t="s">
        <v>1957</v>
      </c>
      <c r="B3893" s="8">
        <v>41799.0</v>
      </c>
      <c r="C3893" s="8"/>
      <c r="D3893" s="8"/>
      <c r="E3893" s="8"/>
      <c r="F3893" s="8"/>
    </row>
    <row r="3894" ht="13.5" customHeight="1">
      <c r="A3894" s="8" t="s">
        <v>1131</v>
      </c>
      <c r="B3894" s="8">
        <v>41857.0</v>
      </c>
      <c r="C3894" s="8"/>
      <c r="D3894" s="8"/>
      <c r="E3894" s="8"/>
      <c r="F3894" s="8"/>
    </row>
    <row r="3895" ht="13.5" customHeight="1">
      <c r="A3895" s="8" t="s">
        <v>1963</v>
      </c>
      <c r="B3895" s="8">
        <v>42374.0</v>
      </c>
      <c r="C3895" s="8"/>
      <c r="D3895" s="8"/>
      <c r="E3895" s="8"/>
      <c r="F3895" s="8"/>
    </row>
    <row r="3896" ht="13.5" customHeight="1">
      <c r="A3896" s="8" t="s">
        <v>354</v>
      </c>
      <c r="B3896" s="8">
        <v>42631.0</v>
      </c>
      <c r="C3896" s="8"/>
      <c r="D3896" s="8"/>
      <c r="E3896" s="8"/>
      <c r="F3896" s="8"/>
    </row>
    <row r="3897" ht="13.5" customHeight="1">
      <c r="A3897" s="8" t="s">
        <v>1960</v>
      </c>
      <c r="B3897" s="8">
        <v>42979.0</v>
      </c>
      <c r="C3897" s="8"/>
      <c r="D3897" s="8"/>
      <c r="E3897" s="8"/>
      <c r="F3897" s="8"/>
    </row>
    <row r="3898" ht="13.5" customHeight="1">
      <c r="A3898" s="8" t="s">
        <v>949</v>
      </c>
      <c r="B3898" s="8">
        <v>43045.0</v>
      </c>
      <c r="C3898" s="8"/>
      <c r="D3898" s="8"/>
      <c r="E3898" s="8"/>
      <c r="F3898" s="8"/>
    </row>
    <row r="3899" ht="13.5" customHeight="1">
      <c r="A3899" s="8" t="s">
        <v>1960</v>
      </c>
      <c r="B3899" s="8">
        <v>43110.0</v>
      </c>
      <c r="C3899" s="8"/>
      <c r="D3899" s="8"/>
      <c r="E3899" s="8"/>
      <c r="F3899" s="8"/>
    </row>
    <row r="3900" ht="13.5" customHeight="1">
      <c r="A3900" s="8" t="s">
        <v>1131</v>
      </c>
      <c r="B3900" s="8">
        <v>43239.0</v>
      </c>
      <c r="C3900" s="8"/>
      <c r="D3900" s="8"/>
      <c r="E3900" s="8"/>
      <c r="F3900" s="8"/>
    </row>
    <row r="3901" ht="13.5" customHeight="1">
      <c r="A3901" s="8" t="s">
        <v>1963</v>
      </c>
      <c r="B3901" s="8">
        <v>44678.0</v>
      </c>
      <c r="C3901" s="8"/>
      <c r="D3901" s="8"/>
      <c r="E3901" s="8"/>
      <c r="F3901" s="8"/>
    </row>
    <row r="3902" ht="13.5" customHeight="1">
      <c r="A3902" s="8" t="s">
        <v>1957</v>
      </c>
      <c r="B3902" s="8">
        <v>44805.0</v>
      </c>
      <c r="C3902" s="8"/>
      <c r="D3902" s="8"/>
      <c r="E3902" s="8"/>
      <c r="F3902" s="8"/>
    </row>
    <row r="3903" ht="13.5" customHeight="1">
      <c r="A3903" s="8" t="s">
        <v>1962</v>
      </c>
      <c r="B3903" s="8">
        <v>44897.0</v>
      </c>
      <c r="C3903" s="8"/>
      <c r="D3903" s="8"/>
      <c r="E3903" s="8"/>
      <c r="F3903" s="8"/>
    </row>
    <row r="3904" ht="13.5" customHeight="1">
      <c r="A3904" s="8" t="s">
        <v>354</v>
      </c>
      <c r="B3904" s="8">
        <v>47015.0</v>
      </c>
      <c r="C3904" s="8"/>
      <c r="D3904" s="8"/>
      <c r="E3904" s="8"/>
      <c r="F3904" s="8"/>
    </row>
    <row r="3905" ht="13.5" customHeight="1">
      <c r="A3905" s="8" t="s">
        <v>354</v>
      </c>
      <c r="B3905" s="8">
        <v>47175.0</v>
      </c>
      <c r="C3905" s="8"/>
      <c r="D3905" s="8"/>
      <c r="E3905" s="8"/>
      <c r="F3905" s="8"/>
    </row>
    <row r="3906" ht="13.5" customHeight="1">
      <c r="A3906" s="8" t="s">
        <v>969</v>
      </c>
      <c r="B3906" s="8">
        <v>47203.0</v>
      </c>
      <c r="C3906" s="8"/>
      <c r="D3906" s="8"/>
      <c r="E3906" s="8"/>
      <c r="F3906" s="8"/>
    </row>
    <row r="3907" ht="13.5" customHeight="1">
      <c r="A3907" s="8" t="s">
        <v>1837</v>
      </c>
      <c r="B3907" s="8">
        <v>47270.0</v>
      </c>
      <c r="C3907" s="8"/>
      <c r="D3907" s="8"/>
      <c r="E3907" s="8"/>
      <c r="F3907" s="8"/>
    </row>
    <row r="3908" ht="13.5" customHeight="1">
      <c r="A3908" s="8" t="s">
        <v>354</v>
      </c>
      <c r="B3908" s="8">
        <v>47524.0</v>
      </c>
      <c r="C3908" s="8"/>
      <c r="D3908" s="8"/>
      <c r="E3908" s="8"/>
      <c r="F3908" s="8"/>
    </row>
    <row r="3909" ht="13.5" customHeight="1">
      <c r="A3909" s="8" t="s">
        <v>1956</v>
      </c>
      <c r="B3909" s="8">
        <v>48035.0</v>
      </c>
      <c r="C3909" s="8"/>
      <c r="D3909" s="8"/>
      <c r="E3909" s="8"/>
      <c r="F3909" s="8"/>
    </row>
    <row r="3910" ht="13.5" customHeight="1">
      <c r="A3910" s="8" t="s">
        <v>1837</v>
      </c>
      <c r="B3910" s="8">
        <v>48096.0</v>
      </c>
      <c r="C3910" s="8"/>
      <c r="D3910" s="8"/>
      <c r="E3910" s="8"/>
      <c r="F3910" s="8"/>
    </row>
    <row r="3911" ht="13.5" customHeight="1">
      <c r="A3911" s="8" t="s">
        <v>1968</v>
      </c>
      <c r="B3911" s="8">
        <v>48868.0</v>
      </c>
      <c r="C3911" s="8"/>
      <c r="D3911" s="8"/>
      <c r="E3911" s="8"/>
      <c r="F3911" s="8"/>
    </row>
    <row r="3912" ht="13.5" customHeight="1">
      <c r="A3912" s="8" t="s">
        <v>1837</v>
      </c>
      <c r="B3912" s="8">
        <v>49760.0</v>
      </c>
      <c r="C3912" s="8"/>
      <c r="D3912" s="8"/>
      <c r="E3912" s="8"/>
      <c r="F3912" s="8"/>
    </row>
    <row r="3913" ht="13.5" customHeight="1">
      <c r="A3913" s="8" t="s">
        <v>1837</v>
      </c>
      <c r="B3913" s="8">
        <v>50147.0</v>
      </c>
      <c r="C3913" s="8"/>
      <c r="D3913" s="8"/>
      <c r="E3913" s="8"/>
      <c r="F3913" s="8"/>
    </row>
    <row r="3914" ht="13.5" customHeight="1">
      <c r="A3914" s="8" t="s">
        <v>1957</v>
      </c>
      <c r="B3914" s="8">
        <v>50304.0</v>
      </c>
      <c r="C3914" s="8"/>
      <c r="D3914" s="8"/>
      <c r="E3914" s="8"/>
      <c r="F3914" s="8"/>
    </row>
    <row r="3915" ht="13.5" customHeight="1">
      <c r="A3915" s="8" t="s">
        <v>1812</v>
      </c>
      <c r="B3915" s="8">
        <v>50756.0</v>
      </c>
      <c r="C3915" s="8"/>
      <c r="D3915" s="8"/>
      <c r="E3915" s="8"/>
      <c r="F3915" s="8"/>
    </row>
    <row r="3916" ht="13.5" customHeight="1">
      <c r="A3916" s="8" t="s">
        <v>1957</v>
      </c>
      <c r="B3916" s="8">
        <v>51201.0</v>
      </c>
      <c r="C3916" s="8"/>
      <c r="D3916" s="8"/>
      <c r="E3916" s="8"/>
      <c r="F3916" s="8"/>
    </row>
    <row r="3917" ht="13.5" customHeight="1">
      <c r="A3917" s="8" t="s">
        <v>1956</v>
      </c>
      <c r="B3917" s="8">
        <v>51554.0</v>
      </c>
      <c r="C3917" s="8"/>
      <c r="D3917" s="8"/>
      <c r="E3917" s="8"/>
      <c r="F3917" s="8"/>
    </row>
    <row r="3918" ht="13.5" customHeight="1">
      <c r="A3918" s="8" t="s">
        <v>1960</v>
      </c>
      <c r="B3918" s="8">
        <v>52197.0</v>
      </c>
      <c r="C3918" s="8"/>
      <c r="D3918" s="8"/>
      <c r="E3918" s="8"/>
      <c r="F3918" s="8"/>
    </row>
    <row r="3919" ht="13.5" customHeight="1">
      <c r="A3919" s="8" t="s">
        <v>1956</v>
      </c>
      <c r="B3919" s="8">
        <v>52615.0</v>
      </c>
      <c r="C3919" s="8"/>
      <c r="D3919" s="8"/>
      <c r="E3919" s="8"/>
      <c r="F3919" s="8"/>
    </row>
    <row r="3920" ht="13.5" customHeight="1">
      <c r="A3920" s="8" t="s">
        <v>1957</v>
      </c>
      <c r="B3920" s="8">
        <v>52678.0</v>
      </c>
      <c r="C3920" s="8"/>
      <c r="D3920" s="8"/>
      <c r="E3920" s="8"/>
      <c r="F3920" s="8"/>
    </row>
    <row r="3921" ht="13.5" customHeight="1">
      <c r="A3921" s="8" t="s">
        <v>949</v>
      </c>
      <c r="B3921" s="8">
        <v>55621.0</v>
      </c>
      <c r="C3921" s="8"/>
      <c r="D3921" s="8"/>
      <c r="E3921" s="8"/>
      <c r="F3921" s="8"/>
    </row>
    <row r="3922" ht="13.5" customHeight="1">
      <c r="A3922" s="8" t="s">
        <v>1963</v>
      </c>
      <c r="B3922" s="8">
        <v>56423.0</v>
      </c>
      <c r="C3922" s="8"/>
      <c r="D3922" s="8"/>
      <c r="E3922" s="8"/>
      <c r="F3922" s="8"/>
    </row>
    <row r="3923" ht="13.5" customHeight="1">
      <c r="A3923" s="8" t="s">
        <v>798</v>
      </c>
      <c r="B3923" s="8">
        <v>56644.0</v>
      </c>
      <c r="C3923" s="8"/>
      <c r="D3923" s="8"/>
      <c r="E3923" s="8"/>
      <c r="F3923" s="8"/>
    </row>
    <row r="3924" ht="13.5" customHeight="1">
      <c r="A3924" s="8" t="s">
        <v>1963</v>
      </c>
      <c r="B3924" s="8">
        <v>57280.0</v>
      </c>
      <c r="C3924" s="8"/>
      <c r="D3924" s="8"/>
      <c r="E3924" s="8"/>
      <c r="F3924" s="8"/>
    </row>
    <row r="3925" ht="13.5" customHeight="1">
      <c r="A3925" s="8" t="s">
        <v>1776</v>
      </c>
      <c r="B3925" s="8">
        <v>57478.0</v>
      </c>
      <c r="C3925" s="8"/>
      <c r="D3925" s="8"/>
      <c r="E3925" s="8"/>
      <c r="F3925" s="8"/>
    </row>
    <row r="3926" ht="13.5" customHeight="1">
      <c r="A3926" s="8" t="s">
        <v>1961</v>
      </c>
      <c r="B3926" s="8">
        <v>57510.0</v>
      </c>
      <c r="C3926" s="8"/>
      <c r="D3926" s="8"/>
      <c r="E3926" s="8"/>
      <c r="F3926" s="8"/>
    </row>
    <row r="3927" ht="13.5" customHeight="1">
      <c r="A3927" s="8" t="s">
        <v>1956</v>
      </c>
      <c r="B3927" s="8">
        <v>57767.0</v>
      </c>
      <c r="C3927" s="8"/>
      <c r="D3927" s="8"/>
      <c r="E3927" s="8"/>
      <c r="F3927" s="8"/>
    </row>
    <row r="3928" ht="13.5" customHeight="1">
      <c r="A3928" s="8" t="s">
        <v>1959</v>
      </c>
      <c r="B3928" s="8">
        <v>57799.0</v>
      </c>
      <c r="C3928" s="8"/>
      <c r="D3928" s="8"/>
      <c r="E3928" s="8"/>
      <c r="F3928" s="8"/>
    </row>
    <row r="3929" ht="13.5" customHeight="1">
      <c r="A3929" s="8" t="s">
        <v>949</v>
      </c>
      <c r="B3929" s="8">
        <v>58595.0</v>
      </c>
      <c r="C3929" s="8"/>
      <c r="D3929" s="8"/>
      <c r="E3929" s="8"/>
      <c r="F3929" s="8"/>
    </row>
    <row r="3930" ht="13.5" customHeight="1">
      <c r="A3930" s="8" t="s">
        <v>1837</v>
      </c>
      <c r="B3930" s="8">
        <v>58755.0</v>
      </c>
      <c r="C3930" s="8"/>
      <c r="D3930" s="8"/>
      <c r="E3930" s="8"/>
      <c r="F3930" s="8"/>
    </row>
    <row r="3931" ht="13.5" customHeight="1">
      <c r="A3931" s="8" t="s">
        <v>1131</v>
      </c>
      <c r="B3931" s="8">
        <v>59008.0</v>
      </c>
      <c r="C3931" s="8"/>
      <c r="D3931" s="8"/>
      <c r="E3931" s="8"/>
      <c r="F3931" s="8"/>
    </row>
    <row r="3932" ht="13.5" customHeight="1">
      <c r="A3932" s="8" t="s">
        <v>949</v>
      </c>
      <c r="B3932" s="8">
        <v>59205.0</v>
      </c>
      <c r="C3932" s="8"/>
      <c r="D3932" s="8"/>
      <c r="E3932" s="8"/>
      <c r="F3932" s="8"/>
    </row>
    <row r="3933" ht="13.5" customHeight="1">
      <c r="A3933" s="8" t="s">
        <v>1960</v>
      </c>
      <c r="B3933" s="8">
        <v>59776.0</v>
      </c>
      <c r="C3933" s="8"/>
      <c r="D3933" s="8"/>
      <c r="E3933" s="8"/>
      <c r="F3933" s="8"/>
    </row>
    <row r="3934" ht="13.5" customHeight="1">
      <c r="A3934" s="8" t="s">
        <v>1837</v>
      </c>
      <c r="B3934" s="8">
        <v>59809.0</v>
      </c>
      <c r="C3934" s="8"/>
      <c r="D3934" s="8"/>
      <c r="E3934" s="8"/>
      <c r="F3934" s="8"/>
    </row>
    <row r="3935" ht="13.5" customHeight="1">
      <c r="A3935" s="8" t="s">
        <v>1812</v>
      </c>
      <c r="B3935" s="8">
        <v>59943.0</v>
      </c>
      <c r="C3935" s="8"/>
      <c r="D3935" s="8"/>
      <c r="E3935" s="8"/>
      <c r="F3935" s="8"/>
    </row>
    <row r="3936" ht="13.5" customHeight="1">
      <c r="A3936" s="8" t="s">
        <v>1842</v>
      </c>
      <c r="B3936" s="8">
        <v>292.0</v>
      </c>
      <c r="C3936" s="8"/>
      <c r="D3936" s="8"/>
      <c r="E3936" s="8"/>
      <c r="F3936" s="8"/>
    </row>
    <row r="3937" ht="13.5" customHeight="1">
      <c r="A3937" s="8" t="s">
        <v>1970</v>
      </c>
      <c r="B3937" s="8">
        <v>2817.0</v>
      </c>
      <c r="C3937" s="8"/>
      <c r="D3937" s="8"/>
      <c r="E3937" s="8"/>
      <c r="F3937" s="8"/>
    </row>
    <row r="3938" ht="13.5" customHeight="1">
      <c r="A3938" s="8" t="s">
        <v>1970</v>
      </c>
      <c r="B3938" s="8">
        <v>2852.0</v>
      </c>
      <c r="C3938" s="8"/>
      <c r="D3938" s="8"/>
      <c r="E3938" s="8"/>
      <c r="F3938" s="8"/>
    </row>
    <row r="3939" ht="13.5" customHeight="1">
      <c r="A3939" s="8" t="s">
        <v>1971</v>
      </c>
      <c r="B3939" s="8">
        <v>4359.0</v>
      </c>
      <c r="C3939" s="8"/>
      <c r="D3939" s="8"/>
      <c r="E3939" s="8"/>
      <c r="F3939" s="8"/>
    </row>
    <row r="3940" ht="13.5" customHeight="1">
      <c r="A3940" s="8" t="s">
        <v>1972</v>
      </c>
      <c r="B3940" s="8">
        <v>9095.0</v>
      </c>
      <c r="C3940" s="8"/>
      <c r="D3940" s="8"/>
      <c r="E3940" s="8"/>
      <c r="F3940" s="8"/>
    </row>
    <row r="3941" ht="13.5" customHeight="1">
      <c r="A3941" s="8" t="s">
        <v>1973</v>
      </c>
      <c r="B3941" s="8">
        <v>9254.0</v>
      </c>
      <c r="C3941" s="8"/>
      <c r="D3941" s="8"/>
      <c r="E3941" s="8"/>
      <c r="F3941" s="8"/>
    </row>
    <row r="3942" ht="13.5" customHeight="1">
      <c r="A3942" s="8" t="s">
        <v>1842</v>
      </c>
      <c r="B3942" s="8">
        <v>9829.0</v>
      </c>
      <c r="C3942" s="8"/>
      <c r="D3942" s="8"/>
      <c r="E3942" s="8"/>
      <c r="F3942" s="8"/>
    </row>
    <row r="3943" ht="13.5" customHeight="1">
      <c r="A3943" s="8" t="s">
        <v>1974</v>
      </c>
      <c r="B3943" s="8">
        <v>10528.0</v>
      </c>
      <c r="C3943" s="8"/>
      <c r="D3943" s="8"/>
      <c r="E3943" s="8"/>
      <c r="F3943" s="8"/>
    </row>
    <row r="3944" ht="13.5" customHeight="1">
      <c r="A3944" s="8" t="s">
        <v>1975</v>
      </c>
      <c r="B3944" s="8">
        <v>10754.0</v>
      </c>
      <c r="C3944" s="8"/>
      <c r="D3944" s="8"/>
      <c r="E3944" s="8"/>
      <c r="F3944" s="8"/>
    </row>
    <row r="3945" ht="13.5" customHeight="1">
      <c r="A3945" s="8" t="s">
        <v>1975</v>
      </c>
      <c r="B3945" s="8">
        <v>11109.0</v>
      </c>
      <c r="C3945" s="8"/>
      <c r="D3945" s="8"/>
      <c r="E3945" s="8"/>
      <c r="F3945" s="8"/>
    </row>
    <row r="3946" ht="13.5" customHeight="1">
      <c r="A3946" s="8" t="s">
        <v>1976</v>
      </c>
      <c r="B3946" s="8">
        <v>11426.0</v>
      </c>
      <c r="C3946" s="8"/>
      <c r="D3946" s="8"/>
      <c r="E3946" s="8"/>
      <c r="F3946" s="8"/>
    </row>
    <row r="3947" ht="13.5" customHeight="1">
      <c r="A3947" s="8" t="s">
        <v>1976</v>
      </c>
      <c r="B3947" s="8">
        <v>12869.0</v>
      </c>
      <c r="C3947" s="8"/>
      <c r="D3947" s="8"/>
      <c r="E3947" s="8"/>
      <c r="F3947" s="8"/>
    </row>
    <row r="3948" ht="13.5" customHeight="1">
      <c r="A3948" s="8" t="s">
        <v>1973</v>
      </c>
      <c r="B3948" s="8">
        <v>13094.0</v>
      </c>
      <c r="C3948" s="8"/>
      <c r="D3948" s="8"/>
      <c r="E3948" s="8"/>
      <c r="F3948" s="8"/>
    </row>
    <row r="3949" ht="13.5" customHeight="1">
      <c r="A3949" s="8" t="s">
        <v>1973</v>
      </c>
      <c r="B3949" s="8">
        <v>14274.0</v>
      </c>
      <c r="C3949" s="8"/>
      <c r="D3949" s="8"/>
      <c r="E3949" s="8"/>
      <c r="F3949" s="8"/>
    </row>
    <row r="3950" ht="13.5" customHeight="1">
      <c r="A3950" s="8" t="s">
        <v>1978</v>
      </c>
      <c r="B3950" s="8">
        <v>14530.0</v>
      </c>
      <c r="C3950" s="8"/>
      <c r="D3950" s="8"/>
      <c r="E3950" s="8"/>
      <c r="F3950" s="8"/>
    </row>
    <row r="3951" ht="13.5" customHeight="1">
      <c r="A3951" s="8" t="s">
        <v>1970</v>
      </c>
      <c r="B3951" s="8">
        <v>15462.0</v>
      </c>
      <c r="C3951" s="8"/>
      <c r="D3951" s="8"/>
      <c r="E3951" s="8"/>
      <c r="F3951" s="8"/>
    </row>
    <row r="3952" ht="13.5" customHeight="1">
      <c r="A3952" s="8" t="s">
        <v>1971</v>
      </c>
      <c r="B3952" s="8">
        <v>15715.0</v>
      </c>
      <c r="C3952" s="8"/>
      <c r="D3952" s="8"/>
      <c r="E3952" s="8"/>
      <c r="F3952" s="8"/>
    </row>
    <row r="3953" ht="13.5" customHeight="1">
      <c r="A3953" s="8" t="s">
        <v>1974</v>
      </c>
      <c r="B3953" s="8">
        <v>16128.0</v>
      </c>
      <c r="C3953" s="8"/>
      <c r="D3953" s="8"/>
      <c r="E3953" s="8"/>
      <c r="F3953" s="8"/>
    </row>
    <row r="3954" ht="13.5" customHeight="1">
      <c r="A3954" s="8" t="s">
        <v>1975</v>
      </c>
      <c r="B3954" s="8">
        <v>16579.0</v>
      </c>
      <c r="C3954" s="8"/>
      <c r="D3954" s="8"/>
      <c r="E3954" s="8"/>
      <c r="F3954" s="8"/>
    </row>
    <row r="3955" ht="13.5" customHeight="1">
      <c r="A3955" s="8" t="s">
        <v>1974</v>
      </c>
      <c r="B3955" s="8">
        <v>16935.0</v>
      </c>
      <c r="C3955" s="8"/>
      <c r="D3955" s="8"/>
      <c r="E3955" s="8"/>
      <c r="F3955" s="8"/>
    </row>
    <row r="3956" ht="13.5" customHeight="1">
      <c r="A3956" s="8" t="s">
        <v>1971</v>
      </c>
      <c r="B3956" s="8">
        <v>18946.0</v>
      </c>
      <c r="C3956" s="8"/>
      <c r="D3956" s="8"/>
      <c r="E3956" s="8"/>
      <c r="F3956" s="8"/>
    </row>
    <row r="3957" ht="13.5" customHeight="1">
      <c r="A3957" s="8" t="s">
        <v>1974</v>
      </c>
      <c r="B3957" s="8">
        <v>20292.0</v>
      </c>
      <c r="C3957" s="8"/>
      <c r="D3957" s="8"/>
      <c r="E3957" s="8"/>
      <c r="F3957" s="8"/>
    </row>
    <row r="3958" ht="13.5" customHeight="1">
      <c r="A3958" s="8" t="s">
        <v>1976</v>
      </c>
      <c r="B3958" s="8">
        <v>21635.0</v>
      </c>
      <c r="C3958" s="8"/>
      <c r="D3958" s="8"/>
      <c r="E3958" s="8"/>
      <c r="F3958" s="8"/>
    </row>
    <row r="3959" ht="13.5" customHeight="1">
      <c r="A3959" s="8" t="s">
        <v>1980</v>
      </c>
      <c r="B3959" s="8">
        <v>21860.0</v>
      </c>
      <c r="C3959" s="8"/>
      <c r="D3959" s="8"/>
      <c r="E3959" s="8"/>
      <c r="F3959" s="8"/>
    </row>
    <row r="3960" ht="13.5" customHeight="1">
      <c r="A3960" s="8" t="s">
        <v>1970</v>
      </c>
      <c r="B3960" s="8">
        <v>22882.0</v>
      </c>
      <c r="C3960" s="8"/>
      <c r="D3960" s="8"/>
      <c r="E3960" s="8"/>
      <c r="F3960" s="8"/>
    </row>
    <row r="3961" ht="13.5" customHeight="1">
      <c r="A3961" s="8" t="s">
        <v>1978</v>
      </c>
      <c r="B3961" s="8">
        <v>24775.0</v>
      </c>
      <c r="C3961" s="8"/>
      <c r="D3961" s="8"/>
      <c r="E3961" s="8"/>
      <c r="F3961" s="8"/>
    </row>
    <row r="3962" ht="13.5" customHeight="1">
      <c r="A3962" s="8" t="s">
        <v>1974</v>
      </c>
      <c r="B3962" s="8">
        <v>25120.0</v>
      </c>
      <c r="C3962" s="8"/>
      <c r="D3962" s="8"/>
      <c r="E3962" s="8"/>
      <c r="F3962" s="8"/>
    </row>
    <row r="3963" ht="13.5" customHeight="1">
      <c r="A3963" s="8" t="s">
        <v>1971</v>
      </c>
      <c r="B3963" s="8">
        <v>25440.0</v>
      </c>
      <c r="C3963" s="8"/>
      <c r="D3963" s="8"/>
      <c r="E3963" s="8"/>
      <c r="F3963" s="8"/>
    </row>
    <row r="3964" ht="13.5" customHeight="1">
      <c r="A3964" s="8" t="s">
        <v>1975</v>
      </c>
      <c r="B3964" s="8">
        <v>25799.0</v>
      </c>
      <c r="C3964" s="8"/>
      <c r="D3964" s="8"/>
      <c r="E3964" s="8"/>
      <c r="F3964" s="8"/>
    </row>
    <row r="3965" ht="13.5" customHeight="1">
      <c r="A3965" s="8" t="s">
        <v>1978</v>
      </c>
      <c r="B3965" s="8">
        <v>25831.0</v>
      </c>
      <c r="C3965" s="8"/>
      <c r="D3965" s="8"/>
      <c r="E3965" s="8"/>
      <c r="F3965" s="8"/>
    </row>
    <row r="3966" ht="13.5" customHeight="1">
      <c r="A3966" s="8" t="s">
        <v>1971</v>
      </c>
      <c r="B3966" s="8">
        <v>28545.0</v>
      </c>
      <c r="C3966" s="8"/>
      <c r="D3966" s="8"/>
      <c r="E3966" s="8"/>
      <c r="F3966" s="8"/>
    </row>
    <row r="3967" ht="13.5" customHeight="1">
      <c r="A3967" s="8" t="s">
        <v>1975</v>
      </c>
      <c r="B3967" s="8">
        <v>28929.0</v>
      </c>
      <c r="C3967" s="8"/>
      <c r="D3967" s="8"/>
      <c r="E3967" s="8"/>
      <c r="F3967" s="8"/>
    </row>
    <row r="3968" ht="13.5" customHeight="1">
      <c r="A3968" s="8" t="s">
        <v>1970</v>
      </c>
      <c r="B3968" s="8">
        <v>30083.0</v>
      </c>
      <c r="C3968" s="8"/>
      <c r="D3968" s="8"/>
      <c r="E3968" s="8"/>
      <c r="F3968" s="8"/>
    </row>
    <row r="3969" ht="13.5" customHeight="1">
      <c r="A3969" s="8" t="s">
        <v>1975</v>
      </c>
      <c r="B3969" s="8">
        <v>30944.0</v>
      </c>
      <c r="C3969" s="8"/>
      <c r="D3969" s="8"/>
      <c r="E3969" s="8"/>
      <c r="F3969" s="8"/>
    </row>
    <row r="3970" ht="13.5" customHeight="1">
      <c r="A3970" s="8" t="s">
        <v>1971</v>
      </c>
      <c r="B3970" s="8">
        <v>33350.0</v>
      </c>
      <c r="C3970" s="8"/>
      <c r="D3970" s="8"/>
      <c r="E3970" s="8"/>
      <c r="F3970" s="8"/>
    </row>
    <row r="3971" ht="13.5" customHeight="1">
      <c r="A3971" s="8" t="s">
        <v>1978</v>
      </c>
      <c r="B3971" s="8">
        <v>34660.0</v>
      </c>
      <c r="C3971" s="8"/>
      <c r="D3971" s="8"/>
      <c r="E3971" s="8"/>
      <c r="F3971" s="8"/>
    </row>
    <row r="3972" ht="13.5" customHeight="1">
      <c r="A3972" s="8" t="s">
        <v>1978</v>
      </c>
      <c r="B3972" s="8">
        <v>35425.0</v>
      </c>
      <c r="C3972" s="8"/>
      <c r="D3972" s="8"/>
      <c r="E3972" s="8"/>
      <c r="F3972" s="8"/>
    </row>
    <row r="3973" ht="13.5" customHeight="1">
      <c r="A3973" s="8" t="s">
        <v>1971</v>
      </c>
      <c r="B3973" s="8">
        <v>37350.0</v>
      </c>
      <c r="C3973" s="8"/>
      <c r="D3973" s="8"/>
      <c r="E3973" s="8"/>
      <c r="F3973" s="8"/>
    </row>
    <row r="3974" ht="13.5" customHeight="1">
      <c r="A3974" s="8" t="s">
        <v>1980</v>
      </c>
      <c r="B3974" s="8">
        <v>37765.0</v>
      </c>
      <c r="C3974" s="8"/>
      <c r="D3974" s="8"/>
      <c r="E3974" s="8"/>
      <c r="F3974" s="8"/>
    </row>
    <row r="3975" ht="13.5" customHeight="1">
      <c r="A3975" s="8" t="s">
        <v>1970</v>
      </c>
      <c r="B3975" s="8">
        <v>38050.0</v>
      </c>
      <c r="C3975" s="8"/>
      <c r="D3975" s="8"/>
      <c r="E3975" s="8"/>
      <c r="F3975" s="8"/>
    </row>
    <row r="3976" ht="13.5" customHeight="1">
      <c r="A3976" s="8" t="s">
        <v>1970</v>
      </c>
      <c r="B3976" s="8">
        <v>39043.0</v>
      </c>
      <c r="C3976" s="8"/>
      <c r="D3976" s="8"/>
      <c r="E3976" s="8"/>
      <c r="F3976" s="8"/>
    </row>
    <row r="3977" ht="13.5" customHeight="1">
      <c r="A3977" s="8" t="s">
        <v>1970</v>
      </c>
      <c r="B3977" s="8">
        <v>40388.0</v>
      </c>
      <c r="C3977" s="8"/>
      <c r="D3977" s="8"/>
      <c r="E3977" s="8"/>
      <c r="F3977" s="8"/>
    </row>
    <row r="3978" ht="13.5" customHeight="1">
      <c r="A3978" s="8" t="s">
        <v>1867</v>
      </c>
      <c r="B3978" s="8">
        <v>42309.0</v>
      </c>
      <c r="C3978" s="8"/>
      <c r="D3978" s="8"/>
      <c r="E3978" s="8"/>
      <c r="F3978" s="8"/>
    </row>
    <row r="3979" ht="13.5" customHeight="1">
      <c r="A3979" s="8" t="s">
        <v>1975</v>
      </c>
      <c r="B3979" s="8">
        <v>42727.0</v>
      </c>
      <c r="C3979" s="8"/>
      <c r="D3979" s="8"/>
      <c r="E3979" s="8"/>
      <c r="F3979" s="8"/>
    </row>
    <row r="3980" ht="13.5" customHeight="1">
      <c r="A3980" s="8" t="s">
        <v>1970</v>
      </c>
      <c r="B3980" s="8">
        <v>43363.0</v>
      </c>
      <c r="C3980" s="8"/>
      <c r="D3980" s="8"/>
      <c r="E3980" s="8"/>
      <c r="F3980" s="8"/>
    </row>
    <row r="3981" ht="13.5" customHeight="1">
      <c r="A3981" s="8" t="s">
        <v>1975</v>
      </c>
      <c r="B3981" s="8">
        <v>43556.0</v>
      </c>
      <c r="C3981" s="8"/>
      <c r="D3981" s="8"/>
      <c r="E3981" s="8"/>
      <c r="F3981" s="8"/>
    </row>
    <row r="3982" ht="13.5" customHeight="1">
      <c r="A3982" s="8" t="s">
        <v>1970</v>
      </c>
      <c r="B3982" s="8">
        <v>45156.0</v>
      </c>
      <c r="C3982" s="8"/>
      <c r="D3982" s="8"/>
      <c r="E3982" s="8"/>
      <c r="F3982" s="8"/>
    </row>
    <row r="3983" ht="13.5" customHeight="1">
      <c r="A3983" s="8" t="s">
        <v>1974</v>
      </c>
      <c r="B3983" s="8">
        <v>45410.0</v>
      </c>
      <c r="C3983" s="8"/>
      <c r="D3983" s="8"/>
      <c r="E3983" s="8"/>
      <c r="F3983" s="8"/>
    </row>
    <row r="3984" ht="13.5" customHeight="1">
      <c r="A3984" s="8" t="s">
        <v>1867</v>
      </c>
      <c r="B3984" s="8">
        <v>47014.0</v>
      </c>
      <c r="C3984" s="8"/>
      <c r="D3984" s="8"/>
      <c r="E3984" s="8"/>
      <c r="F3984" s="8"/>
    </row>
    <row r="3985" ht="13.5" customHeight="1">
      <c r="A3985" s="8" t="s">
        <v>1473</v>
      </c>
      <c r="B3985" s="8">
        <v>47942.0</v>
      </c>
      <c r="C3985" s="8"/>
      <c r="D3985" s="8"/>
      <c r="E3985" s="8"/>
      <c r="F3985" s="8"/>
    </row>
    <row r="3986" ht="13.5" customHeight="1">
      <c r="A3986" s="8" t="s">
        <v>1976</v>
      </c>
      <c r="B3986" s="8">
        <v>48128.0</v>
      </c>
      <c r="C3986" s="8"/>
      <c r="D3986" s="8"/>
      <c r="E3986" s="8"/>
      <c r="F3986" s="8"/>
    </row>
    <row r="3987" ht="13.5" customHeight="1">
      <c r="A3987" s="8" t="s">
        <v>1971</v>
      </c>
      <c r="B3987" s="8">
        <v>48704.0</v>
      </c>
      <c r="C3987" s="8"/>
      <c r="D3987" s="8"/>
      <c r="E3987" s="8"/>
      <c r="F3987" s="8"/>
    </row>
    <row r="3988" ht="13.5" customHeight="1">
      <c r="A3988" s="8" t="s">
        <v>1867</v>
      </c>
      <c r="B3988" s="8">
        <v>49155.0</v>
      </c>
      <c r="C3988" s="8"/>
      <c r="D3988" s="8"/>
      <c r="E3988" s="8"/>
      <c r="F3988" s="8"/>
    </row>
    <row r="3989" ht="13.5" customHeight="1">
      <c r="A3989" s="8" t="s">
        <v>1980</v>
      </c>
      <c r="B3989" s="8">
        <v>49504.0</v>
      </c>
      <c r="C3989" s="8"/>
      <c r="D3989" s="8"/>
      <c r="E3989" s="8"/>
      <c r="F3989" s="8"/>
    </row>
    <row r="3990" ht="13.5" customHeight="1">
      <c r="A3990" s="8" t="s">
        <v>1473</v>
      </c>
      <c r="B3990" s="8">
        <v>50016.0</v>
      </c>
      <c r="C3990" s="8"/>
      <c r="D3990" s="8"/>
      <c r="E3990" s="8"/>
      <c r="F3990" s="8"/>
    </row>
    <row r="3991" ht="13.5" customHeight="1">
      <c r="A3991" s="8" t="s">
        <v>1974</v>
      </c>
      <c r="B3991" s="8">
        <v>50145.0</v>
      </c>
      <c r="C3991" s="8"/>
      <c r="D3991" s="8"/>
      <c r="E3991" s="8"/>
      <c r="F3991" s="8"/>
    </row>
    <row r="3992" ht="13.5" customHeight="1">
      <c r="A3992" s="8" t="s">
        <v>1982</v>
      </c>
      <c r="B3992" s="8">
        <v>50532.0</v>
      </c>
      <c r="C3992" s="8"/>
      <c r="D3992" s="8"/>
      <c r="E3992" s="8"/>
      <c r="F3992" s="8"/>
    </row>
    <row r="3993" ht="13.5" customHeight="1">
      <c r="A3993" s="8" t="s">
        <v>1974</v>
      </c>
      <c r="B3993" s="8">
        <v>51266.0</v>
      </c>
      <c r="C3993" s="8"/>
      <c r="D3993" s="8"/>
      <c r="E3993" s="8"/>
      <c r="F3993" s="8"/>
    </row>
    <row r="3994" ht="13.5" customHeight="1">
      <c r="A3994" s="8" t="s">
        <v>1975</v>
      </c>
      <c r="B3994" s="8">
        <v>51426.0</v>
      </c>
      <c r="C3994" s="8"/>
      <c r="D3994" s="8"/>
      <c r="E3994" s="8"/>
      <c r="F3994" s="8"/>
    </row>
    <row r="3995" ht="13.5" customHeight="1">
      <c r="A3995" s="8" t="s">
        <v>1970</v>
      </c>
      <c r="B3995" s="8">
        <v>55045.0</v>
      </c>
      <c r="C3995" s="8"/>
      <c r="D3995" s="8"/>
      <c r="E3995" s="8"/>
      <c r="F3995" s="8"/>
    </row>
    <row r="3996" ht="13.5" customHeight="1">
      <c r="A3996" s="8" t="s">
        <v>1983</v>
      </c>
      <c r="B3996" s="8">
        <v>55234.0</v>
      </c>
      <c r="C3996" s="8"/>
      <c r="D3996" s="8"/>
      <c r="E3996" s="8"/>
      <c r="F3996" s="8"/>
    </row>
    <row r="3997" ht="13.5" customHeight="1">
      <c r="A3997" s="8" t="s">
        <v>1975</v>
      </c>
      <c r="B3997" s="8">
        <v>55906.0</v>
      </c>
      <c r="C3997" s="8"/>
      <c r="D3997" s="8"/>
      <c r="E3997" s="8"/>
      <c r="F3997" s="8"/>
    </row>
    <row r="3998" ht="13.5" customHeight="1">
      <c r="A3998" s="8" t="s">
        <v>1473</v>
      </c>
      <c r="B3998" s="8">
        <v>56032.0</v>
      </c>
      <c r="C3998" s="8"/>
      <c r="D3998" s="8"/>
      <c r="E3998" s="8"/>
      <c r="F3998" s="8"/>
    </row>
    <row r="3999" ht="13.5" customHeight="1">
      <c r="A3999" s="8" t="s">
        <v>1975</v>
      </c>
      <c r="B3999" s="8">
        <v>56103.0</v>
      </c>
      <c r="C3999" s="8"/>
      <c r="D3999" s="8"/>
      <c r="E3999" s="8"/>
      <c r="F3999" s="8"/>
    </row>
    <row r="4000" ht="13.5" customHeight="1">
      <c r="A4000" s="8" t="s">
        <v>1984</v>
      </c>
      <c r="B4000" s="8">
        <v>130.0</v>
      </c>
      <c r="C4000" s="8"/>
      <c r="D4000" s="8"/>
      <c r="E4000" s="8"/>
      <c r="F4000" s="8"/>
    </row>
    <row r="4001" ht="13.5" customHeight="1">
      <c r="A4001" s="8" t="s">
        <v>1985</v>
      </c>
      <c r="B4001" s="8">
        <v>805.0</v>
      </c>
      <c r="C4001" s="8"/>
      <c r="D4001" s="8"/>
      <c r="E4001" s="8"/>
      <c r="F4001" s="8"/>
    </row>
    <row r="4002" ht="13.5" customHeight="1">
      <c r="A4002" s="8" t="s">
        <v>1699</v>
      </c>
      <c r="B4002" s="8">
        <v>2240.0</v>
      </c>
      <c r="C4002" s="8"/>
      <c r="D4002" s="8"/>
      <c r="E4002" s="8"/>
      <c r="F4002" s="8"/>
    </row>
    <row r="4003" ht="13.5" customHeight="1">
      <c r="A4003" s="8" t="s">
        <v>1699</v>
      </c>
      <c r="B4003" s="8">
        <v>2241.0</v>
      </c>
      <c r="C4003" s="8"/>
      <c r="D4003" s="8"/>
      <c r="E4003" s="8"/>
      <c r="F4003" s="8"/>
    </row>
    <row r="4004" ht="13.5" customHeight="1">
      <c r="A4004" s="8" t="s">
        <v>1986</v>
      </c>
      <c r="B4004" s="8">
        <v>4674.0</v>
      </c>
      <c r="C4004" s="8"/>
      <c r="D4004" s="8"/>
      <c r="E4004" s="8"/>
      <c r="F4004" s="8"/>
    </row>
    <row r="4005" ht="13.5" customHeight="1">
      <c r="A4005" s="8" t="s">
        <v>1984</v>
      </c>
      <c r="B4005" s="8">
        <v>4737.0</v>
      </c>
      <c r="C4005" s="8"/>
      <c r="D4005" s="8"/>
      <c r="E4005" s="8"/>
      <c r="F4005" s="8"/>
    </row>
    <row r="4006" ht="13.5" customHeight="1">
      <c r="A4006" s="8" t="s">
        <v>1987</v>
      </c>
      <c r="B4006" s="8">
        <v>5221.0</v>
      </c>
      <c r="C4006" s="8"/>
      <c r="D4006" s="8"/>
      <c r="E4006" s="8"/>
      <c r="F4006" s="8"/>
    </row>
    <row r="4007" ht="13.5" customHeight="1">
      <c r="A4007" s="8" t="s">
        <v>1988</v>
      </c>
      <c r="B4007" s="8">
        <v>5568.0</v>
      </c>
      <c r="C4007" s="8"/>
      <c r="D4007" s="8"/>
      <c r="E4007" s="8"/>
      <c r="F4007" s="8"/>
    </row>
    <row r="4008" ht="13.5" customHeight="1">
      <c r="A4008" s="8" t="s">
        <v>1989</v>
      </c>
      <c r="B4008" s="8">
        <v>6020.0</v>
      </c>
      <c r="C4008" s="8"/>
      <c r="D4008" s="8"/>
      <c r="E4008" s="8"/>
      <c r="F4008" s="8"/>
    </row>
    <row r="4009" ht="13.5" customHeight="1">
      <c r="A4009" s="8" t="s">
        <v>1989</v>
      </c>
      <c r="B4009" s="8">
        <v>6112.0</v>
      </c>
      <c r="C4009" s="8"/>
      <c r="D4009" s="8"/>
      <c r="E4009" s="8"/>
      <c r="F4009" s="8"/>
    </row>
    <row r="4010" ht="13.5" customHeight="1">
      <c r="A4010" s="8" t="s">
        <v>1988</v>
      </c>
      <c r="B4010" s="8">
        <v>6272.0</v>
      </c>
      <c r="C4010" s="8"/>
      <c r="D4010" s="8"/>
      <c r="E4010" s="8"/>
      <c r="F4010" s="8"/>
    </row>
    <row r="4011" ht="13.5" customHeight="1">
      <c r="A4011" s="8" t="s">
        <v>1989</v>
      </c>
      <c r="B4011" s="8">
        <v>6501.0</v>
      </c>
      <c r="C4011" s="8"/>
      <c r="D4011" s="8"/>
      <c r="E4011" s="8"/>
      <c r="F4011" s="8"/>
    </row>
    <row r="4012" ht="13.5" customHeight="1">
      <c r="A4012" s="8" t="s">
        <v>1337</v>
      </c>
      <c r="B4012" s="8">
        <v>6529.0</v>
      </c>
      <c r="C4012" s="8"/>
      <c r="D4012" s="8"/>
      <c r="E4012" s="8"/>
      <c r="F4012" s="8"/>
    </row>
    <row r="4013" ht="13.5" customHeight="1">
      <c r="A4013" s="8" t="s">
        <v>1990</v>
      </c>
      <c r="B4013" s="8">
        <v>7171.0</v>
      </c>
      <c r="C4013" s="8"/>
      <c r="D4013" s="8"/>
      <c r="E4013" s="8"/>
      <c r="F4013" s="8"/>
    </row>
    <row r="4014" ht="13.5" customHeight="1">
      <c r="A4014" s="8" t="s">
        <v>1991</v>
      </c>
      <c r="B4014" s="8">
        <v>7815.0</v>
      </c>
      <c r="C4014" s="8"/>
      <c r="D4014" s="8"/>
      <c r="E4014" s="8"/>
      <c r="F4014" s="8"/>
    </row>
    <row r="4015" ht="13.5" customHeight="1">
      <c r="A4015" s="8" t="s">
        <v>1991</v>
      </c>
      <c r="B4015" s="8">
        <v>9921.0</v>
      </c>
      <c r="C4015" s="8"/>
      <c r="D4015" s="8"/>
      <c r="E4015" s="8"/>
      <c r="F4015" s="8"/>
    </row>
    <row r="4016" ht="13.5" customHeight="1">
      <c r="A4016" s="8" t="s">
        <v>1887</v>
      </c>
      <c r="B4016" s="8">
        <v>10053.0</v>
      </c>
      <c r="C4016" s="8"/>
      <c r="D4016" s="8"/>
      <c r="E4016" s="8"/>
      <c r="F4016" s="8"/>
    </row>
    <row r="4017" ht="13.5" customHeight="1">
      <c r="A4017" s="8" t="s">
        <v>1992</v>
      </c>
      <c r="B4017" s="8">
        <v>10309.0</v>
      </c>
      <c r="C4017" s="8"/>
      <c r="D4017" s="8"/>
      <c r="E4017" s="8"/>
      <c r="F4017" s="8"/>
    </row>
    <row r="4018" ht="13.5" customHeight="1">
      <c r="A4018" s="8" t="s">
        <v>1985</v>
      </c>
      <c r="B4018" s="8">
        <v>10978.0</v>
      </c>
      <c r="C4018" s="8"/>
      <c r="D4018" s="8"/>
      <c r="E4018" s="8"/>
      <c r="F4018" s="8"/>
    </row>
    <row r="4019" ht="13.5" customHeight="1">
      <c r="A4019" s="8" t="s">
        <v>1991</v>
      </c>
      <c r="B4019" s="8">
        <v>10979.0</v>
      </c>
      <c r="C4019" s="8"/>
      <c r="D4019" s="8"/>
      <c r="E4019" s="8"/>
      <c r="F4019" s="8"/>
    </row>
    <row r="4020" ht="13.5" customHeight="1">
      <c r="A4020" s="8" t="s">
        <v>1337</v>
      </c>
      <c r="B4020" s="8">
        <v>11108.0</v>
      </c>
      <c r="C4020" s="8"/>
      <c r="D4020" s="8"/>
      <c r="E4020" s="8"/>
      <c r="F4020" s="8"/>
    </row>
    <row r="4021" ht="13.5" customHeight="1">
      <c r="A4021" s="8" t="s">
        <v>1985</v>
      </c>
      <c r="B4021" s="8">
        <v>12067.0</v>
      </c>
      <c r="C4021" s="8"/>
      <c r="D4021" s="8"/>
      <c r="E4021" s="8"/>
      <c r="F4021" s="8"/>
    </row>
    <row r="4022" ht="13.5" customHeight="1">
      <c r="A4022" s="8" t="s">
        <v>1810</v>
      </c>
      <c r="B4022" s="8">
        <v>12804.0</v>
      </c>
      <c r="C4022" s="8"/>
      <c r="D4022" s="8"/>
      <c r="E4022" s="8"/>
      <c r="F4022" s="8"/>
    </row>
    <row r="4023" ht="13.5" customHeight="1">
      <c r="A4023" s="8" t="s">
        <v>1337</v>
      </c>
      <c r="B4023" s="8">
        <v>13575.0</v>
      </c>
      <c r="C4023" s="8"/>
      <c r="D4023" s="8"/>
      <c r="E4023" s="8"/>
      <c r="F4023" s="8"/>
    </row>
    <row r="4024" ht="13.5" customHeight="1">
      <c r="A4024" s="8" t="s">
        <v>1988</v>
      </c>
      <c r="B4024" s="8">
        <v>13635.0</v>
      </c>
      <c r="C4024" s="8"/>
      <c r="D4024" s="8"/>
      <c r="E4024" s="8"/>
      <c r="F4024" s="8"/>
    </row>
    <row r="4025" ht="13.5" customHeight="1">
      <c r="A4025" s="8" t="s">
        <v>1993</v>
      </c>
      <c r="B4025" s="8">
        <v>14245.0</v>
      </c>
      <c r="C4025" s="8"/>
      <c r="D4025" s="8"/>
      <c r="E4025" s="8"/>
      <c r="F4025" s="8"/>
    </row>
    <row r="4026" ht="13.5" customHeight="1">
      <c r="A4026" s="8" t="s">
        <v>1992</v>
      </c>
      <c r="B4026" s="8">
        <v>15904.0</v>
      </c>
      <c r="C4026" s="8"/>
      <c r="D4026" s="8"/>
      <c r="E4026" s="8"/>
      <c r="F4026" s="8"/>
    </row>
    <row r="4027" ht="13.5" customHeight="1">
      <c r="A4027" s="8" t="s">
        <v>1994</v>
      </c>
      <c r="B4027" s="8">
        <v>16422.0</v>
      </c>
      <c r="C4027" s="8"/>
      <c r="D4027" s="8"/>
      <c r="E4027" s="8"/>
      <c r="F4027" s="8"/>
    </row>
    <row r="4028" ht="13.5" customHeight="1">
      <c r="A4028" s="8" t="s">
        <v>1337</v>
      </c>
      <c r="B4028" s="8">
        <v>17345.0</v>
      </c>
      <c r="C4028" s="8"/>
      <c r="D4028" s="8"/>
      <c r="E4028" s="8"/>
      <c r="F4028" s="8"/>
    </row>
    <row r="4029" ht="13.5" customHeight="1">
      <c r="A4029" s="8" t="s">
        <v>1984</v>
      </c>
      <c r="B4029" s="8">
        <v>18208.0</v>
      </c>
      <c r="C4029" s="8"/>
      <c r="D4029" s="8"/>
      <c r="E4029" s="8"/>
      <c r="F4029" s="8"/>
    </row>
    <row r="4030" ht="13.5" customHeight="1">
      <c r="A4030" s="8" t="s">
        <v>1985</v>
      </c>
      <c r="B4030" s="8">
        <v>18500.0</v>
      </c>
      <c r="C4030" s="8"/>
      <c r="D4030" s="8"/>
      <c r="E4030" s="8"/>
      <c r="F4030" s="8"/>
    </row>
    <row r="4031" ht="13.5" customHeight="1">
      <c r="A4031" s="8" t="s">
        <v>1990</v>
      </c>
      <c r="B4031" s="8">
        <v>18597.0</v>
      </c>
      <c r="C4031" s="8"/>
      <c r="D4031" s="8"/>
      <c r="E4031" s="8"/>
      <c r="F4031" s="8"/>
    </row>
    <row r="4032" ht="13.5" customHeight="1">
      <c r="A4032" s="8" t="s">
        <v>1337</v>
      </c>
      <c r="B4032" s="8">
        <v>18822.0</v>
      </c>
      <c r="C4032" s="8"/>
      <c r="D4032" s="8"/>
      <c r="E4032" s="8"/>
      <c r="F4032" s="8"/>
    </row>
    <row r="4033" ht="13.5" customHeight="1">
      <c r="A4033" s="8" t="s">
        <v>1337</v>
      </c>
      <c r="B4033" s="8">
        <v>19232.0</v>
      </c>
      <c r="C4033" s="8"/>
      <c r="D4033" s="8"/>
      <c r="E4033" s="8"/>
      <c r="F4033" s="8"/>
    </row>
    <row r="4034" ht="13.5" customHeight="1">
      <c r="A4034" s="8" t="s">
        <v>1988</v>
      </c>
      <c r="B4034" s="8">
        <v>19363.0</v>
      </c>
      <c r="C4034" s="8"/>
      <c r="D4034" s="8"/>
      <c r="E4034" s="8"/>
      <c r="F4034" s="8"/>
    </row>
    <row r="4035" ht="13.5" customHeight="1">
      <c r="A4035" s="8" t="s">
        <v>1991</v>
      </c>
      <c r="B4035" s="8">
        <v>19367.0</v>
      </c>
      <c r="C4035" s="8"/>
      <c r="D4035" s="8"/>
      <c r="E4035" s="8"/>
      <c r="F4035" s="8"/>
    </row>
    <row r="4036" ht="13.5" customHeight="1">
      <c r="A4036" s="8" t="s">
        <v>1995</v>
      </c>
      <c r="B4036" s="8">
        <v>19911.0</v>
      </c>
      <c r="C4036" s="8"/>
      <c r="D4036" s="8"/>
      <c r="E4036" s="8"/>
      <c r="F4036" s="8"/>
    </row>
    <row r="4037" ht="13.5" customHeight="1">
      <c r="A4037" s="8" t="s">
        <v>1992</v>
      </c>
      <c r="B4037" s="8">
        <v>20517.0</v>
      </c>
      <c r="C4037" s="8"/>
      <c r="D4037" s="8"/>
      <c r="E4037" s="8"/>
      <c r="F4037" s="8"/>
    </row>
    <row r="4038" ht="13.5" customHeight="1">
      <c r="A4038" s="8" t="s">
        <v>1993</v>
      </c>
      <c r="B4038" s="8">
        <v>21605.0</v>
      </c>
      <c r="C4038" s="8"/>
      <c r="D4038" s="8"/>
      <c r="E4038" s="8"/>
      <c r="F4038" s="8"/>
    </row>
    <row r="4039" ht="13.5" customHeight="1">
      <c r="A4039" s="8" t="s">
        <v>1990</v>
      </c>
      <c r="B4039" s="8">
        <v>21830.0</v>
      </c>
      <c r="C4039" s="8"/>
      <c r="D4039" s="8"/>
      <c r="E4039" s="8"/>
      <c r="F4039" s="8"/>
    </row>
    <row r="4040" ht="13.5" customHeight="1">
      <c r="A4040" s="8" t="s">
        <v>1986</v>
      </c>
      <c r="B4040" s="8">
        <v>22147.0</v>
      </c>
      <c r="C4040" s="8"/>
      <c r="D4040" s="8"/>
      <c r="E4040" s="8"/>
      <c r="F4040" s="8"/>
    </row>
    <row r="4041" ht="13.5" customHeight="1">
      <c r="A4041" s="8" t="s">
        <v>1337</v>
      </c>
      <c r="B4041" s="8">
        <v>22182.0</v>
      </c>
      <c r="C4041" s="8"/>
      <c r="D4041" s="8"/>
      <c r="E4041" s="8"/>
      <c r="F4041" s="8"/>
    </row>
    <row r="4042" ht="13.5" customHeight="1">
      <c r="A4042" s="8" t="s">
        <v>1991</v>
      </c>
      <c r="B4042" s="8">
        <v>22243.0</v>
      </c>
      <c r="C4042" s="8"/>
      <c r="D4042" s="8"/>
      <c r="E4042" s="8"/>
      <c r="F4042" s="8"/>
    </row>
    <row r="4043" ht="13.5" customHeight="1">
      <c r="A4043" s="8" t="s">
        <v>1992</v>
      </c>
      <c r="B4043" s="8">
        <v>23104.0</v>
      </c>
      <c r="C4043" s="8"/>
      <c r="D4043" s="8"/>
      <c r="E4043" s="8"/>
      <c r="F4043" s="8"/>
    </row>
    <row r="4044" ht="13.5" customHeight="1">
      <c r="A4044" s="8" t="s">
        <v>1987</v>
      </c>
      <c r="B4044" s="8">
        <v>23363.0</v>
      </c>
      <c r="C4044" s="8"/>
      <c r="D4044" s="8"/>
      <c r="E4044" s="8"/>
      <c r="F4044" s="8"/>
    </row>
    <row r="4045" ht="13.5" customHeight="1">
      <c r="A4045" s="8" t="s">
        <v>1337</v>
      </c>
      <c r="B4045" s="8">
        <v>23559.0</v>
      </c>
      <c r="C4045" s="8"/>
      <c r="D4045" s="8"/>
      <c r="E4045" s="8"/>
      <c r="F4045" s="8"/>
    </row>
    <row r="4046" ht="13.5" customHeight="1">
      <c r="A4046" s="8" t="s">
        <v>1991</v>
      </c>
      <c r="B4046" s="8">
        <v>24160.0</v>
      </c>
      <c r="C4046" s="8"/>
      <c r="D4046" s="8"/>
      <c r="E4046" s="8"/>
      <c r="F4046" s="8"/>
    </row>
    <row r="4047" ht="13.5" customHeight="1">
      <c r="A4047" s="8" t="s">
        <v>1994</v>
      </c>
      <c r="B4047" s="8">
        <v>24193.0</v>
      </c>
      <c r="C4047" s="8"/>
      <c r="D4047" s="8"/>
      <c r="E4047" s="8"/>
      <c r="F4047" s="8"/>
    </row>
    <row r="4048" ht="13.5" customHeight="1">
      <c r="A4048" s="8" t="s">
        <v>1985</v>
      </c>
      <c r="B4048" s="8">
        <v>24352.0</v>
      </c>
      <c r="C4048" s="8"/>
      <c r="D4048" s="8"/>
      <c r="E4048" s="8"/>
      <c r="F4048" s="8"/>
    </row>
    <row r="4049" ht="13.5" customHeight="1">
      <c r="A4049" s="8" t="s">
        <v>1992</v>
      </c>
      <c r="B4049" s="8">
        <v>24646.0</v>
      </c>
      <c r="C4049" s="8"/>
      <c r="D4049" s="8"/>
      <c r="E4049" s="8"/>
      <c r="F4049" s="8"/>
    </row>
    <row r="4050" ht="13.5" customHeight="1">
      <c r="A4050" s="8" t="s">
        <v>1994</v>
      </c>
      <c r="B4050" s="8">
        <v>24993.0</v>
      </c>
      <c r="C4050" s="8"/>
      <c r="D4050" s="8"/>
      <c r="E4050" s="8"/>
      <c r="F4050" s="8"/>
    </row>
    <row r="4051" ht="13.5" customHeight="1">
      <c r="A4051" s="8" t="s">
        <v>1995</v>
      </c>
      <c r="B4051" s="8">
        <v>25060.0</v>
      </c>
      <c r="C4051" s="8"/>
      <c r="D4051" s="8"/>
      <c r="E4051" s="8"/>
      <c r="F4051" s="8"/>
    </row>
    <row r="4052" ht="13.5" customHeight="1">
      <c r="A4052" s="8" t="s">
        <v>1988</v>
      </c>
      <c r="B4052" s="8">
        <v>25447.0</v>
      </c>
      <c r="C4052" s="8"/>
      <c r="D4052" s="8"/>
      <c r="E4052" s="8"/>
      <c r="F4052" s="8"/>
    </row>
    <row r="4053" ht="13.5" customHeight="1">
      <c r="A4053" s="8" t="s">
        <v>1994</v>
      </c>
      <c r="B4053" s="8">
        <v>26214.0</v>
      </c>
      <c r="C4053" s="8"/>
      <c r="D4053" s="8"/>
      <c r="E4053" s="8"/>
      <c r="F4053" s="8"/>
    </row>
    <row r="4054" ht="13.5" customHeight="1">
      <c r="A4054" s="8" t="s">
        <v>1991</v>
      </c>
      <c r="B4054" s="8">
        <v>26913.0</v>
      </c>
      <c r="C4054" s="8"/>
      <c r="D4054" s="8"/>
      <c r="E4054" s="8"/>
      <c r="F4054" s="8"/>
    </row>
    <row r="4055" ht="13.5" customHeight="1">
      <c r="A4055" s="8" t="s">
        <v>1986</v>
      </c>
      <c r="B4055" s="8">
        <v>27265.0</v>
      </c>
      <c r="C4055" s="8"/>
      <c r="D4055" s="8"/>
      <c r="E4055" s="8"/>
      <c r="F4055" s="8"/>
    </row>
    <row r="4056" ht="13.5" customHeight="1">
      <c r="A4056" s="8" t="s">
        <v>1984</v>
      </c>
      <c r="B4056" s="8">
        <v>27491.0</v>
      </c>
      <c r="C4056" s="8"/>
      <c r="D4056" s="8"/>
      <c r="E4056" s="8"/>
      <c r="F4056" s="8"/>
    </row>
    <row r="4057" ht="13.5" customHeight="1">
      <c r="A4057" s="8" t="s">
        <v>1887</v>
      </c>
      <c r="B4057" s="8">
        <v>27845.0</v>
      </c>
      <c r="C4057" s="8"/>
      <c r="D4057" s="8"/>
      <c r="E4057" s="8"/>
      <c r="F4057" s="8"/>
    </row>
    <row r="4058" ht="13.5" customHeight="1">
      <c r="A4058" s="8" t="s">
        <v>1991</v>
      </c>
      <c r="B4058" s="8">
        <v>30176.0</v>
      </c>
      <c r="C4058" s="8"/>
      <c r="D4058" s="8"/>
      <c r="E4058" s="8"/>
      <c r="F4058" s="8"/>
    </row>
    <row r="4059" ht="13.5" customHeight="1">
      <c r="A4059" s="8" t="s">
        <v>1986</v>
      </c>
      <c r="B4059" s="8">
        <v>30375.0</v>
      </c>
      <c r="C4059" s="8"/>
      <c r="D4059" s="8"/>
      <c r="E4059" s="8"/>
      <c r="F4059" s="8"/>
    </row>
    <row r="4060" ht="13.5" customHeight="1">
      <c r="A4060" s="8" t="s">
        <v>1984</v>
      </c>
      <c r="B4060" s="8">
        <v>30565.0</v>
      </c>
      <c r="C4060" s="8"/>
      <c r="D4060" s="8"/>
      <c r="E4060" s="8"/>
      <c r="F4060" s="8"/>
    </row>
    <row r="4061" ht="13.5" customHeight="1">
      <c r="A4061" s="8" t="s">
        <v>1985</v>
      </c>
      <c r="B4061" s="8">
        <v>30567.0</v>
      </c>
      <c r="C4061" s="8"/>
      <c r="D4061" s="8"/>
      <c r="E4061" s="8"/>
      <c r="F4061" s="8"/>
    </row>
    <row r="4062" ht="13.5" customHeight="1">
      <c r="A4062" s="8" t="s">
        <v>1991</v>
      </c>
      <c r="B4062" s="8">
        <v>31586.0</v>
      </c>
      <c r="C4062" s="8"/>
      <c r="D4062" s="8"/>
      <c r="E4062" s="8"/>
      <c r="F4062" s="8"/>
    </row>
    <row r="4063" ht="13.5" customHeight="1">
      <c r="A4063" s="8" t="s">
        <v>1989</v>
      </c>
      <c r="B4063" s="8">
        <v>31687.0</v>
      </c>
      <c r="C4063" s="8"/>
      <c r="D4063" s="8"/>
      <c r="E4063" s="8"/>
      <c r="F4063" s="8"/>
    </row>
    <row r="4064" ht="13.5" customHeight="1">
      <c r="A4064" s="8" t="s">
        <v>1991</v>
      </c>
      <c r="B4064" s="8">
        <v>31847.0</v>
      </c>
      <c r="C4064" s="8"/>
      <c r="D4064" s="8"/>
      <c r="E4064" s="8"/>
      <c r="F4064" s="8"/>
    </row>
    <row r="4065" ht="13.5" customHeight="1">
      <c r="A4065" s="8" t="s">
        <v>1988</v>
      </c>
      <c r="B4065" s="8">
        <v>32868.0</v>
      </c>
      <c r="C4065" s="8"/>
      <c r="D4065" s="8"/>
      <c r="E4065" s="8"/>
      <c r="F4065" s="8"/>
    </row>
    <row r="4066" ht="13.5" customHeight="1">
      <c r="A4066" s="8" t="s">
        <v>1987</v>
      </c>
      <c r="B4066" s="8">
        <v>36224.0</v>
      </c>
      <c r="C4066" s="8"/>
      <c r="D4066" s="8"/>
      <c r="E4066" s="8"/>
      <c r="F4066" s="8"/>
    </row>
    <row r="4067" ht="13.5" customHeight="1">
      <c r="A4067" s="8" t="s">
        <v>1686</v>
      </c>
      <c r="B4067" s="8">
        <v>36709.0</v>
      </c>
      <c r="C4067" s="8"/>
      <c r="D4067" s="8"/>
      <c r="E4067" s="8"/>
      <c r="F4067" s="8"/>
    </row>
    <row r="4068" ht="13.5" customHeight="1">
      <c r="A4068" s="8" t="s">
        <v>1991</v>
      </c>
      <c r="B4068" s="8">
        <v>37826.0</v>
      </c>
      <c r="C4068" s="8"/>
      <c r="D4068" s="8"/>
      <c r="E4068" s="8"/>
      <c r="F4068" s="8"/>
    </row>
    <row r="4069" ht="13.5" customHeight="1">
      <c r="A4069" s="8" t="s">
        <v>1988</v>
      </c>
      <c r="B4069" s="8">
        <v>38182.0</v>
      </c>
      <c r="C4069" s="8"/>
      <c r="D4069" s="8"/>
      <c r="E4069" s="8"/>
      <c r="F4069" s="8"/>
    </row>
    <row r="4070" ht="13.5" customHeight="1">
      <c r="A4070" s="8" t="s">
        <v>1686</v>
      </c>
      <c r="B4070" s="8">
        <v>39717.0</v>
      </c>
      <c r="C4070" s="8"/>
      <c r="D4070" s="8"/>
      <c r="E4070" s="8"/>
      <c r="F4070" s="8"/>
    </row>
    <row r="4071" ht="13.5" customHeight="1">
      <c r="A4071" s="8" t="s">
        <v>1995</v>
      </c>
      <c r="B4071" s="8">
        <v>40257.0</v>
      </c>
      <c r="C4071" s="8"/>
      <c r="D4071" s="8"/>
      <c r="E4071" s="8"/>
      <c r="F4071" s="8"/>
    </row>
    <row r="4072" ht="13.5" customHeight="1">
      <c r="A4072" s="8" t="s">
        <v>1990</v>
      </c>
      <c r="B4072" s="8">
        <v>40321.0</v>
      </c>
      <c r="C4072" s="8"/>
      <c r="D4072" s="8"/>
      <c r="E4072" s="8"/>
      <c r="F4072" s="8"/>
    </row>
    <row r="4073" ht="13.5" customHeight="1">
      <c r="A4073" s="8" t="s">
        <v>1988</v>
      </c>
      <c r="B4073" s="8">
        <v>42214.0</v>
      </c>
      <c r="C4073" s="8"/>
      <c r="D4073" s="8"/>
      <c r="E4073" s="8"/>
      <c r="F4073" s="8"/>
    </row>
    <row r="4074" ht="13.5" customHeight="1">
      <c r="A4074" s="8" t="s">
        <v>1991</v>
      </c>
      <c r="B4074" s="8">
        <v>42788.0</v>
      </c>
      <c r="C4074" s="8"/>
      <c r="D4074" s="8"/>
      <c r="E4074" s="8"/>
      <c r="F4074" s="8"/>
    </row>
    <row r="4075" ht="13.5" customHeight="1">
      <c r="A4075" s="8" t="s">
        <v>1887</v>
      </c>
      <c r="B4075" s="8">
        <v>42912.0</v>
      </c>
      <c r="C4075" s="8"/>
      <c r="D4075" s="8"/>
      <c r="E4075" s="8"/>
      <c r="F4075" s="8"/>
    </row>
    <row r="4076" ht="13.5" customHeight="1">
      <c r="A4076" s="8" t="s">
        <v>1991</v>
      </c>
      <c r="B4076" s="8">
        <v>43653.0</v>
      </c>
      <c r="C4076" s="8"/>
      <c r="D4076" s="8"/>
      <c r="E4076" s="8"/>
      <c r="F4076" s="8"/>
    </row>
    <row r="4077" ht="13.5" customHeight="1">
      <c r="A4077" s="8" t="s">
        <v>1985</v>
      </c>
      <c r="B4077" s="8">
        <v>44962.0</v>
      </c>
      <c r="C4077" s="8"/>
      <c r="D4077" s="8"/>
      <c r="E4077" s="8"/>
      <c r="F4077" s="8"/>
    </row>
    <row r="4078" ht="13.5" customHeight="1">
      <c r="A4078" s="8" t="s">
        <v>1989</v>
      </c>
      <c r="B4078" s="8">
        <v>45412.0</v>
      </c>
      <c r="C4078" s="8"/>
      <c r="D4078" s="8"/>
      <c r="E4078" s="8"/>
      <c r="F4078" s="8"/>
    </row>
    <row r="4079" ht="13.5" customHeight="1">
      <c r="A4079" s="8" t="s">
        <v>1991</v>
      </c>
      <c r="B4079" s="8">
        <v>45734.0</v>
      </c>
      <c r="C4079" s="8"/>
      <c r="D4079" s="8"/>
      <c r="E4079" s="8"/>
      <c r="F4079" s="8"/>
    </row>
    <row r="4080" ht="13.5" customHeight="1">
      <c r="A4080" s="8" t="s">
        <v>1984</v>
      </c>
      <c r="B4080" s="8">
        <v>45959.0</v>
      </c>
      <c r="C4080" s="8"/>
      <c r="D4080" s="8"/>
      <c r="E4080" s="8"/>
      <c r="F4080" s="8"/>
    </row>
    <row r="4081" ht="13.5" customHeight="1">
      <c r="A4081" s="8" t="s">
        <v>1987</v>
      </c>
      <c r="B4081" s="8">
        <v>46981.0</v>
      </c>
      <c r="C4081" s="8"/>
      <c r="D4081" s="8"/>
      <c r="E4081" s="8"/>
      <c r="F4081" s="8"/>
    </row>
    <row r="4082" ht="13.5" customHeight="1">
      <c r="A4082" s="8" t="s">
        <v>1987</v>
      </c>
      <c r="B4082" s="8">
        <v>47010.0</v>
      </c>
      <c r="C4082" s="8"/>
      <c r="D4082" s="8"/>
      <c r="E4082" s="8"/>
      <c r="F4082" s="8"/>
    </row>
    <row r="4083" ht="13.5" customHeight="1">
      <c r="A4083" s="8" t="s">
        <v>1990</v>
      </c>
      <c r="B4083" s="8">
        <v>47717.0</v>
      </c>
      <c r="C4083" s="8"/>
      <c r="D4083" s="8"/>
      <c r="E4083" s="8"/>
      <c r="F4083" s="8"/>
    </row>
    <row r="4084" ht="13.5" customHeight="1">
      <c r="A4084" s="8" t="s">
        <v>1986</v>
      </c>
      <c r="B4084" s="8">
        <v>48257.0</v>
      </c>
      <c r="C4084" s="8"/>
      <c r="D4084" s="8"/>
      <c r="E4084" s="8"/>
      <c r="F4084" s="8"/>
    </row>
    <row r="4085" ht="13.5" customHeight="1">
      <c r="A4085" s="8" t="s">
        <v>1984</v>
      </c>
      <c r="B4085" s="8">
        <v>48577.0</v>
      </c>
      <c r="C4085" s="8"/>
      <c r="D4085" s="8"/>
      <c r="E4085" s="8"/>
      <c r="F4085" s="8"/>
    </row>
    <row r="4086" ht="13.5" customHeight="1">
      <c r="A4086" s="8" t="s">
        <v>1708</v>
      </c>
      <c r="B4086" s="8">
        <v>49953.0</v>
      </c>
      <c r="C4086" s="8"/>
      <c r="D4086" s="8"/>
      <c r="E4086" s="8"/>
      <c r="F4086" s="8"/>
    </row>
    <row r="4087" ht="13.5" customHeight="1">
      <c r="A4087" s="8" t="s">
        <v>1708</v>
      </c>
      <c r="B4087" s="8">
        <v>51300.0</v>
      </c>
      <c r="C4087" s="8"/>
      <c r="D4087" s="8"/>
      <c r="E4087" s="8"/>
      <c r="F4087" s="8"/>
    </row>
    <row r="4088" ht="13.5" customHeight="1">
      <c r="A4088" s="8" t="s">
        <v>1887</v>
      </c>
      <c r="B4088" s="8">
        <v>51687.0</v>
      </c>
      <c r="C4088" s="8"/>
      <c r="D4088" s="8"/>
      <c r="E4088" s="8"/>
      <c r="F4088" s="8"/>
    </row>
    <row r="4089" ht="13.5" customHeight="1">
      <c r="A4089" s="8" t="s">
        <v>1992</v>
      </c>
      <c r="B4089" s="8">
        <v>51974.0</v>
      </c>
      <c r="C4089" s="8"/>
      <c r="D4089" s="8"/>
      <c r="E4089" s="8"/>
      <c r="F4089" s="8"/>
    </row>
    <row r="4090" ht="13.5" customHeight="1">
      <c r="A4090" s="8" t="s">
        <v>1991</v>
      </c>
      <c r="B4090" s="8">
        <v>52676.0</v>
      </c>
      <c r="C4090" s="8"/>
      <c r="D4090" s="8"/>
      <c r="E4090" s="8"/>
      <c r="F4090" s="8"/>
    </row>
    <row r="4091" ht="13.5" customHeight="1">
      <c r="A4091" s="8" t="s">
        <v>1233</v>
      </c>
      <c r="B4091" s="8">
        <v>53153.0</v>
      </c>
      <c r="C4091" s="8"/>
      <c r="D4091" s="8"/>
      <c r="E4091" s="8"/>
      <c r="F4091" s="8"/>
    </row>
    <row r="4092" ht="13.5" customHeight="1">
      <c r="A4092" s="8" t="s">
        <v>1991</v>
      </c>
      <c r="B4092" s="8">
        <v>53895.0</v>
      </c>
      <c r="C4092" s="8"/>
      <c r="D4092" s="8"/>
      <c r="E4092" s="8"/>
      <c r="F4092" s="8"/>
    </row>
    <row r="4093" ht="13.5" customHeight="1">
      <c r="A4093" s="8" t="s">
        <v>1810</v>
      </c>
      <c r="B4093" s="8">
        <v>54497.0</v>
      </c>
      <c r="C4093" s="8"/>
      <c r="D4093" s="8"/>
      <c r="E4093" s="8"/>
      <c r="F4093" s="8"/>
    </row>
    <row r="4094" ht="13.5" customHeight="1">
      <c r="A4094" s="8" t="s">
        <v>1252</v>
      </c>
      <c r="B4094" s="8">
        <v>55296.0</v>
      </c>
      <c r="C4094" s="8"/>
      <c r="D4094" s="8"/>
      <c r="E4094" s="8"/>
      <c r="F4094" s="8"/>
    </row>
    <row r="4095" ht="13.5" customHeight="1">
      <c r="A4095" s="8" t="s">
        <v>1708</v>
      </c>
      <c r="B4095" s="8">
        <v>55654.0</v>
      </c>
      <c r="C4095" s="8"/>
      <c r="D4095" s="8"/>
      <c r="E4095" s="8"/>
      <c r="F4095" s="8"/>
    </row>
    <row r="4096" ht="13.5" customHeight="1">
      <c r="A4096" s="8" t="s">
        <v>1993</v>
      </c>
      <c r="B4096" s="8">
        <v>56387.0</v>
      </c>
      <c r="C4096" s="8"/>
      <c r="D4096" s="8"/>
      <c r="E4096" s="8"/>
      <c r="F4096" s="8"/>
    </row>
    <row r="4097" ht="13.5" customHeight="1">
      <c r="A4097" s="8" t="s">
        <v>1989</v>
      </c>
      <c r="B4097" s="8">
        <v>56743.0</v>
      </c>
      <c r="C4097" s="8"/>
      <c r="D4097" s="8"/>
      <c r="E4097" s="8"/>
      <c r="F4097" s="8"/>
    </row>
    <row r="4098" ht="13.5" customHeight="1">
      <c r="A4098" s="8" t="s">
        <v>1887</v>
      </c>
      <c r="B4098" s="8">
        <v>56805.0</v>
      </c>
      <c r="C4098" s="8"/>
      <c r="D4098" s="8"/>
      <c r="E4098" s="8"/>
      <c r="F4098" s="8"/>
    </row>
    <row r="4099" ht="13.5" customHeight="1">
      <c r="A4099" s="8" t="s">
        <v>1984</v>
      </c>
      <c r="B4099" s="8">
        <v>56838.0</v>
      </c>
      <c r="C4099" s="8"/>
      <c r="D4099" s="8"/>
      <c r="E4099" s="8"/>
      <c r="F4099" s="8"/>
    </row>
    <row r="4100" ht="13.5" customHeight="1">
      <c r="A4100" s="8" t="s">
        <v>1233</v>
      </c>
      <c r="B4100" s="8">
        <v>57095.0</v>
      </c>
      <c r="C4100" s="8"/>
      <c r="D4100" s="8"/>
      <c r="E4100" s="8"/>
      <c r="F4100" s="8"/>
    </row>
    <row r="4101" ht="13.5" customHeight="1">
      <c r="A4101" s="8" t="s">
        <v>1988</v>
      </c>
      <c r="B4101" s="8">
        <v>57287.0</v>
      </c>
      <c r="C4101" s="8"/>
      <c r="D4101" s="8"/>
      <c r="E4101" s="8"/>
      <c r="F4101" s="8"/>
    </row>
    <row r="4102" ht="13.5" customHeight="1">
      <c r="A4102" s="8" t="s">
        <v>1708</v>
      </c>
      <c r="B4102" s="8">
        <v>57984.0</v>
      </c>
      <c r="C4102" s="8"/>
      <c r="D4102" s="8"/>
      <c r="E4102" s="8"/>
      <c r="F4102" s="8"/>
    </row>
    <row r="4103" ht="13.5" customHeight="1">
      <c r="A4103" s="8" t="s">
        <v>1233</v>
      </c>
      <c r="B4103" s="8">
        <v>59238.0</v>
      </c>
      <c r="C4103" s="8"/>
      <c r="D4103" s="8"/>
      <c r="E4103" s="8"/>
      <c r="F4103" s="8"/>
    </row>
    <row r="4104" ht="13.5" customHeight="1">
      <c r="A4104" s="8" t="s">
        <v>1993</v>
      </c>
      <c r="B4104" s="8">
        <v>59396.0</v>
      </c>
      <c r="C4104" s="8"/>
      <c r="D4104" s="8"/>
      <c r="E4104" s="8"/>
      <c r="F4104" s="8"/>
    </row>
    <row r="4105" ht="13.5" customHeight="1">
      <c r="A4105" s="8" t="s">
        <v>1989</v>
      </c>
      <c r="B4105" s="8">
        <v>59911.0</v>
      </c>
      <c r="C4105" s="8"/>
      <c r="D4105" s="8"/>
      <c r="E4105" s="8"/>
      <c r="F4105" s="8"/>
    </row>
    <row r="4106" ht="13.5" customHeight="1">
      <c r="A4106" s="8" t="s">
        <v>1998</v>
      </c>
      <c r="B4106" s="8">
        <v>930.0</v>
      </c>
      <c r="C4106" s="8"/>
      <c r="D4106" s="8"/>
      <c r="E4106" s="8"/>
      <c r="F4106" s="8"/>
    </row>
    <row r="4107" ht="13.5" customHeight="1">
      <c r="A4107" s="8" t="s">
        <v>1999</v>
      </c>
      <c r="B4107" s="8">
        <v>1058.0</v>
      </c>
      <c r="C4107" s="8"/>
      <c r="D4107" s="8"/>
      <c r="E4107" s="8"/>
      <c r="F4107" s="8"/>
    </row>
    <row r="4108" ht="13.5" customHeight="1">
      <c r="A4108" s="8" t="s">
        <v>1500</v>
      </c>
      <c r="B4108" s="8">
        <v>1088.0</v>
      </c>
      <c r="C4108" s="8"/>
      <c r="D4108" s="8"/>
      <c r="E4108" s="8"/>
      <c r="F4108" s="8"/>
    </row>
    <row r="4109" ht="13.5" customHeight="1">
      <c r="A4109" s="8" t="s">
        <v>1897</v>
      </c>
      <c r="B4109" s="8">
        <v>1504.0</v>
      </c>
      <c r="C4109" s="8"/>
      <c r="D4109" s="8"/>
      <c r="E4109" s="8"/>
      <c r="F4109" s="8"/>
    </row>
    <row r="4110" ht="13.5" customHeight="1">
      <c r="A4110" s="8" t="s">
        <v>1533</v>
      </c>
      <c r="B4110" s="8">
        <v>1796.0</v>
      </c>
      <c r="C4110" s="8"/>
      <c r="D4110" s="8"/>
      <c r="E4110" s="8"/>
      <c r="F4110" s="8"/>
    </row>
    <row r="4111" ht="13.5" customHeight="1">
      <c r="A4111" s="8" t="s">
        <v>1533</v>
      </c>
      <c r="B4111" s="8">
        <v>2048.0</v>
      </c>
      <c r="C4111" s="8"/>
      <c r="D4111" s="8"/>
      <c r="E4111" s="8"/>
      <c r="F4111" s="8"/>
    </row>
    <row r="4112" ht="13.5" customHeight="1">
      <c r="A4112" s="8" t="s">
        <v>2000</v>
      </c>
      <c r="B4112" s="8">
        <v>2050.0</v>
      </c>
      <c r="C4112" s="8"/>
      <c r="D4112" s="8"/>
      <c r="E4112" s="8"/>
      <c r="F4112" s="8"/>
    </row>
    <row r="4113" ht="13.5" customHeight="1">
      <c r="A4113" s="8" t="s">
        <v>1540</v>
      </c>
      <c r="B4113" s="8">
        <v>2054.0</v>
      </c>
      <c r="C4113" s="8"/>
      <c r="D4113" s="8"/>
      <c r="E4113" s="8"/>
      <c r="F4113" s="8"/>
    </row>
    <row r="4114" ht="13.5" customHeight="1">
      <c r="A4114" s="8" t="s">
        <v>1713</v>
      </c>
      <c r="B4114" s="8">
        <v>2885.0</v>
      </c>
      <c r="C4114" s="8"/>
      <c r="D4114" s="8"/>
      <c r="E4114" s="8"/>
      <c r="F4114" s="8"/>
    </row>
    <row r="4115" ht="13.5" customHeight="1">
      <c r="A4115" s="8" t="s">
        <v>833</v>
      </c>
      <c r="B4115" s="8">
        <v>3458.0</v>
      </c>
      <c r="C4115" s="8"/>
      <c r="D4115" s="8"/>
      <c r="E4115" s="8"/>
      <c r="F4115" s="8"/>
    </row>
    <row r="4116" ht="13.5" customHeight="1">
      <c r="A4116" s="8" t="s">
        <v>2000</v>
      </c>
      <c r="B4116" s="8">
        <v>3522.0</v>
      </c>
      <c r="C4116" s="8"/>
      <c r="D4116" s="8"/>
      <c r="E4116" s="8"/>
      <c r="F4116" s="8"/>
    </row>
    <row r="4117" ht="13.5" customHeight="1">
      <c r="A4117" s="8" t="s">
        <v>2002</v>
      </c>
      <c r="B4117" s="8">
        <v>3653.0</v>
      </c>
      <c r="C4117" s="8"/>
      <c r="D4117" s="8"/>
      <c r="E4117" s="8"/>
      <c r="F4117" s="8"/>
    </row>
    <row r="4118" ht="13.5" customHeight="1">
      <c r="A4118" s="8" t="s">
        <v>2002</v>
      </c>
      <c r="B4118" s="8">
        <v>3808.0</v>
      </c>
      <c r="C4118" s="8"/>
      <c r="D4118" s="8"/>
      <c r="E4118" s="8"/>
      <c r="F4118" s="8"/>
    </row>
    <row r="4119" ht="13.5" customHeight="1">
      <c r="A4119" s="8" t="s">
        <v>780</v>
      </c>
      <c r="B4119" s="8">
        <v>3970.0</v>
      </c>
      <c r="C4119" s="8"/>
      <c r="D4119" s="8"/>
      <c r="E4119" s="8"/>
      <c r="F4119" s="8"/>
    </row>
    <row r="4120" ht="13.5" customHeight="1">
      <c r="A4120" s="8" t="s">
        <v>2002</v>
      </c>
      <c r="B4120" s="8">
        <v>4739.0</v>
      </c>
      <c r="C4120" s="8"/>
      <c r="D4120" s="8"/>
      <c r="E4120" s="8"/>
      <c r="F4120" s="8"/>
    </row>
    <row r="4121" ht="13.5" customHeight="1">
      <c r="A4121" s="8" t="s">
        <v>2003</v>
      </c>
      <c r="B4121" s="8">
        <v>5378.0</v>
      </c>
      <c r="C4121" s="8"/>
      <c r="D4121" s="8"/>
      <c r="E4121" s="8"/>
      <c r="F4121" s="8"/>
    </row>
    <row r="4122" ht="13.5" customHeight="1">
      <c r="A4122" s="8" t="s">
        <v>780</v>
      </c>
      <c r="B4122" s="8">
        <v>5828.0</v>
      </c>
      <c r="C4122" s="8"/>
      <c r="D4122" s="8"/>
      <c r="E4122" s="8"/>
      <c r="F4122" s="8"/>
    </row>
    <row r="4123" ht="13.5" customHeight="1">
      <c r="A4123" s="8" t="s">
        <v>1540</v>
      </c>
      <c r="B4123" s="8">
        <v>6279.0</v>
      </c>
      <c r="C4123" s="8"/>
      <c r="D4123" s="8"/>
      <c r="E4123" s="8"/>
      <c r="F4123" s="8"/>
    </row>
    <row r="4124" ht="13.5" customHeight="1">
      <c r="A4124" s="8" t="s">
        <v>1500</v>
      </c>
      <c r="B4124" s="8">
        <v>7267.0</v>
      </c>
      <c r="C4124" s="8"/>
      <c r="D4124" s="8"/>
      <c r="E4124" s="8"/>
      <c r="F4124" s="8"/>
    </row>
    <row r="4125" ht="13.5" customHeight="1">
      <c r="A4125" s="8" t="s">
        <v>1500</v>
      </c>
      <c r="B4125" s="8">
        <v>7269.0</v>
      </c>
      <c r="C4125" s="8"/>
      <c r="D4125" s="8"/>
      <c r="E4125" s="8"/>
      <c r="F4125" s="8"/>
    </row>
    <row r="4126" ht="13.5" customHeight="1">
      <c r="A4126" s="8" t="s">
        <v>1713</v>
      </c>
      <c r="B4126" s="8">
        <v>7527.0</v>
      </c>
      <c r="C4126" s="8"/>
      <c r="D4126" s="8"/>
      <c r="E4126" s="8"/>
      <c r="F4126" s="8"/>
    </row>
    <row r="4127" ht="13.5" customHeight="1">
      <c r="A4127" s="8" t="s">
        <v>1713</v>
      </c>
      <c r="B4127" s="8">
        <v>8546.0</v>
      </c>
      <c r="C4127" s="8"/>
      <c r="D4127" s="8"/>
      <c r="E4127" s="8"/>
      <c r="F4127" s="8"/>
    </row>
    <row r="4128" ht="13.5" customHeight="1">
      <c r="A4128" s="8" t="s">
        <v>833</v>
      </c>
      <c r="B4128" s="8">
        <v>8578.0</v>
      </c>
      <c r="C4128" s="8"/>
      <c r="D4128" s="8"/>
      <c r="E4128" s="8"/>
      <c r="F4128" s="8"/>
    </row>
    <row r="4129" ht="13.5" customHeight="1">
      <c r="A4129" s="8" t="s">
        <v>2003</v>
      </c>
      <c r="B4129" s="8">
        <v>9669.0</v>
      </c>
      <c r="C4129" s="8"/>
      <c r="D4129" s="8"/>
      <c r="E4129" s="8"/>
      <c r="F4129" s="8"/>
    </row>
    <row r="4130" ht="13.5" customHeight="1">
      <c r="A4130" s="8" t="s">
        <v>1644</v>
      </c>
      <c r="B4130" s="8">
        <v>9952.0</v>
      </c>
      <c r="C4130" s="8"/>
      <c r="D4130" s="8"/>
      <c r="E4130" s="8"/>
      <c r="F4130" s="8"/>
    </row>
    <row r="4131" ht="13.5" customHeight="1">
      <c r="A4131" s="8" t="s">
        <v>2004</v>
      </c>
      <c r="B4131" s="8">
        <v>10630.0</v>
      </c>
      <c r="C4131" s="8"/>
      <c r="D4131" s="8"/>
      <c r="E4131" s="8"/>
      <c r="F4131" s="8"/>
    </row>
    <row r="4132" ht="13.5" customHeight="1">
      <c r="A4132" s="8" t="s">
        <v>2000</v>
      </c>
      <c r="B4132" s="8">
        <v>10657.0</v>
      </c>
      <c r="C4132" s="8"/>
      <c r="D4132" s="8"/>
      <c r="E4132" s="8"/>
      <c r="F4132" s="8"/>
    </row>
    <row r="4133" ht="13.5" customHeight="1">
      <c r="A4133" s="8" t="s">
        <v>1713</v>
      </c>
      <c r="B4133" s="8">
        <v>11427.0</v>
      </c>
      <c r="C4133" s="8"/>
      <c r="D4133" s="8"/>
      <c r="E4133" s="8"/>
      <c r="F4133" s="8"/>
    </row>
    <row r="4134" ht="13.5" customHeight="1">
      <c r="A4134" s="8" t="s">
        <v>1500</v>
      </c>
      <c r="B4134" s="8">
        <v>12037.0</v>
      </c>
      <c r="C4134" s="8"/>
      <c r="D4134" s="8"/>
      <c r="E4134" s="8"/>
      <c r="F4134" s="8"/>
    </row>
    <row r="4135" ht="13.5" customHeight="1">
      <c r="A4135" s="8" t="s">
        <v>1500</v>
      </c>
      <c r="B4135" s="8">
        <v>12259.0</v>
      </c>
      <c r="C4135" s="8"/>
      <c r="D4135" s="8"/>
      <c r="E4135" s="8"/>
      <c r="F4135" s="8"/>
    </row>
    <row r="4136" ht="13.5" customHeight="1">
      <c r="A4136" s="8" t="s">
        <v>1692</v>
      </c>
      <c r="B4136" s="8">
        <v>12900.0</v>
      </c>
      <c r="C4136" s="8"/>
      <c r="D4136" s="8"/>
      <c r="E4136" s="8"/>
      <c r="F4136" s="8"/>
    </row>
    <row r="4137" ht="13.5" customHeight="1">
      <c r="A4137" s="8" t="s">
        <v>2005</v>
      </c>
      <c r="B4137" s="8">
        <v>12999.0</v>
      </c>
      <c r="C4137" s="8"/>
      <c r="D4137" s="8"/>
      <c r="E4137" s="8"/>
      <c r="F4137" s="8"/>
    </row>
    <row r="4138" ht="13.5" customHeight="1">
      <c r="A4138" s="8" t="s">
        <v>1713</v>
      </c>
      <c r="B4138" s="8">
        <v>13632.0</v>
      </c>
      <c r="C4138" s="8"/>
      <c r="D4138" s="8"/>
      <c r="E4138" s="8"/>
      <c r="F4138" s="8"/>
    </row>
    <row r="4139" ht="13.5" customHeight="1">
      <c r="A4139" s="8" t="s">
        <v>2006</v>
      </c>
      <c r="B4139" s="8">
        <v>13920.0</v>
      </c>
      <c r="C4139" s="8"/>
      <c r="D4139" s="8"/>
      <c r="E4139" s="8"/>
      <c r="F4139" s="8"/>
    </row>
    <row r="4140" ht="13.5" customHeight="1">
      <c r="A4140" s="8" t="s">
        <v>1380</v>
      </c>
      <c r="B4140" s="8">
        <v>15651.0</v>
      </c>
      <c r="C4140" s="8"/>
      <c r="D4140" s="8"/>
      <c r="E4140" s="8"/>
      <c r="F4140" s="8"/>
    </row>
    <row r="4141" ht="13.5" customHeight="1">
      <c r="A4141" s="8" t="s">
        <v>2007</v>
      </c>
      <c r="B4141" s="8">
        <v>16197.0</v>
      </c>
      <c r="C4141" s="8"/>
      <c r="D4141" s="8"/>
      <c r="E4141" s="8"/>
      <c r="F4141" s="8"/>
    </row>
    <row r="4142" ht="13.5" customHeight="1">
      <c r="A4142" s="8" t="s">
        <v>1500</v>
      </c>
      <c r="B4142" s="8">
        <v>16770.0</v>
      </c>
      <c r="C4142" s="8"/>
      <c r="D4142" s="8"/>
      <c r="E4142" s="8"/>
      <c r="F4142" s="8"/>
    </row>
    <row r="4143" ht="13.5" customHeight="1">
      <c r="A4143" s="8" t="s">
        <v>1713</v>
      </c>
      <c r="B4143" s="8">
        <v>16802.0</v>
      </c>
      <c r="C4143" s="8"/>
      <c r="D4143" s="8"/>
      <c r="E4143" s="8"/>
      <c r="F4143" s="8"/>
    </row>
    <row r="4144" ht="13.5" customHeight="1">
      <c r="A4144" s="8" t="s">
        <v>1879</v>
      </c>
      <c r="B4144" s="8">
        <v>16961.0</v>
      </c>
      <c r="C4144" s="8"/>
      <c r="D4144" s="8"/>
      <c r="E4144" s="8"/>
      <c r="F4144" s="8"/>
    </row>
    <row r="4145" ht="13.5" customHeight="1">
      <c r="A4145" s="8" t="s">
        <v>1879</v>
      </c>
      <c r="B4145" s="8">
        <v>17543.0</v>
      </c>
      <c r="C4145" s="8"/>
      <c r="D4145" s="8"/>
      <c r="E4145" s="8"/>
      <c r="F4145" s="8"/>
    </row>
    <row r="4146" ht="13.5" customHeight="1">
      <c r="A4146" s="8" t="s">
        <v>1897</v>
      </c>
      <c r="B4146" s="8">
        <v>18055.0</v>
      </c>
      <c r="C4146" s="8"/>
      <c r="D4146" s="8"/>
      <c r="E4146" s="8"/>
      <c r="F4146" s="8"/>
    </row>
    <row r="4147" ht="13.5" customHeight="1">
      <c r="A4147" s="8" t="s">
        <v>2007</v>
      </c>
      <c r="B4147" s="8">
        <v>20484.0</v>
      </c>
      <c r="C4147" s="8"/>
      <c r="D4147" s="8"/>
      <c r="E4147" s="8"/>
      <c r="F4147" s="8"/>
    </row>
    <row r="4148" ht="13.5" customHeight="1">
      <c r="A4148" s="8" t="s">
        <v>1999</v>
      </c>
      <c r="B4148" s="8">
        <v>20579.0</v>
      </c>
      <c r="C4148" s="8"/>
      <c r="D4148" s="8"/>
      <c r="E4148" s="8"/>
      <c r="F4148" s="8"/>
    </row>
    <row r="4149" ht="13.5" customHeight="1">
      <c r="A4149" s="8" t="s">
        <v>1257</v>
      </c>
      <c r="B4149" s="8">
        <v>20933.0</v>
      </c>
      <c r="C4149" s="8"/>
      <c r="D4149" s="8"/>
      <c r="E4149" s="8"/>
      <c r="F4149" s="8"/>
    </row>
    <row r="4150" ht="13.5" customHeight="1">
      <c r="A4150" s="8" t="s">
        <v>1500</v>
      </c>
      <c r="B4150" s="8">
        <v>21155.0</v>
      </c>
      <c r="C4150" s="8"/>
      <c r="D4150" s="8"/>
      <c r="E4150" s="8"/>
      <c r="F4150" s="8"/>
    </row>
    <row r="4151" ht="13.5" customHeight="1">
      <c r="A4151" s="8" t="s">
        <v>1257</v>
      </c>
      <c r="B4151" s="8">
        <v>21703.0</v>
      </c>
      <c r="C4151" s="8"/>
      <c r="D4151" s="8"/>
      <c r="E4151" s="8"/>
      <c r="F4151" s="8"/>
    </row>
    <row r="4152" ht="13.5" customHeight="1">
      <c r="A4152" s="8" t="s">
        <v>1158</v>
      </c>
      <c r="B4152" s="8">
        <v>21731.0</v>
      </c>
      <c r="C4152" s="8"/>
      <c r="D4152" s="8"/>
      <c r="E4152" s="8"/>
      <c r="F4152" s="8"/>
    </row>
    <row r="4153" ht="13.5" customHeight="1">
      <c r="A4153" s="8" t="s">
        <v>2002</v>
      </c>
      <c r="B4153" s="8">
        <v>21799.0</v>
      </c>
      <c r="C4153" s="8"/>
      <c r="D4153" s="8"/>
      <c r="E4153" s="8"/>
      <c r="F4153" s="8"/>
    </row>
    <row r="4154" ht="13.5" customHeight="1">
      <c r="A4154" s="8" t="s">
        <v>2002</v>
      </c>
      <c r="B4154" s="8">
        <v>21985.0</v>
      </c>
      <c r="C4154" s="8"/>
      <c r="D4154" s="8"/>
      <c r="E4154" s="8"/>
      <c r="F4154" s="8"/>
    </row>
    <row r="4155" ht="13.5" customHeight="1">
      <c r="A4155" s="8" t="s">
        <v>1879</v>
      </c>
      <c r="B4155" s="8">
        <v>22210.0</v>
      </c>
      <c r="C4155" s="8"/>
      <c r="D4155" s="8"/>
      <c r="E4155" s="8"/>
      <c r="F4155" s="8"/>
    </row>
    <row r="4156" ht="13.5" customHeight="1">
      <c r="A4156" s="8" t="s">
        <v>2002</v>
      </c>
      <c r="B4156" s="8">
        <v>22628.0</v>
      </c>
      <c r="C4156" s="8"/>
      <c r="D4156" s="8"/>
      <c r="E4156" s="8"/>
      <c r="F4156" s="8"/>
    </row>
    <row r="4157" ht="13.5" customHeight="1">
      <c r="A4157" s="8" t="s">
        <v>1158</v>
      </c>
      <c r="B4157" s="8">
        <v>23106.0</v>
      </c>
      <c r="C4157" s="8"/>
      <c r="D4157" s="8"/>
      <c r="E4157" s="8"/>
      <c r="F4157" s="8"/>
    </row>
    <row r="4158" ht="13.5" customHeight="1">
      <c r="A4158" s="8" t="s">
        <v>812</v>
      </c>
      <c r="B4158" s="8">
        <v>23360.0</v>
      </c>
      <c r="C4158" s="8"/>
      <c r="D4158" s="8"/>
      <c r="E4158" s="8"/>
      <c r="F4158" s="8"/>
    </row>
    <row r="4159" ht="13.5" customHeight="1">
      <c r="A4159" s="8" t="s">
        <v>1713</v>
      </c>
      <c r="B4159" s="8">
        <v>23809.0</v>
      </c>
      <c r="C4159" s="8"/>
      <c r="D4159" s="8"/>
      <c r="E4159" s="8"/>
      <c r="F4159" s="8"/>
    </row>
    <row r="4160" ht="13.5" customHeight="1">
      <c r="A4160" s="8" t="s">
        <v>1999</v>
      </c>
      <c r="B4160" s="8">
        <v>24870.0</v>
      </c>
      <c r="C4160" s="8"/>
      <c r="D4160" s="8"/>
      <c r="E4160" s="8"/>
      <c r="F4160" s="8"/>
    </row>
    <row r="4161" ht="13.5" customHeight="1">
      <c r="A4161" s="8" t="s">
        <v>2000</v>
      </c>
      <c r="B4161" s="8">
        <v>25793.0</v>
      </c>
      <c r="C4161" s="8"/>
      <c r="D4161" s="8"/>
      <c r="E4161" s="8"/>
      <c r="F4161" s="8"/>
    </row>
    <row r="4162" ht="13.5" customHeight="1">
      <c r="A4162" s="8" t="s">
        <v>1500</v>
      </c>
      <c r="B4162" s="8">
        <v>26629.0</v>
      </c>
      <c r="C4162" s="8"/>
      <c r="D4162" s="8"/>
      <c r="E4162" s="8"/>
      <c r="F4162" s="8"/>
    </row>
    <row r="4163" ht="13.5" customHeight="1">
      <c r="A4163" s="8" t="s">
        <v>1500</v>
      </c>
      <c r="B4163" s="8">
        <v>27875.0</v>
      </c>
      <c r="C4163" s="8"/>
      <c r="D4163" s="8"/>
      <c r="E4163" s="8"/>
      <c r="F4163" s="8"/>
    </row>
    <row r="4164" ht="13.5" customHeight="1">
      <c r="A4164" s="8" t="s">
        <v>1380</v>
      </c>
      <c r="B4164" s="8">
        <v>27879.0</v>
      </c>
      <c r="C4164" s="8"/>
      <c r="D4164" s="8"/>
      <c r="E4164" s="8"/>
      <c r="F4164" s="8"/>
    </row>
    <row r="4165" ht="13.5" customHeight="1">
      <c r="A4165" s="8" t="s">
        <v>2005</v>
      </c>
      <c r="B4165" s="8">
        <v>28198.0</v>
      </c>
      <c r="C4165" s="8"/>
      <c r="D4165" s="8"/>
      <c r="E4165" s="8"/>
      <c r="F4165" s="8"/>
    </row>
    <row r="4166" ht="13.5" customHeight="1">
      <c r="A4166" s="8" t="s">
        <v>1999</v>
      </c>
      <c r="B4166" s="8">
        <v>28583.0</v>
      </c>
      <c r="C4166" s="8"/>
      <c r="D4166" s="8"/>
      <c r="E4166" s="8"/>
      <c r="F4166" s="8"/>
    </row>
    <row r="4167" ht="13.5" customHeight="1">
      <c r="A4167" s="8" t="s">
        <v>1713</v>
      </c>
      <c r="B4167" s="8">
        <v>28738.0</v>
      </c>
      <c r="C4167" s="8"/>
      <c r="D4167" s="8"/>
      <c r="E4167" s="8"/>
      <c r="F4167" s="8"/>
    </row>
    <row r="4168" ht="13.5" customHeight="1">
      <c r="A4168" s="8" t="s">
        <v>2000</v>
      </c>
      <c r="B4168" s="8">
        <v>29120.0</v>
      </c>
      <c r="C4168" s="8"/>
      <c r="D4168" s="8"/>
      <c r="E4168" s="8"/>
      <c r="F4168" s="8"/>
    </row>
    <row r="4169" ht="13.5" customHeight="1">
      <c r="A4169" s="8" t="s">
        <v>1982</v>
      </c>
      <c r="B4169" s="8">
        <v>29504.0</v>
      </c>
      <c r="C4169" s="8"/>
      <c r="D4169" s="8"/>
      <c r="E4169" s="8"/>
      <c r="F4169" s="8"/>
    </row>
    <row r="4170" ht="13.5" customHeight="1">
      <c r="A4170" s="8" t="s">
        <v>2004</v>
      </c>
      <c r="B4170" s="8">
        <v>30625.0</v>
      </c>
      <c r="C4170" s="8"/>
      <c r="D4170" s="8"/>
      <c r="E4170" s="8"/>
      <c r="F4170" s="8"/>
    </row>
    <row r="4171" ht="13.5" customHeight="1">
      <c r="A4171" s="8" t="s">
        <v>1500</v>
      </c>
      <c r="B4171" s="8">
        <v>31174.0</v>
      </c>
      <c r="C4171" s="8"/>
      <c r="D4171" s="8"/>
      <c r="E4171" s="8"/>
      <c r="F4171" s="8"/>
    </row>
    <row r="4172" ht="13.5" customHeight="1">
      <c r="A4172" s="8" t="s">
        <v>1999</v>
      </c>
      <c r="B4172" s="8">
        <v>31302.0</v>
      </c>
      <c r="C4172" s="8"/>
      <c r="D4172" s="8"/>
      <c r="E4172" s="8"/>
      <c r="F4172" s="8"/>
    </row>
    <row r="4173" ht="13.5" customHeight="1">
      <c r="A4173" s="8" t="s">
        <v>1982</v>
      </c>
      <c r="B4173" s="8">
        <v>31973.0</v>
      </c>
      <c r="C4173" s="8"/>
      <c r="D4173" s="8"/>
      <c r="E4173" s="8"/>
      <c r="F4173" s="8"/>
    </row>
    <row r="4174" ht="13.5" customHeight="1">
      <c r="A4174" s="8" t="s">
        <v>1158</v>
      </c>
      <c r="B4174" s="8">
        <v>32101.0</v>
      </c>
      <c r="C4174" s="8"/>
      <c r="D4174" s="8"/>
      <c r="E4174" s="8"/>
      <c r="F4174" s="8"/>
    </row>
    <row r="4175" ht="13.5" customHeight="1">
      <c r="A4175" s="8" t="s">
        <v>1158</v>
      </c>
      <c r="B4175" s="8">
        <v>32929.0</v>
      </c>
      <c r="C4175" s="8"/>
      <c r="D4175" s="8"/>
      <c r="E4175" s="8"/>
      <c r="F4175" s="8"/>
    </row>
    <row r="4176" ht="13.5" customHeight="1">
      <c r="A4176" s="8" t="s">
        <v>1998</v>
      </c>
      <c r="B4176" s="8">
        <v>33414.0</v>
      </c>
      <c r="C4176" s="8"/>
      <c r="D4176" s="8"/>
      <c r="E4176" s="8"/>
      <c r="F4176" s="8"/>
    </row>
    <row r="4177" ht="13.5" customHeight="1">
      <c r="A4177" s="8" t="s">
        <v>2000</v>
      </c>
      <c r="B4177" s="8">
        <v>34596.0</v>
      </c>
      <c r="C4177" s="8"/>
      <c r="D4177" s="8"/>
      <c r="E4177" s="8"/>
      <c r="F4177" s="8"/>
    </row>
    <row r="4178" ht="13.5" customHeight="1">
      <c r="A4178" s="8" t="s">
        <v>2005</v>
      </c>
      <c r="B4178" s="8">
        <v>35457.0</v>
      </c>
      <c r="C4178" s="8"/>
      <c r="D4178" s="8"/>
      <c r="E4178" s="8"/>
      <c r="F4178" s="8"/>
    </row>
    <row r="4179" ht="13.5" customHeight="1">
      <c r="A4179" s="8" t="s">
        <v>2000</v>
      </c>
      <c r="B4179" s="8">
        <v>35940.0</v>
      </c>
      <c r="C4179" s="8"/>
      <c r="D4179" s="8"/>
      <c r="E4179" s="8"/>
      <c r="F4179" s="8"/>
    </row>
    <row r="4180" ht="13.5" customHeight="1">
      <c r="A4180" s="8" t="s">
        <v>1158</v>
      </c>
      <c r="B4180" s="8">
        <v>37313.0</v>
      </c>
      <c r="C4180" s="8"/>
      <c r="D4180" s="8"/>
      <c r="E4180" s="8"/>
      <c r="F4180" s="8"/>
    </row>
    <row r="4181" ht="13.5" customHeight="1">
      <c r="A4181" s="8" t="s">
        <v>1644</v>
      </c>
      <c r="B4181" s="8">
        <v>37348.0</v>
      </c>
      <c r="C4181" s="8"/>
      <c r="D4181" s="8"/>
      <c r="E4181" s="8"/>
      <c r="F4181" s="8"/>
    </row>
    <row r="4182" ht="13.5" customHeight="1">
      <c r="A4182" s="8" t="s">
        <v>1982</v>
      </c>
      <c r="B4182" s="8">
        <v>37510.0</v>
      </c>
      <c r="C4182" s="8"/>
      <c r="D4182" s="8"/>
      <c r="E4182" s="8"/>
      <c r="F4182" s="8"/>
    </row>
    <row r="4183" ht="13.5" customHeight="1">
      <c r="A4183" s="8" t="s">
        <v>1380</v>
      </c>
      <c r="B4183" s="8">
        <v>37762.0</v>
      </c>
      <c r="C4183" s="8"/>
      <c r="D4183" s="8"/>
      <c r="E4183" s="8"/>
      <c r="F4183" s="8"/>
    </row>
    <row r="4184" ht="13.5" customHeight="1">
      <c r="A4184" s="8" t="s">
        <v>1713</v>
      </c>
      <c r="B4184" s="8">
        <v>38628.0</v>
      </c>
      <c r="C4184" s="8"/>
      <c r="D4184" s="8"/>
      <c r="E4184" s="8"/>
      <c r="F4184" s="8"/>
    </row>
    <row r="4185" ht="13.5" customHeight="1">
      <c r="A4185" s="8" t="s">
        <v>1713</v>
      </c>
      <c r="B4185" s="8">
        <v>38848.0</v>
      </c>
      <c r="C4185" s="8"/>
      <c r="D4185" s="8"/>
      <c r="E4185" s="8"/>
      <c r="F4185" s="8"/>
    </row>
    <row r="4186" ht="13.5" customHeight="1">
      <c r="A4186" s="8" t="s">
        <v>1713</v>
      </c>
      <c r="B4186" s="8">
        <v>38950.0</v>
      </c>
      <c r="C4186" s="8"/>
      <c r="D4186" s="8"/>
      <c r="E4186" s="8"/>
      <c r="F4186" s="8"/>
    </row>
    <row r="4187" ht="13.5" customHeight="1">
      <c r="A4187" s="8" t="s">
        <v>1999</v>
      </c>
      <c r="B4187" s="8">
        <v>39521.0</v>
      </c>
      <c r="C4187" s="8"/>
      <c r="D4187" s="8"/>
      <c r="E4187" s="8"/>
      <c r="F4187" s="8"/>
    </row>
    <row r="4188" ht="13.5" customHeight="1">
      <c r="A4188" s="8" t="s">
        <v>1500</v>
      </c>
      <c r="B4188" s="8">
        <v>40289.0</v>
      </c>
      <c r="C4188" s="8"/>
      <c r="D4188" s="8"/>
      <c r="E4188" s="8"/>
      <c r="F4188" s="8"/>
    </row>
    <row r="4189" ht="13.5" customHeight="1">
      <c r="A4189" s="8" t="s">
        <v>1158</v>
      </c>
      <c r="B4189" s="8">
        <v>40775.0</v>
      </c>
      <c r="C4189" s="8"/>
      <c r="D4189" s="8"/>
      <c r="E4189" s="8"/>
      <c r="F4189" s="8"/>
    </row>
    <row r="4190" ht="13.5" customHeight="1">
      <c r="A4190" s="8" t="s">
        <v>1897</v>
      </c>
      <c r="B4190" s="8">
        <v>41094.0</v>
      </c>
      <c r="C4190" s="8"/>
      <c r="D4190" s="8"/>
      <c r="E4190" s="8"/>
      <c r="F4190" s="8"/>
    </row>
    <row r="4191" ht="13.5" customHeight="1">
      <c r="A4191" s="8" t="s">
        <v>2007</v>
      </c>
      <c r="B4191" s="8">
        <v>41351.0</v>
      </c>
      <c r="C4191" s="8"/>
      <c r="D4191" s="8"/>
      <c r="E4191" s="8"/>
      <c r="F4191" s="8"/>
    </row>
    <row r="4192" ht="13.5" customHeight="1">
      <c r="A4192" s="8" t="s">
        <v>1713</v>
      </c>
      <c r="B4192" s="8">
        <v>41605.0</v>
      </c>
      <c r="C4192" s="8"/>
      <c r="D4192" s="8"/>
      <c r="E4192" s="8"/>
      <c r="F4192" s="8"/>
    </row>
    <row r="4193" ht="13.5" customHeight="1">
      <c r="A4193" s="8" t="s">
        <v>1982</v>
      </c>
      <c r="B4193" s="8">
        <v>41667.0</v>
      </c>
      <c r="C4193" s="8"/>
      <c r="D4193" s="8"/>
      <c r="E4193" s="8"/>
      <c r="F4193" s="8"/>
    </row>
    <row r="4194" ht="13.5" customHeight="1">
      <c r="A4194" s="8" t="s">
        <v>2009</v>
      </c>
      <c r="B4194" s="8">
        <v>42982.0</v>
      </c>
      <c r="C4194" s="8"/>
      <c r="D4194" s="8"/>
      <c r="E4194" s="8"/>
      <c r="F4194" s="8"/>
    </row>
    <row r="4195" ht="13.5" customHeight="1">
      <c r="A4195" s="8" t="s">
        <v>1999</v>
      </c>
      <c r="B4195" s="8">
        <v>44167.0</v>
      </c>
      <c r="C4195" s="8"/>
      <c r="D4195" s="8"/>
      <c r="E4195" s="8"/>
      <c r="F4195" s="8"/>
    </row>
    <row r="4196" ht="13.5" customHeight="1">
      <c r="A4196" s="8" t="s">
        <v>2007</v>
      </c>
      <c r="B4196" s="8">
        <v>44997.0</v>
      </c>
      <c r="C4196" s="8"/>
      <c r="D4196" s="8"/>
      <c r="E4196" s="8"/>
      <c r="F4196" s="8"/>
    </row>
    <row r="4197" ht="13.5" customHeight="1">
      <c r="A4197" s="8" t="s">
        <v>1644</v>
      </c>
      <c r="B4197" s="8">
        <v>45408.0</v>
      </c>
      <c r="C4197" s="8"/>
      <c r="D4197" s="8"/>
      <c r="E4197" s="8"/>
      <c r="F4197" s="8"/>
    </row>
    <row r="4198" ht="13.5" customHeight="1">
      <c r="A4198" s="8" t="s">
        <v>1692</v>
      </c>
      <c r="B4198" s="8">
        <v>45924.0</v>
      </c>
      <c r="C4198" s="8"/>
      <c r="D4198" s="8"/>
      <c r="E4198" s="8"/>
      <c r="F4198" s="8"/>
    </row>
    <row r="4199" ht="13.5" customHeight="1">
      <c r="A4199" s="8" t="s">
        <v>1692</v>
      </c>
      <c r="B4199" s="8">
        <v>46565.0</v>
      </c>
      <c r="C4199" s="8"/>
      <c r="D4199" s="8"/>
      <c r="E4199" s="8"/>
      <c r="F4199" s="8"/>
    </row>
    <row r="4200" ht="13.5" customHeight="1">
      <c r="A4200" s="8" t="s">
        <v>1948</v>
      </c>
      <c r="B4200" s="8">
        <v>47173.0</v>
      </c>
      <c r="C4200" s="8"/>
      <c r="D4200" s="8"/>
      <c r="E4200" s="8"/>
      <c r="F4200" s="8"/>
    </row>
    <row r="4201" ht="13.5" customHeight="1">
      <c r="A4201" s="8" t="s">
        <v>1158</v>
      </c>
      <c r="B4201" s="8">
        <v>47271.0</v>
      </c>
      <c r="C4201" s="8"/>
      <c r="D4201" s="8"/>
      <c r="E4201" s="8"/>
      <c r="F4201" s="8"/>
    </row>
    <row r="4202" ht="13.5" customHeight="1">
      <c r="A4202" s="8" t="s">
        <v>1999</v>
      </c>
      <c r="B4202" s="8">
        <v>47815.0</v>
      </c>
      <c r="C4202" s="8"/>
      <c r="D4202" s="8"/>
      <c r="E4202" s="8"/>
      <c r="F4202" s="8"/>
    </row>
    <row r="4203" ht="13.5" customHeight="1">
      <c r="A4203" s="8" t="s">
        <v>1493</v>
      </c>
      <c r="B4203" s="8">
        <v>47909.0</v>
      </c>
      <c r="C4203" s="8"/>
      <c r="D4203" s="8"/>
      <c r="E4203" s="8"/>
      <c r="F4203" s="8"/>
    </row>
    <row r="4204" ht="13.5" customHeight="1">
      <c r="A4204" s="8" t="s">
        <v>2004</v>
      </c>
      <c r="B4204" s="8">
        <v>48609.0</v>
      </c>
      <c r="C4204" s="8"/>
      <c r="D4204" s="8"/>
      <c r="E4204" s="8"/>
      <c r="F4204" s="8"/>
    </row>
    <row r="4205" ht="13.5" customHeight="1">
      <c r="A4205" s="8" t="s">
        <v>1692</v>
      </c>
      <c r="B4205" s="8">
        <v>48643.0</v>
      </c>
      <c r="C4205" s="8"/>
      <c r="D4205" s="8"/>
      <c r="E4205" s="8"/>
      <c r="F4205" s="8"/>
    </row>
    <row r="4206" ht="13.5" customHeight="1">
      <c r="A4206" s="8" t="s">
        <v>812</v>
      </c>
      <c r="B4206" s="8">
        <v>49380.0</v>
      </c>
      <c r="C4206" s="8"/>
      <c r="D4206" s="8"/>
      <c r="E4206" s="8"/>
      <c r="F4206" s="8"/>
    </row>
    <row r="4207" ht="13.5" customHeight="1">
      <c r="A4207" s="8" t="s">
        <v>2005</v>
      </c>
      <c r="B4207" s="8">
        <v>49607.0</v>
      </c>
      <c r="C4207" s="8"/>
      <c r="D4207" s="8"/>
      <c r="E4207" s="8"/>
      <c r="F4207" s="8"/>
    </row>
    <row r="4208" ht="13.5" customHeight="1">
      <c r="A4208" s="8" t="s">
        <v>1713</v>
      </c>
      <c r="B4208" s="8">
        <v>49862.0</v>
      </c>
      <c r="C4208" s="8"/>
      <c r="D4208" s="8"/>
      <c r="E4208" s="8"/>
      <c r="F4208" s="8"/>
    </row>
    <row r="4209" ht="13.5" customHeight="1">
      <c r="A4209" s="8" t="s">
        <v>2009</v>
      </c>
      <c r="B4209" s="8">
        <v>50209.0</v>
      </c>
      <c r="C4209" s="8"/>
      <c r="D4209" s="8"/>
      <c r="E4209" s="8"/>
      <c r="F4209" s="8"/>
    </row>
    <row r="4210" ht="13.5" customHeight="1">
      <c r="A4210" s="8" t="s">
        <v>1999</v>
      </c>
      <c r="B4210" s="8">
        <v>50432.0</v>
      </c>
      <c r="C4210" s="8"/>
      <c r="D4210" s="8"/>
      <c r="E4210" s="8"/>
      <c r="F4210" s="8"/>
    </row>
    <row r="4211" ht="13.5" customHeight="1">
      <c r="A4211" s="8" t="s">
        <v>833</v>
      </c>
      <c r="B4211" s="8">
        <v>50500.0</v>
      </c>
      <c r="C4211" s="8"/>
      <c r="D4211" s="8"/>
      <c r="E4211" s="8"/>
      <c r="F4211" s="8"/>
    </row>
    <row r="4212" ht="13.5" customHeight="1">
      <c r="A4212" s="8" t="s">
        <v>1493</v>
      </c>
      <c r="B4212" s="8">
        <v>50626.0</v>
      </c>
      <c r="C4212" s="8"/>
      <c r="D4212" s="8"/>
      <c r="E4212" s="8"/>
      <c r="F4212" s="8"/>
    </row>
    <row r="4213" ht="13.5" customHeight="1">
      <c r="A4213" s="8" t="s">
        <v>1948</v>
      </c>
      <c r="B4213" s="8">
        <v>50657.0</v>
      </c>
      <c r="C4213" s="8"/>
      <c r="D4213" s="8"/>
      <c r="E4213" s="8"/>
      <c r="F4213" s="8"/>
    </row>
    <row r="4214" ht="13.5" customHeight="1">
      <c r="A4214" s="8" t="s">
        <v>2007</v>
      </c>
      <c r="B4214" s="8">
        <v>51175.0</v>
      </c>
      <c r="C4214" s="8"/>
      <c r="D4214" s="8"/>
      <c r="E4214" s="8"/>
      <c r="F4214" s="8"/>
    </row>
    <row r="4215" ht="13.5" customHeight="1">
      <c r="A4215" s="8" t="s">
        <v>1999</v>
      </c>
      <c r="B4215" s="8">
        <v>51202.0</v>
      </c>
      <c r="C4215" s="8"/>
      <c r="D4215" s="8"/>
      <c r="E4215" s="8"/>
      <c r="F4215" s="8"/>
    </row>
    <row r="4216" ht="13.5" customHeight="1">
      <c r="A4216" s="8" t="s">
        <v>1158</v>
      </c>
      <c r="B4216" s="8">
        <v>51488.0</v>
      </c>
      <c r="C4216" s="8"/>
      <c r="D4216" s="8"/>
      <c r="E4216" s="8"/>
      <c r="F4216" s="8"/>
    </row>
    <row r="4217" ht="13.5" customHeight="1">
      <c r="A4217" s="8" t="s">
        <v>1500</v>
      </c>
      <c r="B4217" s="8">
        <v>51873.0</v>
      </c>
      <c r="C4217" s="8"/>
      <c r="D4217" s="8"/>
      <c r="E4217" s="8"/>
      <c r="F4217" s="8"/>
    </row>
    <row r="4218" ht="13.5" customHeight="1">
      <c r="A4218" s="8" t="s">
        <v>1713</v>
      </c>
      <c r="B4218" s="8">
        <v>53222.0</v>
      </c>
      <c r="C4218" s="8"/>
      <c r="D4218" s="8"/>
      <c r="E4218" s="8"/>
      <c r="F4218" s="8"/>
    </row>
    <row r="4219" ht="13.5" customHeight="1">
      <c r="A4219" s="8" t="s">
        <v>1692</v>
      </c>
      <c r="B4219" s="8">
        <v>54146.0</v>
      </c>
      <c r="C4219" s="8"/>
      <c r="D4219" s="8"/>
      <c r="E4219" s="8"/>
      <c r="F4219" s="8"/>
    </row>
    <row r="4220" ht="13.5" customHeight="1">
      <c r="A4220" s="8" t="s">
        <v>1500</v>
      </c>
      <c r="B4220" s="8">
        <v>55335.0</v>
      </c>
      <c r="C4220" s="8"/>
      <c r="D4220" s="8"/>
      <c r="E4220" s="8"/>
      <c r="F4220" s="8"/>
    </row>
    <row r="4221" ht="13.5" customHeight="1">
      <c r="A4221" s="8" t="s">
        <v>1158</v>
      </c>
      <c r="B4221" s="8">
        <v>55525.0</v>
      </c>
      <c r="C4221" s="8"/>
      <c r="D4221" s="8"/>
      <c r="E4221" s="8"/>
      <c r="F4221" s="8"/>
    </row>
    <row r="4222" ht="13.5" customHeight="1">
      <c r="A4222" s="8" t="s">
        <v>2005</v>
      </c>
      <c r="B4222" s="8">
        <v>55746.0</v>
      </c>
      <c r="C4222" s="8"/>
      <c r="D4222" s="8"/>
      <c r="E4222" s="8"/>
      <c r="F4222" s="8"/>
    </row>
    <row r="4223" ht="13.5" customHeight="1">
      <c r="A4223" s="8" t="s">
        <v>1999</v>
      </c>
      <c r="B4223" s="8">
        <v>56960.0</v>
      </c>
      <c r="C4223" s="8"/>
      <c r="D4223" s="8"/>
      <c r="E4223" s="8"/>
      <c r="F4223" s="8"/>
    </row>
    <row r="4224" ht="13.5" customHeight="1">
      <c r="A4224" s="8" t="s">
        <v>1158</v>
      </c>
      <c r="B4224" s="8">
        <v>57059.0</v>
      </c>
      <c r="C4224" s="8"/>
      <c r="D4224" s="8"/>
      <c r="E4224" s="8"/>
      <c r="F4224" s="8"/>
    </row>
    <row r="4225" ht="13.5" customHeight="1">
      <c r="A4225" s="8" t="s">
        <v>1999</v>
      </c>
      <c r="B4225" s="8">
        <v>57568.0</v>
      </c>
      <c r="C4225" s="8"/>
      <c r="D4225" s="8"/>
      <c r="E4225" s="8"/>
      <c r="F4225" s="8"/>
    </row>
    <row r="4226" ht="13.5" customHeight="1">
      <c r="A4226" s="8" t="s">
        <v>1713</v>
      </c>
      <c r="B4226" s="8">
        <v>57798.0</v>
      </c>
      <c r="C4226" s="8"/>
      <c r="D4226" s="8"/>
      <c r="E4226" s="8"/>
      <c r="F4226" s="8"/>
    </row>
    <row r="4227" ht="13.5" customHeight="1">
      <c r="A4227" s="8" t="s">
        <v>1158</v>
      </c>
      <c r="B4227" s="8">
        <v>58273.0</v>
      </c>
      <c r="C4227" s="8"/>
      <c r="D4227" s="8"/>
      <c r="E4227" s="8"/>
      <c r="F4227" s="8"/>
    </row>
    <row r="4228" ht="13.5" customHeight="1">
      <c r="A4228" s="8" t="s">
        <v>1099</v>
      </c>
      <c r="B4228" s="8">
        <v>58693.0</v>
      </c>
      <c r="C4228" s="8"/>
      <c r="D4228" s="8"/>
      <c r="E4228" s="8"/>
      <c r="F4228" s="8"/>
    </row>
    <row r="4229" ht="13.5" customHeight="1">
      <c r="A4229" s="8" t="s">
        <v>2000</v>
      </c>
      <c r="B4229" s="8">
        <v>58818.0</v>
      </c>
      <c r="C4229" s="8"/>
      <c r="D4229" s="8"/>
      <c r="E4229" s="8"/>
      <c r="F4229" s="8"/>
    </row>
    <row r="4230" ht="13.5" customHeight="1">
      <c r="A4230" s="8" t="s">
        <v>1421</v>
      </c>
      <c r="B4230" s="8">
        <v>59171.0</v>
      </c>
      <c r="C4230" s="8"/>
      <c r="D4230" s="8"/>
      <c r="E4230" s="8"/>
      <c r="F4230" s="8"/>
    </row>
    <row r="4231" ht="13.5" customHeight="1">
      <c r="A4231" s="8" t="s">
        <v>2002</v>
      </c>
      <c r="B4231" s="8">
        <v>59271.0</v>
      </c>
      <c r="C4231" s="8"/>
      <c r="D4231" s="8"/>
      <c r="E4231" s="8"/>
      <c r="F4231" s="8"/>
    </row>
    <row r="4232" ht="13.5" customHeight="1">
      <c r="A4232" s="8" t="s">
        <v>2007</v>
      </c>
      <c r="B4232" s="8">
        <v>59680.0</v>
      </c>
      <c r="C4232" s="8"/>
      <c r="D4232" s="8"/>
      <c r="E4232" s="8"/>
      <c r="F4232" s="8"/>
    </row>
    <row r="4233" ht="13.5" customHeight="1">
      <c r="A4233" s="8" t="s">
        <v>1465</v>
      </c>
      <c r="B4233" s="8">
        <v>97.0</v>
      </c>
      <c r="C4233" s="8"/>
      <c r="D4233" s="8"/>
      <c r="E4233" s="8"/>
      <c r="F4233" s="8"/>
    </row>
    <row r="4234" ht="13.5" customHeight="1">
      <c r="A4234" s="8" t="s">
        <v>2013</v>
      </c>
      <c r="B4234" s="8">
        <v>323.0</v>
      </c>
      <c r="C4234" s="8"/>
      <c r="D4234" s="8"/>
      <c r="E4234" s="8"/>
      <c r="F4234" s="8"/>
    </row>
    <row r="4235" ht="13.5" customHeight="1">
      <c r="A4235" s="8" t="s">
        <v>1841</v>
      </c>
      <c r="B4235" s="8">
        <v>1095.0</v>
      </c>
      <c r="C4235" s="8"/>
      <c r="D4235" s="8"/>
      <c r="E4235" s="8"/>
      <c r="F4235" s="8"/>
    </row>
    <row r="4236" ht="13.5" customHeight="1">
      <c r="A4236" s="8" t="s">
        <v>2014</v>
      </c>
      <c r="B4236" s="8">
        <v>2562.0</v>
      </c>
      <c r="C4236" s="8"/>
      <c r="D4236" s="8"/>
      <c r="E4236" s="8"/>
      <c r="F4236" s="8"/>
    </row>
    <row r="4237" ht="13.5" customHeight="1">
      <c r="A4237" s="8" t="s">
        <v>1841</v>
      </c>
      <c r="B4237" s="8">
        <v>4099.0</v>
      </c>
      <c r="C4237" s="8"/>
      <c r="D4237" s="8"/>
      <c r="E4237" s="8"/>
      <c r="F4237" s="8"/>
    </row>
    <row r="4238" ht="13.5" customHeight="1">
      <c r="A4238" s="8" t="s">
        <v>1917</v>
      </c>
      <c r="B4238" s="8">
        <v>5509.0</v>
      </c>
      <c r="C4238" s="8"/>
      <c r="D4238" s="8"/>
      <c r="E4238" s="8"/>
      <c r="F4238" s="8"/>
    </row>
    <row r="4239" ht="13.5" customHeight="1">
      <c r="A4239" s="8" t="s">
        <v>2015</v>
      </c>
      <c r="B4239" s="8">
        <v>8132.0</v>
      </c>
      <c r="C4239" s="8"/>
      <c r="D4239" s="8"/>
      <c r="E4239" s="8"/>
      <c r="F4239" s="8"/>
    </row>
    <row r="4240" ht="13.5" customHeight="1">
      <c r="A4240" s="8" t="s">
        <v>2014</v>
      </c>
      <c r="B4240" s="8">
        <v>8868.0</v>
      </c>
      <c r="C4240" s="8"/>
      <c r="D4240" s="8"/>
      <c r="E4240" s="8"/>
      <c r="F4240" s="8"/>
    </row>
    <row r="4241" ht="13.5" customHeight="1">
      <c r="A4241" s="8" t="s">
        <v>2016</v>
      </c>
      <c r="B4241" s="8">
        <v>10213.0</v>
      </c>
      <c r="C4241" s="8"/>
      <c r="D4241" s="8"/>
      <c r="E4241" s="8"/>
      <c r="F4241" s="8"/>
    </row>
    <row r="4242" ht="13.5" customHeight="1">
      <c r="A4242" s="8" t="s">
        <v>2014</v>
      </c>
      <c r="B4242" s="8">
        <v>10884.0</v>
      </c>
      <c r="C4242" s="8"/>
      <c r="D4242" s="8"/>
      <c r="E4242" s="8"/>
      <c r="F4242" s="8"/>
    </row>
    <row r="4243" ht="13.5" customHeight="1">
      <c r="A4243" s="8" t="s">
        <v>2014</v>
      </c>
      <c r="B4243" s="8">
        <v>11843.0</v>
      </c>
      <c r="C4243" s="8"/>
      <c r="D4243" s="8"/>
      <c r="E4243" s="8"/>
      <c r="F4243" s="8"/>
    </row>
    <row r="4244" ht="13.5" customHeight="1">
      <c r="A4244" s="8" t="s">
        <v>2017</v>
      </c>
      <c r="B4244" s="8">
        <v>12099.0</v>
      </c>
      <c r="C4244" s="8"/>
      <c r="D4244" s="8"/>
      <c r="E4244" s="8"/>
      <c r="F4244" s="8"/>
    </row>
    <row r="4245" ht="13.5" customHeight="1">
      <c r="A4245" s="8" t="s">
        <v>1841</v>
      </c>
      <c r="B4245" s="8">
        <v>12418.0</v>
      </c>
      <c r="C4245" s="8"/>
      <c r="D4245" s="8"/>
      <c r="E4245" s="8"/>
      <c r="F4245" s="8"/>
    </row>
    <row r="4246" ht="13.5" customHeight="1">
      <c r="A4246" s="8" t="s">
        <v>1841</v>
      </c>
      <c r="B4246" s="8">
        <v>13923.0</v>
      </c>
      <c r="C4246" s="8"/>
      <c r="D4246" s="8"/>
      <c r="E4246" s="8"/>
      <c r="F4246" s="8"/>
    </row>
    <row r="4247" ht="13.5" customHeight="1">
      <c r="A4247" s="8" t="s">
        <v>2017</v>
      </c>
      <c r="B4247" s="8">
        <v>14439.0</v>
      </c>
      <c r="C4247" s="8"/>
      <c r="D4247" s="8"/>
      <c r="E4247" s="8"/>
      <c r="F4247" s="8"/>
    </row>
    <row r="4248" ht="13.5" customHeight="1">
      <c r="A4248" s="8" t="s">
        <v>1815</v>
      </c>
      <c r="B4248" s="8">
        <v>16643.0</v>
      </c>
      <c r="C4248" s="8"/>
      <c r="D4248" s="8"/>
      <c r="E4248" s="8"/>
      <c r="F4248" s="8"/>
    </row>
    <row r="4249" ht="13.5" customHeight="1">
      <c r="A4249" s="8" t="s">
        <v>1815</v>
      </c>
      <c r="B4249" s="8">
        <v>16807.0</v>
      </c>
      <c r="C4249" s="8"/>
      <c r="D4249" s="8"/>
      <c r="E4249" s="8"/>
      <c r="F4249" s="8"/>
    </row>
    <row r="4250" ht="13.5" customHeight="1">
      <c r="A4250" s="8" t="s">
        <v>2014</v>
      </c>
      <c r="B4250" s="8">
        <v>16864.0</v>
      </c>
      <c r="C4250" s="8"/>
      <c r="D4250" s="8"/>
      <c r="E4250" s="8"/>
      <c r="F4250" s="8"/>
    </row>
    <row r="4251" ht="13.5" customHeight="1">
      <c r="A4251" s="8" t="s">
        <v>1787</v>
      </c>
      <c r="B4251" s="8">
        <v>18147.0</v>
      </c>
      <c r="C4251" s="8"/>
      <c r="D4251" s="8"/>
      <c r="E4251" s="8"/>
      <c r="F4251" s="8"/>
    </row>
    <row r="4252" ht="13.5" customHeight="1">
      <c r="A4252" s="8" t="s">
        <v>1815</v>
      </c>
      <c r="B4252" s="8">
        <v>18918.0</v>
      </c>
      <c r="C4252" s="8"/>
      <c r="D4252" s="8"/>
      <c r="E4252" s="8"/>
      <c r="F4252" s="8"/>
    </row>
    <row r="4253" ht="13.5" customHeight="1">
      <c r="A4253" s="8" t="s">
        <v>2018</v>
      </c>
      <c r="B4253" s="8">
        <v>18919.0</v>
      </c>
      <c r="C4253" s="8"/>
      <c r="D4253" s="8"/>
      <c r="E4253" s="8"/>
      <c r="F4253" s="8"/>
    </row>
    <row r="4254" ht="13.5" customHeight="1">
      <c r="A4254" s="8" t="s">
        <v>1815</v>
      </c>
      <c r="B4254" s="8">
        <v>19104.0</v>
      </c>
      <c r="C4254" s="8"/>
      <c r="D4254" s="8"/>
      <c r="E4254" s="8"/>
      <c r="F4254" s="8"/>
    </row>
    <row r="4255" ht="13.5" customHeight="1">
      <c r="A4255" s="8" t="s">
        <v>2014</v>
      </c>
      <c r="B4255" s="8">
        <v>19207.0</v>
      </c>
      <c r="C4255" s="8"/>
      <c r="D4255" s="8"/>
      <c r="E4255" s="8"/>
      <c r="F4255" s="8"/>
    </row>
    <row r="4256" ht="13.5" customHeight="1">
      <c r="A4256" s="8" t="s">
        <v>2016</v>
      </c>
      <c r="B4256" s="8">
        <v>19840.0</v>
      </c>
      <c r="C4256" s="8"/>
      <c r="D4256" s="8"/>
      <c r="E4256" s="8"/>
      <c r="F4256" s="8"/>
    </row>
    <row r="4257" ht="13.5" customHeight="1">
      <c r="A4257" s="8" t="s">
        <v>1796</v>
      </c>
      <c r="B4257" s="8">
        <v>19943.0</v>
      </c>
      <c r="C4257" s="8"/>
      <c r="D4257" s="8"/>
      <c r="E4257" s="8"/>
      <c r="F4257" s="8"/>
    </row>
    <row r="4258" ht="13.5" customHeight="1">
      <c r="A4258" s="8" t="s">
        <v>2016</v>
      </c>
      <c r="B4258" s="8">
        <v>20002.0</v>
      </c>
      <c r="C4258" s="8"/>
      <c r="D4258" s="8"/>
      <c r="E4258" s="8"/>
      <c r="F4258" s="8"/>
    </row>
    <row r="4259" ht="13.5" customHeight="1">
      <c r="A4259" s="8" t="s">
        <v>2019</v>
      </c>
      <c r="B4259" s="8">
        <v>20066.0</v>
      </c>
      <c r="C4259" s="8"/>
      <c r="D4259" s="8"/>
      <c r="E4259" s="8"/>
      <c r="F4259" s="8"/>
    </row>
    <row r="4260" ht="13.5" customHeight="1">
      <c r="A4260" s="8" t="s">
        <v>2015</v>
      </c>
      <c r="B4260" s="8">
        <v>20615.0</v>
      </c>
      <c r="C4260" s="8"/>
      <c r="D4260" s="8"/>
      <c r="E4260" s="8"/>
      <c r="F4260" s="8"/>
    </row>
    <row r="4261" ht="13.5" customHeight="1">
      <c r="A4261" s="8" t="s">
        <v>2016</v>
      </c>
      <c r="B4261" s="8">
        <v>20864.0</v>
      </c>
      <c r="C4261" s="8"/>
      <c r="D4261" s="8"/>
      <c r="E4261" s="8"/>
      <c r="F4261" s="8"/>
    </row>
    <row r="4262" ht="13.5" customHeight="1">
      <c r="A4262" s="8" t="s">
        <v>2018</v>
      </c>
      <c r="B4262" s="8">
        <v>20868.0</v>
      </c>
      <c r="C4262" s="8"/>
      <c r="D4262" s="8"/>
      <c r="E4262" s="8"/>
      <c r="F4262" s="8"/>
    </row>
    <row r="4263" ht="13.5" customHeight="1">
      <c r="A4263" s="8" t="s">
        <v>1815</v>
      </c>
      <c r="B4263" s="8">
        <v>21541.0</v>
      </c>
      <c r="C4263" s="8"/>
      <c r="D4263" s="8"/>
      <c r="E4263" s="8"/>
      <c r="F4263" s="8"/>
    </row>
    <row r="4264" ht="13.5" customHeight="1">
      <c r="A4264" s="8" t="s">
        <v>2016</v>
      </c>
      <c r="B4264" s="8">
        <v>22661.0</v>
      </c>
      <c r="C4264" s="8"/>
      <c r="D4264" s="8"/>
      <c r="E4264" s="8"/>
      <c r="F4264" s="8"/>
    </row>
    <row r="4265" ht="13.5" customHeight="1">
      <c r="A4265" s="8" t="s">
        <v>2015</v>
      </c>
      <c r="B4265" s="8">
        <v>22689.0</v>
      </c>
      <c r="C4265" s="8"/>
      <c r="D4265" s="8"/>
      <c r="E4265" s="8"/>
      <c r="F4265" s="8"/>
    </row>
    <row r="4266" ht="13.5" customHeight="1">
      <c r="A4266" s="8" t="s">
        <v>1796</v>
      </c>
      <c r="B4266" s="8">
        <v>23361.0</v>
      </c>
      <c r="C4266" s="8"/>
      <c r="D4266" s="8"/>
      <c r="E4266" s="8"/>
      <c r="F4266" s="8"/>
    </row>
    <row r="4267" ht="13.5" customHeight="1">
      <c r="A4267" s="8" t="s">
        <v>1815</v>
      </c>
      <c r="B4267" s="8">
        <v>23396.0</v>
      </c>
      <c r="C4267" s="8"/>
      <c r="D4267" s="8"/>
      <c r="E4267" s="8"/>
      <c r="F4267" s="8"/>
    </row>
    <row r="4268" ht="13.5" customHeight="1">
      <c r="A4268" s="8" t="s">
        <v>2014</v>
      </c>
      <c r="B4268" s="8">
        <v>23427.0</v>
      </c>
      <c r="C4268" s="8"/>
      <c r="D4268" s="8"/>
      <c r="E4268" s="8"/>
      <c r="F4268" s="8"/>
    </row>
    <row r="4269" ht="13.5" customHeight="1">
      <c r="A4269" s="8" t="s">
        <v>2020</v>
      </c>
      <c r="B4269" s="8">
        <v>23751.0</v>
      </c>
      <c r="C4269" s="8"/>
      <c r="D4269" s="8"/>
      <c r="E4269" s="8"/>
      <c r="F4269" s="8"/>
    </row>
    <row r="4270" ht="13.5" customHeight="1">
      <c r="A4270" s="8" t="s">
        <v>2017</v>
      </c>
      <c r="B4270" s="8">
        <v>23943.0</v>
      </c>
      <c r="C4270" s="8"/>
      <c r="D4270" s="8"/>
      <c r="E4270" s="8"/>
      <c r="F4270" s="8"/>
    </row>
    <row r="4271" ht="13.5" customHeight="1">
      <c r="A4271" s="8" t="s">
        <v>1815</v>
      </c>
      <c r="B4271" s="8">
        <v>24608.0</v>
      </c>
      <c r="C4271" s="8"/>
      <c r="D4271" s="8"/>
      <c r="E4271" s="8"/>
      <c r="F4271" s="8"/>
    </row>
    <row r="4272" ht="13.5" customHeight="1">
      <c r="A4272" s="8" t="s">
        <v>1841</v>
      </c>
      <c r="B4272" s="8">
        <v>25507.0</v>
      </c>
      <c r="C4272" s="8"/>
      <c r="D4272" s="8"/>
      <c r="E4272" s="8"/>
      <c r="F4272" s="8"/>
    </row>
    <row r="4273" ht="13.5" customHeight="1">
      <c r="A4273" s="8" t="s">
        <v>1815</v>
      </c>
      <c r="B4273" s="8">
        <v>25509.0</v>
      </c>
      <c r="C4273" s="8"/>
      <c r="D4273" s="8"/>
      <c r="E4273" s="8"/>
      <c r="F4273" s="8"/>
    </row>
    <row r="4274" ht="13.5" customHeight="1">
      <c r="A4274" s="8" t="s">
        <v>1841</v>
      </c>
      <c r="B4274" s="8">
        <v>25952.0</v>
      </c>
      <c r="C4274" s="8"/>
      <c r="D4274" s="8"/>
      <c r="E4274" s="8"/>
      <c r="F4274" s="8"/>
    </row>
    <row r="4275" ht="13.5" customHeight="1">
      <c r="A4275" s="8" t="s">
        <v>2015</v>
      </c>
      <c r="B4275" s="8">
        <v>26336.0</v>
      </c>
      <c r="C4275" s="8"/>
      <c r="D4275" s="8"/>
      <c r="E4275" s="8"/>
      <c r="F4275" s="8"/>
    </row>
    <row r="4276" ht="13.5" customHeight="1">
      <c r="A4276" s="8" t="s">
        <v>2014</v>
      </c>
      <c r="B4276" s="8">
        <v>27558.0</v>
      </c>
      <c r="C4276" s="8"/>
      <c r="D4276" s="8"/>
      <c r="E4276" s="8"/>
      <c r="F4276" s="8"/>
    </row>
    <row r="4277" ht="13.5" customHeight="1">
      <c r="A4277" s="8" t="s">
        <v>1841</v>
      </c>
      <c r="B4277" s="8">
        <v>27969.0</v>
      </c>
      <c r="C4277" s="8"/>
      <c r="D4277" s="8"/>
      <c r="E4277" s="8"/>
      <c r="F4277" s="8"/>
    </row>
    <row r="4278" ht="13.5" customHeight="1">
      <c r="A4278" s="8" t="s">
        <v>1787</v>
      </c>
      <c r="B4278" s="8">
        <v>29637.0</v>
      </c>
      <c r="C4278" s="8"/>
      <c r="D4278" s="8"/>
      <c r="E4278" s="8"/>
      <c r="F4278" s="8"/>
    </row>
    <row r="4279" ht="13.5" customHeight="1">
      <c r="A4279" s="8" t="s">
        <v>2014</v>
      </c>
      <c r="B4279" s="8">
        <v>30469.0</v>
      </c>
      <c r="C4279" s="8"/>
      <c r="D4279" s="8"/>
      <c r="E4279" s="8"/>
      <c r="F4279" s="8"/>
    </row>
    <row r="4280" ht="13.5" customHeight="1">
      <c r="A4280" s="8" t="s">
        <v>1796</v>
      </c>
      <c r="B4280" s="8">
        <v>31460.0</v>
      </c>
      <c r="C4280" s="8"/>
      <c r="D4280" s="8"/>
      <c r="E4280" s="8"/>
      <c r="F4280" s="8"/>
    </row>
    <row r="4281" ht="13.5" customHeight="1">
      <c r="A4281" s="8" t="s">
        <v>1917</v>
      </c>
      <c r="B4281" s="8">
        <v>31939.0</v>
      </c>
      <c r="C4281" s="8"/>
      <c r="D4281" s="8"/>
      <c r="E4281" s="8"/>
      <c r="F4281" s="8"/>
    </row>
    <row r="4282" ht="13.5" customHeight="1">
      <c r="A4282" s="8" t="s">
        <v>1917</v>
      </c>
      <c r="B4282" s="8">
        <v>33826.0</v>
      </c>
      <c r="C4282" s="8"/>
      <c r="D4282" s="8"/>
      <c r="E4282" s="8"/>
      <c r="F4282" s="8"/>
    </row>
    <row r="4283" ht="13.5" customHeight="1">
      <c r="A4283" s="8" t="s">
        <v>1465</v>
      </c>
      <c r="B4283" s="8">
        <v>34151.0</v>
      </c>
      <c r="C4283" s="8"/>
      <c r="D4283" s="8"/>
      <c r="E4283" s="8"/>
      <c r="F4283" s="8"/>
    </row>
    <row r="4284" ht="13.5" customHeight="1">
      <c r="A4284" s="8" t="s">
        <v>2014</v>
      </c>
      <c r="B4284" s="8">
        <v>34659.0</v>
      </c>
      <c r="C4284" s="8"/>
      <c r="D4284" s="8"/>
      <c r="E4284" s="8"/>
      <c r="F4284" s="8"/>
    </row>
    <row r="4285" ht="13.5" customHeight="1">
      <c r="A4285" s="8" t="s">
        <v>2020</v>
      </c>
      <c r="B4285" s="8">
        <v>35200.0</v>
      </c>
      <c r="C4285" s="8"/>
      <c r="D4285" s="8"/>
      <c r="E4285" s="8"/>
      <c r="F4285" s="8"/>
    </row>
    <row r="4286" ht="13.5" customHeight="1">
      <c r="A4286" s="8" t="s">
        <v>2014</v>
      </c>
      <c r="B4286" s="8">
        <v>35456.0</v>
      </c>
      <c r="C4286" s="8"/>
      <c r="D4286" s="8"/>
      <c r="E4286" s="8"/>
      <c r="F4286" s="8"/>
    </row>
    <row r="4287" ht="13.5" customHeight="1">
      <c r="A4287" s="8" t="s">
        <v>1917</v>
      </c>
      <c r="B4287" s="8">
        <v>35840.0</v>
      </c>
      <c r="C4287" s="8"/>
      <c r="D4287" s="8"/>
      <c r="E4287" s="8"/>
      <c r="F4287" s="8"/>
    </row>
    <row r="4288" ht="13.5" customHeight="1">
      <c r="A4288" s="8" t="s">
        <v>1917</v>
      </c>
      <c r="B4288" s="8">
        <v>36069.0</v>
      </c>
      <c r="C4288" s="8"/>
      <c r="D4288" s="8"/>
      <c r="E4288" s="8"/>
      <c r="F4288" s="8"/>
    </row>
    <row r="4289" ht="13.5" customHeight="1">
      <c r="A4289" s="8" t="s">
        <v>1796</v>
      </c>
      <c r="B4289" s="8">
        <v>36640.0</v>
      </c>
      <c r="C4289" s="8"/>
      <c r="D4289" s="8"/>
      <c r="E4289" s="8"/>
      <c r="F4289" s="8"/>
    </row>
    <row r="4290" ht="13.5" customHeight="1">
      <c r="A4290" s="8" t="s">
        <v>1917</v>
      </c>
      <c r="B4290" s="8">
        <v>36931.0</v>
      </c>
      <c r="C4290" s="8"/>
      <c r="D4290" s="8"/>
      <c r="E4290" s="8"/>
      <c r="F4290" s="8"/>
    </row>
    <row r="4291" ht="13.5" customHeight="1">
      <c r="A4291" s="8" t="s">
        <v>1841</v>
      </c>
      <c r="B4291" s="8">
        <v>37543.0</v>
      </c>
      <c r="C4291" s="8"/>
      <c r="D4291" s="8"/>
      <c r="E4291" s="8"/>
      <c r="F4291" s="8"/>
    </row>
    <row r="4292" ht="13.5" customHeight="1">
      <c r="A4292" s="8" t="s">
        <v>2017</v>
      </c>
      <c r="B4292" s="8">
        <v>39111.0</v>
      </c>
      <c r="C4292" s="8"/>
      <c r="D4292" s="8"/>
      <c r="E4292" s="8"/>
      <c r="F4292" s="8"/>
    </row>
    <row r="4293" ht="13.5" customHeight="1">
      <c r="A4293" s="8" t="s">
        <v>1841</v>
      </c>
      <c r="B4293" s="8">
        <v>39139.0</v>
      </c>
      <c r="C4293" s="8"/>
      <c r="D4293" s="8"/>
      <c r="E4293" s="8"/>
      <c r="F4293" s="8"/>
    </row>
    <row r="4294" ht="13.5" customHeight="1">
      <c r="A4294" s="8" t="s">
        <v>1917</v>
      </c>
      <c r="B4294" s="8">
        <v>39490.0</v>
      </c>
      <c r="C4294" s="8"/>
      <c r="D4294" s="8"/>
      <c r="E4294" s="8"/>
      <c r="F4294" s="8"/>
    </row>
    <row r="4295" ht="13.5" customHeight="1">
      <c r="A4295" s="8" t="s">
        <v>2014</v>
      </c>
      <c r="B4295" s="8">
        <v>39938.0</v>
      </c>
      <c r="C4295" s="8"/>
      <c r="D4295" s="8"/>
      <c r="E4295" s="8"/>
      <c r="F4295" s="8"/>
    </row>
    <row r="4296" ht="13.5" customHeight="1">
      <c r="A4296" s="8" t="s">
        <v>2016</v>
      </c>
      <c r="B4296" s="8">
        <v>40098.0</v>
      </c>
      <c r="C4296" s="8"/>
      <c r="D4296" s="8"/>
      <c r="E4296" s="8"/>
      <c r="F4296" s="8"/>
    </row>
    <row r="4297" ht="13.5" customHeight="1">
      <c r="A4297" s="8" t="s">
        <v>2013</v>
      </c>
      <c r="B4297" s="8">
        <v>41056.0</v>
      </c>
      <c r="C4297" s="8"/>
      <c r="D4297" s="8"/>
      <c r="E4297" s="8"/>
      <c r="F4297" s="8"/>
    </row>
    <row r="4298" ht="13.5" customHeight="1">
      <c r="A4298" s="8" t="s">
        <v>1841</v>
      </c>
      <c r="B4298" s="8">
        <v>42115.0</v>
      </c>
      <c r="C4298" s="8"/>
      <c r="D4298" s="8"/>
      <c r="E4298" s="8"/>
      <c r="F4298" s="8"/>
    </row>
    <row r="4299" ht="13.5" customHeight="1">
      <c r="A4299" s="8" t="s">
        <v>1841</v>
      </c>
      <c r="B4299" s="8">
        <v>43459.0</v>
      </c>
      <c r="C4299" s="8"/>
      <c r="D4299" s="8"/>
      <c r="E4299" s="8"/>
      <c r="F4299" s="8"/>
    </row>
    <row r="4300" ht="13.5" customHeight="1">
      <c r="A4300" s="8" t="s">
        <v>1917</v>
      </c>
      <c r="B4300" s="8">
        <v>45476.0</v>
      </c>
      <c r="C4300" s="8"/>
      <c r="D4300" s="8"/>
      <c r="E4300" s="8"/>
      <c r="F4300" s="8"/>
    </row>
    <row r="4301" ht="13.5" customHeight="1">
      <c r="A4301" s="8" t="s">
        <v>2013</v>
      </c>
      <c r="B4301" s="8">
        <v>45958.0</v>
      </c>
      <c r="C4301" s="8"/>
      <c r="D4301" s="8"/>
      <c r="E4301" s="8"/>
      <c r="F4301" s="8"/>
    </row>
    <row r="4302" ht="13.5" customHeight="1">
      <c r="A4302" s="8" t="s">
        <v>2013</v>
      </c>
      <c r="B4302" s="8">
        <v>47591.0</v>
      </c>
      <c r="C4302" s="8"/>
      <c r="D4302" s="8"/>
      <c r="E4302" s="8"/>
      <c r="F4302" s="8"/>
    </row>
    <row r="4303" ht="13.5" customHeight="1">
      <c r="A4303" s="8" t="s">
        <v>2015</v>
      </c>
      <c r="B4303" s="8">
        <v>49764.0</v>
      </c>
      <c r="C4303" s="8"/>
      <c r="D4303" s="8"/>
      <c r="E4303" s="8"/>
      <c r="F4303" s="8"/>
    </row>
    <row r="4304" ht="13.5" customHeight="1">
      <c r="A4304" s="8" t="s">
        <v>2016</v>
      </c>
      <c r="B4304" s="8">
        <v>50118.0</v>
      </c>
      <c r="C4304" s="8"/>
      <c r="D4304" s="8"/>
      <c r="E4304" s="8"/>
      <c r="F4304" s="8"/>
    </row>
    <row r="4305" ht="13.5" customHeight="1">
      <c r="A4305" s="8" t="s">
        <v>2013</v>
      </c>
      <c r="B4305" s="8">
        <v>50183.0</v>
      </c>
      <c r="C4305" s="8"/>
      <c r="D4305" s="8"/>
      <c r="E4305" s="8"/>
      <c r="F4305" s="8"/>
    </row>
    <row r="4306" ht="13.5" customHeight="1">
      <c r="A4306" s="8" t="s">
        <v>2017</v>
      </c>
      <c r="B4306" s="8">
        <v>50786.0</v>
      </c>
      <c r="C4306" s="8"/>
      <c r="D4306" s="8"/>
      <c r="E4306" s="8"/>
      <c r="F4306" s="8"/>
    </row>
    <row r="4307" ht="13.5" customHeight="1">
      <c r="A4307" s="8" t="s">
        <v>2017</v>
      </c>
      <c r="B4307" s="8">
        <v>50978.0</v>
      </c>
      <c r="C4307" s="8"/>
      <c r="D4307" s="8"/>
      <c r="E4307" s="8"/>
      <c r="F4307" s="8"/>
    </row>
    <row r="4308" ht="13.5" customHeight="1">
      <c r="A4308" s="8" t="s">
        <v>1787</v>
      </c>
      <c r="B4308" s="8">
        <v>50983.0</v>
      </c>
      <c r="C4308" s="8"/>
      <c r="D4308" s="8"/>
      <c r="E4308" s="8"/>
      <c r="F4308" s="8"/>
    </row>
    <row r="4309" ht="13.5" customHeight="1">
      <c r="A4309" s="8" t="s">
        <v>2017</v>
      </c>
      <c r="B4309" s="8">
        <v>52002.0</v>
      </c>
      <c r="C4309" s="8"/>
      <c r="D4309" s="8"/>
      <c r="E4309" s="8"/>
      <c r="F4309" s="8"/>
    </row>
    <row r="4310" ht="13.5" customHeight="1">
      <c r="A4310" s="8" t="s">
        <v>2023</v>
      </c>
      <c r="B4310" s="8">
        <v>52227.0</v>
      </c>
      <c r="C4310" s="8"/>
      <c r="D4310" s="8"/>
      <c r="E4310" s="8"/>
      <c r="F4310" s="8"/>
    </row>
    <row r="4311" ht="13.5" customHeight="1">
      <c r="A4311" s="8" t="s">
        <v>1787</v>
      </c>
      <c r="B4311" s="8">
        <v>52261.0</v>
      </c>
      <c r="C4311" s="8"/>
      <c r="D4311" s="8"/>
      <c r="E4311" s="8"/>
      <c r="F4311" s="8"/>
    </row>
    <row r="4312" ht="13.5" customHeight="1">
      <c r="A4312" s="8" t="s">
        <v>1917</v>
      </c>
      <c r="B4312" s="8">
        <v>52743.0</v>
      </c>
      <c r="C4312" s="8"/>
      <c r="D4312" s="8"/>
      <c r="E4312" s="8"/>
      <c r="F4312" s="8"/>
    </row>
    <row r="4313" ht="13.5" customHeight="1">
      <c r="A4313" s="8" t="s">
        <v>2014</v>
      </c>
      <c r="B4313" s="8">
        <v>53120.0</v>
      </c>
      <c r="C4313" s="8"/>
      <c r="D4313" s="8"/>
      <c r="E4313" s="8"/>
      <c r="F4313" s="8"/>
    </row>
    <row r="4314" ht="13.5" customHeight="1">
      <c r="A4314" s="8" t="s">
        <v>2019</v>
      </c>
      <c r="B4314" s="8">
        <v>53920.0</v>
      </c>
      <c r="C4314" s="8"/>
      <c r="D4314" s="8"/>
      <c r="E4314" s="8"/>
      <c r="F4314" s="8"/>
    </row>
    <row r="4315" ht="13.5" customHeight="1">
      <c r="A4315" s="8" t="s">
        <v>2018</v>
      </c>
      <c r="B4315" s="8">
        <v>54630.0</v>
      </c>
      <c r="C4315" s="8"/>
      <c r="D4315" s="8"/>
      <c r="E4315" s="8"/>
      <c r="F4315" s="8"/>
    </row>
    <row r="4316" ht="13.5" customHeight="1">
      <c r="A4316" s="8" t="s">
        <v>1815</v>
      </c>
      <c r="B4316" s="8">
        <v>55299.0</v>
      </c>
      <c r="C4316" s="8"/>
      <c r="D4316" s="8"/>
      <c r="E4316" s="8"/>
      <c r="F4316" s="8"/>
    </row>
    <row r="4317" ht="13.5" customHeight="1">
      <c r="A4317" s="8" t="s">
        <v>2013</v>
      </c>
      <c r="B4317" s="8">
        <v>55520.0</v>
      </c>
      <c r="C4317" s="8"/>
      <c r="D4317" s="8"/>
      <c r="E4317" s="8"/>
      <c r="F4317" s="8"/>
    </row>
    <row r="4318" ht="13.5" customHeight="1">
      <c r="A4318" s="8" t="s">
        <v>2015</v>
      </c>
      <c r="B4318" s="8">
        <v>55653.0</v>
      </c>
      <c r="C4318" s="8"/>
      <c r="D4318" s="8"/>
      <c r="E4318" s="8"/>
      <c r="F4318" s="8"/>
    </row>
    <row r="4319" ht="13.5" customHeight="1">
      <c r="A4319" s="8" t="s">
        <v>1815</v>
      </c>
      <c r="B4319" s="8">
        <v>56577.0</v>
      </c>
      <c r="C4319" s="8"/>
      <c r="D4319" s="8"/>
      <c r="E4319" s="8"/>
      <c r="F4319" s="8"/>
    </row>
    <row r="4320" ht="13.5" customHeight="1">
      <c r="A4320" s="8" t="s">
        <v>2023</v>
      </c>
      <c r="B4320" s="8">
        <v>56711.0</v>
      </c>
      <c r="C4320" s="8"/>
      <c r="D4320" s="8"/>
      <c r="E4320" s="8"/>
      <c r="F4320" s="8"/>
    </row>
    <row r="4321" ht="13.5" customHeight="1">
      <c r="A4321" s="8" t="s">
        <v>2017</v>
      </c>
      <c r="B4321" s="8">
        <v>56769.0</v>
      </c>
      <c r="C4321" s="8"/>
      <c r="D4321" s="8"/>
      <c r="E4321" s="8"/>
      <c r="F4321" s="8"/>
    </row>
    <row r="4322" ht="13.5" customHeight="1">
      <c r="A4322" s="8" t="s">
        <v>2018</v>
      </c>
      <c r="B4322" s="8">
        <v>57440.0</v>
      </c>
      <c r="C4322" s="8"/>
      <c r="D4322" s="8"/>
      <c r="E4322" s="8"/>
      <c r="F4322" s="8"/>
    </row>
    <row r="4323" ht="13.5" customHeight="1">
      <c r="A4323" s="8" t="s">
        <v>2023</v>
      </c>
      <c r="B4323" s="8">
        <v>57889.0</v>
      </c>
      <c r="C4323" s="8"/>
      <c r="D4323" s="8"/>
      <c r="E4323" s="8"/>
      <c r="F4323" s="8"/>
    </row>
    <row r="4324" ht="13.5" customHeight="1">
      <c r="A4324" s="8" t="s">
        <v>2015</v>
      </c>
      <c r="B4324" s="8">
        <v>58564.0</v>
      </c>
      <c r="C4324" s="8"/>
      <c r="D4324" s="8"/>
      <c r="E4324" s="8"/>
      <c r="F4324" s="8"/>
    </row>
    <row r="4325" ht="13.5" customHeight="1">
      <c r="A4325" s="8" t="s">
        <v>2016</v>
      </c>
      <c r="B4325" s="8">
        <v>59072.0</v>
      </c>
      <c r="C4325" s="8"/>
      <c r="D4325" s="8"/>
      <c r="E4325" s="8"/>
      <c r="F4325" s="8"/>
    </row>
    <row r="4326" ht="13.5" customHeight="1">
      <c r="A4326" s="8" t="s">
        <v>2019</v>
      </c>
      <c r="B4326" s="8">
        <v>59652.0</v>
      </c>
      <c r="C4326" s="8"/>
      <c r="D4326" s="8"/>
      <c r="E4326" s="8"/>
      <c r="F4326" s="8"/>
    </row>
    <row r="4327" ht="13.5" customHeight="1">
      <c r="A4327" s="8" t="s">
        <v>2014</v>
      </c>
      <c r="B4327" s="8">
        <v>59783.0</v>
      </c>
      <c r="C4327" s="8"/>
      <c r="D4327" s="8"/>
      <c r="E4327" s="8"/>
      <c r="F4327" s="8"/>
    </row>
    <row r="4328" ht="13.5" customHeight="1">
      <c r="A4328" s="8" t="s">
        <v>1491</v>
      </c>
      <c r="B4328" s="8">
        <v>195.0</v>
      </c>
      <c r="C4328" s="8"/>
      <c r="D4328" s="8"/>
      <c r="E4328" s="8"/>
      <c r="F4328" s="8"/>
    </row>
    <row r="4329" ht="13.5" customHeight="1">
      <c r="A4329" s="8" t="s">
        <v>1653</v>
      </c>
      <c r="B4329" s="8">
        <v>224.0</v>
      </c>
      <c r="C4329" s="8"/>
      <c r="D4329" s="8"/>
      <c r="E4329" s="8"/>
      <c r="F4329" s="8"/>
    </row>
    <row r="4330" ht="13.5" customHeight="1">
      <c r="A4330" s="8" t="s">
        <v>1520</v>
      </c>
      <c r="B4330" s="8">
        <v>263.0</v>
      </c>
      <c r="C4330" s="8"/>
      <c r="D4330" s="8"/>
      <c r="E4330" s="8"/>
      <c r="F4330" s="8"/>
    </row>
    <row r="4331" ht="13.5" customHeight="1">
      <c r="A4331" s="8" t="s">
        <v>1493</v>
      </c>
      <c r="B4331" s="8">
        <v>353.0</v>
      </c>
      <c r="C4331" s="8"/>
      <c r="D4331" s="8"/>
      <c r="E4331" s="8"/>
      <c r="F4331" s="8"/>
    </row>
    <row r="4332" ht="13.5" customHeight="1">
      <c r="A4332" s="8" t="s">
        <v>1555</v>
      </c>
      <c r="B4332" s="8">
        <v>417.0</v>
      </c>
      <c r="C4332" s="8"/>
      <c r="D4332" s="8"/>
      <c r="E4332" s="8"/>
      <c r="F4332" s="8"/>
    </row>
    <row r="4333" ht="13.5" customHeight="1">
      <c r="A4333" s="8" t="s">
        <v>1491</v>
      </c>
      <c r="B4333" s="8">
        <v>448.0</v>
      </c>
      <c r="C4333" s="8"/>
      <c r="D4333" s="8"/>
      <c r="E4333" s="8"/>
      <c r="F4333" s="8"/>
    </row>
    <row r="4334" ht="13.5" customHeight="1">
      <c r="A4334" s="8" t="s">
        <v>1590</v>
      </c>
      <c r="B4334" s="8">
        <v>871.0</v>
      </c>
      <c r="C4334" s="8"/>
      <c r="D4334" s="8"/>
      <c r="E4334" s="8"/>
      <c r="F4334" s="8"/>
    </row>
    <row r="4335" ht="13.5" customHeight="1">
      <c r="A4335" s="8" t="s">
        <v>1592</v>
      </c>
      <c r="B4335" s="8">
        <v>929.0</v>
      </c>
      <c r="C4335" s="8"/>
      <c r="D4335" s="8"/>
      <c r="E4335" s="8"/>
      <c r="F4335" s="8"/>
    </row>
    <row r="4336" ht="13.5" customHeight="1">
      <c r="A4336" s="8" t="s">
        <v>1498</v>
      </c>
      <c r="B4336" s="8">
        <v>967.0</v>
      </c>
      <c r="C4336" s="8"/>
      <c r="D4336" s="8"/>
      <c r="E4336" s="8"/>
      <c r="F4336" s="8"/>
    </row>
    <row r="4337" ht="13.5" customHeight="1">
      <c r="A4337" s="8" t="s">
        <v>1545</v>
      </c>
      <c r="B4337" s="8">
        <v>1575.0</v>
      </c>
      <c r="C4337" s="8"/>
      <c r="D4337" s="8"/>
      <c r="E4337" s="8"/>
      <c r="F4337" s="8"/>
    </row>
    <row r="4338" ht="13.5" customHeight="1">
      <c r="A4338" s="8" t="s">
        <v>1948</v>
      </c>
      <c r="B4338" s="8">
        <v>1637.0</v>
      </c>
      <c r="C4338" s="8"/>
      <c r="D4338" s="8"/>
      <c r="E4338" s="8"/>
      <c r="F4338" s="8"/>
    </row>
    <row r="4339" ht="13.5" customHeight="1">
      <c r="A4339" s="8" t="s">
        <v>1805</v>
      </c>
      <c r="B4339" s="8">
        <v>1888.0</v>
      </c>
      <c r="C4339" s="8"/>
      <c r="D4339" s="8"/>
      <c r="E4339" s="8"/>
      <c r="F4339" s="8"/>
    </row>
    <row r="4340" ht="13.5" customHeight="1">
      <c r="A4340" s="8" t="s">
        <v>2026</v>
      </c>
      <c r="B4340" s="8">
        <v>2052.0</v>
      </c>
      <c r="C4340" s="8"/>
      <c r="D4340" s="8"/>
      <c r="E4340" s="8"/>
      <c r="F4340" s="8"/>
    </row>
    <row r="4341" ht="13.5" customHeight="1">
      <c r="A4341" s="8" t="s">
        <v>1472</v>
      </c>
      <c r="B4341" s="8">
        <v>2055.0</v>
      </c>
      <c r="C4341" s="8"/>
      <c r="D4341" s="8"/>
      <c r="E4341" s="8"/>
      <c r="F4341" s="8"/>
    </row>
    <row r="4342" ht="13.5" customHeight="1">
      <c r="A4342" s="8" t="s">
        <v>1462</v>
      </c>
      <c r="B4342" s="8">
        <v>2309.0</v>
      </c>
      <c r="C4342" s="8"/>
      <c r="D4342" s="8"/>
      <c r="E4342" s="8"/>
      <c r="F4342" s="8"/>
    </row>
    <row r="4343" ht="13.5" customHeight="1">
      <c r="A4343" s="8" t="s">
        <v>1506</v>
      </c>
      <c r="B4343" s="8">
        <v>2341.0</v>
      </c>
      <c r="C4343" s="8"/>
      <c r="D4343" s="8"/>
      <c r="E4343" s="8"/>
      <c r="F4343" s="8"/>
    </row>
    <row r="4344" ht="13.5" customHeight="1">
      <c r="A4344" s="8" t="s">
        <v>2027</v>
      </c>
      <c r="B4344" s="8">
        <v>2436.0</v>
      </c>
      <c r="C4344" s="8"/>
      <c r="D4344" s="8"/>
      <c r="E4344" s="8"/>
      <c r="F4344" s="8"/>
    </row>
    <row r="4345" ht="13.5" customHeight="1">
      <c r="A4345" s="8" t="s">
        <v>1560</v>
      </c>
      <c r="B4345" s="8">
        <v>2500.0</v>
      </c>
      <c r="C4345" s="8"/>
      <c r="D4345" s="8"/>
      <c r="E4345" s="8"/>
      <c r="F4345" s="8"/>
    </row>
    <row r="4346" ht="13.5" customHeight="1">
      <c r="A4346" s="8" t="s">
        <v>2028</v>
      </c>
      <c r="B4346" s="8">
        <v>2535.0</v>
      </c>
      <c r="C4346" s="8"/>
      <c r="D4346" s="8"/>
      <c r="E4346" s="8"/>
      <c r="F4346" s="8"/>
    </row>
    <row r="4347" ht="13.5" customHeight="1">
      <c r="A4347" s="8" t="s">
        <v>1581</v>
      </c>
      <c r="B4347" s="8">
        <v>2658.0</v>
      </c>
      <c r="C4347" s="8"/>
      <c r="D4347" s="8"/>
      <c r="E4347" s="8"/>
      <c r="F4347" s="8"/>
    </row>
    <row r="4348" ht="13.5" customHeight="1">
      <c r="A4348" s="8" t="s">
        <v>1545</v>
      </c>
      <c r="B4348" s="8">
        <v>2725.0</v>
      </c>
      <c r="C4348" s="8"/>
      <c r="D4348" s="8"/>
      <c r="E4348" s="8"/>
      <c r="F4348" s="8"/>
    </row>
    <row r="4349" ht="13.5" customHeight="1">
      <c r="A4349" s="8" t="s">
        <v>2029</v>
      </c>
      <c r="B4349" s="8">
        <v>2756.0</v>
      </c>
      <c r="C4349" s="8"/>
      <c r="D4349" s="8"/>
      <c r="E4349" s="8"/>
      <c r="F4349" s="8"/>
    </row>
    <row r="4350" ht="13.5" customHeight="1">
      <c r="A4350" s="8" t="s">
        <v>1571</v>
      </c>
      <c r="B4350" s="8">
        <v>2853.0</v>
      </c>
      <c r="C4350" s="8"/>
      <c r="D4350" s="8"/>
      <c r="E4350" s="8"/>
      <c r="F4350" s="8"/>
    </row>
    <row r="4351" ht="13.5" customHeight="1">
      <c r="A4351" s="8" t="s">
        <v>1498</v>
      </c>
      <c r="B4351" s="8">
        <v>2914.0</v>
      </c>
      <c r="C4351" s="8"/>
      <c r="D4351" s="8"/>
      <c r="E4351" s="8"/>
      <c r="F4351" s="8"/>
    </row>
    <row r="4352" ht="13.5" customHeight="1">
      <c r="A4352" s="8" t="s">
        <v>2031</v>
      </c>
      <c r="B4352" s="8">
        <v>3008.0</v>
      </c>
      <c r="C4352" s="8"/>
      <c r="D4352" s="8"/>
      <c r="E4352" s="8"/>
      <c r="F4352" s="8"/>
    </row>
    <row r="4353" ht="13.5" customHeight="1">
      <c r="A4353" s="8" t="s">
        <v>1488</v>
      </c>
      <c r="B4353" s="8">
        <v>3042.0</v>
      </c>
      <c r="C4353" s="8"/>
      <c r="D4353" s="8"/>
      <c r="E4353" s="8"/>
      <c r="F4353" s="8"/>
    </row>
    <row r="4354" ht="13.5" customHeight="1">
      <c r="A4354" s="8" t="s">
        <v>1546</v>
      </c>
      <c r="B4354" s="8">
        <v>3175.0</v>
      </c>
      <c r="C4354" s="8"/>
      <c r="D4354" s="8"/>
      <c r="E4354" s="8"/>
      <c r="F4354" s="8"/>
    </row>
    <row r="4355" ht="13.5" customHeight="1">
      <c r="A4355" s="8" t="s">
        <v>2032</v>
      </c>
      <c r="B4355" s="8">
        <v>3300.0</v>
      </c>
      <c r="C4355" s="8"/>
      <c r="D4355" s="8"/>
      <c r="E4355" s="8"/>
      <c r="F4355" s="8"/>
    </row>
    <row r="4356" ht="13.5" customHeight="1">
      <c r="A4356" s="8" t="s">
        <v>2027</v>
      </c>
      <c r="B4356" s="8">
        <v>3328.0</v>
      </c>
      <c r="C4356" s="8"/>
      <c r="D4356" s="8"/>
      <c r="E4356" s="8"/>
      <c r="F4356" s="8"/>
    </row>
    <row r="4357" ht="13.5" customHeight="1">
      <c r="A4357" s="8" t="s">
        <v>2032</v>
      </c>
      <c r="B4357" s="8">
        <v>3525.0</v>
      </c>
      <c r="C4357" s="8"/>
      <c r="D4357" s="8"/>
      <c r="E4357" s="8"/>
      <c r="F4357" s="8"/>
    </row>
    <row r="4358" ht="13.5" customHeight="1">
      <c r="A4358" s="8" t="s">
        <v>1489</v>
      </c>
      <c r="B4358" s="8">
        <v>3526.0</v>
      </c>
      <c r="C4358" s="8"/>
      <c r="D4358" s="8"/>
      <c r="E4358" s="8"/>
      <c r="F4358" s="8"/>
    </row>
    <row r="4359" ht="13.5" customHeight="1">
      <c r="A4359" s="8" t="s">
        <v>1462</v>
      </c>
      <c r="B4359" s="8">
        <v>3621.0</v>
      </c>
      <c r="C4359" s="8"/>
      <c r="D4359" s="8"/>
      <c r="E4359" s="8"/>
      <c r="F4359" s="8"/>
    </row>
    <row r="4360" ht="13.5" customHeight="1">
      <c r="A4360" s="8" t="s">
        <v>1491</v>
      </c>
      <c r="B4360" s="8">
        <v>3649.0</v>
      </c>
      <c r="C4360" s="8"/>
      <c r="D4360" s="8"/>
      <c r="E4360" s="8"/>
      <c r="F4360" s="8"/>
    </row>
    <row r="4361" ht="13.5" customHeight="1">
      <c r="A4361" s="8" t="s">
        <v>2033</v>
      </c>
      <c r="B4361" s="8">
        <v>3814.0</v>
      </c>
      <c r="C4361" s="8"/>
      <c r="D4361" s="8"/>
      <c r="E4361" s="8"/>
      <c r="F4361" s="8"/>
    </row>
    <row r="4362" ht="13.5" customHeight="1">
      <c r="A4362" s="8" t="s">
        <v>1560</v>
      </c>
      <c r="B4362" s="8">
        <v>3911.0</v>
      </c>
      <c r="C4362" s="8"/>
      <c r="D4362" s="8"/>
      <c r="E4362" s="8"/>
      <c r="F4362" s="8"/>
    </row>
    <row r="4363" ht="13.5" customHeight="1">
      <c r="A4363" s="8" t="s">
        <v>1543</v>
      </c>
      <c r="B4363" s="8">
        <v>4134.0</v>
      </c>
      <c r="C4363" s="8"/>
      <c r="D4363" s="8"/>
      <c r="E4363" s="8"/>
      <c r="F4363" s="8"/>
    </row>
    <row r="4364" ht="13.5" customHeight="1">
      <c r="A4364" s="8" t="s">
        <v>2034</v>
      </c>
      <c r="B4364" s="8">
        <v>4230.0</v>
      </c>
      <c r="C4364" s="8"/>
      <c r="D4364" s="8"/>
      <c r="E4364" s="8"/>
      <c r="F4364" s="8"/>
    </row>
    <row r="4365" ht="13.5" customHeight="1">
      <c r="A4365" s="8" t="s">
        <v>1475</v>
      </c>
      <c r="B4365" s="8">
        <v>4324.0</v>
      </c>
      <c r="C4365" s="8"/>
      <c r="D4365" s="8"/>
      <c r="E4365" s="8"/>
      <c r="F4365" s="8"/>
    </row>
    <row r="4366" ht="13.5" customHeight="1">
      <c r="A4366" s="8" t="s">
        <v>1452</v>
      </c>
      <c r="B4366" s="8">
        <v>4581.0</v>
      </c>
      <c r="C4366" s="8"/>
      <c r="D4366" s="8"/>
      <c r="E4366" s="8"/>
      <c r="F4366" s="8"/>
    </row>
    <row r="4367" ht="13.5" customHeight="1">
      <c r="A4367" s="8" t="s">
        <v>1546</v>
      </c>
      <c r="B4367" s="8">
        <v>4706.0</v>
      </c>
      <c r="C4367" s="8"/>
      <c r="D4367" s="8"/>
      <c r="E4367" s="8"/>
      <c r="F4367" s="8"/>
    </row>
    <row r="4368" ht="13.5" customHeight="1">
      <c r="A4368" s="8" t="s">
        <v>1590</v>
      </c>
      <c r="B4368" s="8">
        <v>4738.0</v>
      </c>
      <c r="C4368" s="8"/>
      <c r="D4368" s="8"/>
      <c r="E4368" s="8"/>
      <c r="F4368" s="8"/>
    </row>
    <row r="4369" ht="13.5" customHeight="1">
      <c r="A4369" s="8" t="s">
        <v>1488</v>
      </c>
      <c r="B4369" s="8">
        <v>4771.0</v>
      </c>
      <c r="C4369" s="8"/>
      <c r="D4369" s="8"/>
      <c r="E4369" s="8"/>
      <c r="F4369" s="8"/>
    </row>
    <row r="4370" ht="13.5" customHeight="1">
      <c r="A4370" s="8" t="s">
        <v>1805</v>
      </c>
      <c r="B4370" s="8">
        <v>4804.0</v>
      </c>
      <c r="C4370" s="8"/>
      <c r="D4370" s="8"/>
      <c r="E4370" s="8"/>
      <c r="F4370" s="8"/>
    </row>
    <row r="4371" ht="13.5" customHeight="1">
      <c r="A4371" s="8" t="s">
        <v>1592</v>
      </c>
      <c r="B4371" s="8">
        <v>4870.0</v>
      </c>
      <c r="C4371" s="8"/>
      <c r="D4371" s="8"/>
      <c r="E4371" s="8"/>
      <c r="F4371" s="8"/>
    </row>
    <row r="4372" ht="13.5" customHeight="1">
      <c r="A4372" s="8" t="s">
        <v>1482</v>
      </c>
      <c r="B4372" s="8">
        <v>4931.0</v>
      </c>
      <c r="C4372" s="8"/>
      <c r="D4372" s="8"/>
      <c r="E4372" s="8"/>
      <c r="F4372" s="8"/>
    </row>
    <row r="4373" ht="13.5" customHeight="1">
      <c r="A4373" s="8" t="s">
        <v>1547</v>
      </c>
      <c r="B4373" s="8">
        <v>5094.0</v>
      </c>
      <c r="C4373" s="8"/>
      <c r="D4373" s="8"/>
      <c r="E4373" s="8"/>
      <c r="F4373" s="8"/>
    </row>
    <row r="4374" ht="13.5" customHeight="1">
      <c r="A4374" s="8" t="s">
        <v>1546</v>
      </c>
      <c r="B4374" s="8">
        <v>5188.0</v>
      </c>
      <c r="C4374" s="8"/>
      <c r="D4374" s="8"/>
      <c r="E4374" s="8"/>
      <c r="F4374" s="8"/>
    </row>
    <row r="4375" ht="13.5" customHeight="1">
      <c r="A4375" s="8" t="s">
        <v>1560</v>
      </c>
      <c r="B4375" s="8">
        <v>5408.0</v>
      </c>
      <c r="C4375" s="8"/>
      <c r="D4375" s="8"/>
      <c r="E4375" s="8"/>
      <c r="F4375" s="8"/>
    </row>
    <row r="4376" ht="13.5" customHeight="1">
      <c r="A4376" s="8" t="s">
        <v>1459</v>
      </c>
      <c r="B4376" s="8">
        <v>5472.0</v>
      </c>
      <c r="C4376" s="8"/>
      <c r="D4376" s="8"/>
      <c r="E4376" s="8"/>
      <c r="F4376" s="8"/>
    </row>
    <row r="4377" ht="13.5" customHeight="1">
      <c r="A4377" s="8" t="s">
        <v>1635</v>
      </c>
      <c r="B4377" s="8">
        <v>5702.0</v>
      </c>
      <c r="C4377" s="8"/>
      <c r="D4377" s="8"/>
      <c r="E4377" s="8"/>
      <c r="F4377" s="8"/>
    </row>
    <row r="4378" ht="13.5" customHeight="1">
      <c r="A4378" s="8" t="s">
        <v>1482</v>
      </c>
      <c r="B4378" s="8">
        <v>5958.0</v>
      </c>
      <c r="C4378" s="8"/>
      <c r="D4378" s="8"/>
      <c r="E4378" s="8"/>
      <c r="F4378" s="8"/>
    </row>
    <row r="4379" ht="13.5" customHeight="1">
      <c r="A4379" s="8" t="s">
        <v>1462</v>
      </c>
      <c r="B4379" s="8">
        <v>5984.0</v>
      </c>
      <c r="C4379" s="8"/>
      <c r="D4379" s="8"/>
      <c r="E4379" s="8"/>
      <c r="F4379" s="8"/>
    </row>
    <row r="4380" ht="13.5" customHeight="1">
      <c r="A4380" s="8" t="s">
        <v>1639</v>
      </c>
      <c r="B4380" s="8">
        <v>5989.0</v>
      </c>
      <c r="C4380" s="8"/>
      <c r="D4380" s="8"/>
      <c r="E4380" s="8"/>
      <c r="F4380" s="8"/>
    </row>
    <row r="4381" ht="13.5" customHeight="1">
      <c r="A4381" s="8" t="s">
        <v>1508</v>
      </c>
      <c r="B4381" s="8">
        <v>5990.0</v>
      </c>
      <c r="C4381" s="8"/>
      <c r="D4381" s="8"/>
      <c r="E4381" s="8"/>
      <c r="F4381" s="8"/>
    </row>
    <row r="4382" ht="13.5" customHeight="1">
      <c r="A4382" s="8" t="s">
        <v>1948</v>
      </c>
      <c r="B4382" s="8">
        <v>6054.0</v>
      </c>
      <c r="C4382" s="8"/>
      <c r="D4382" s="8"/>
      <c r="E4382" s="8"/>
      <c r="F4382" s="8"/>
    </row>
    <row r="4383" ht="13.5" customHeight="1">
      <c r="A4383" s="8" t="s">
        <v>1889</v>
      </c>
      <c r="B4383" s="8">
        <v>6531.0</v>
      </c>
      <c r="C4383" s="8"/>
      <c r="D4383" s="8"/>
      <c r="E4383" s="8"/>
      <c r="F4383" s="8"/>
    </row>
    <row r="4384" ht="13.5" customHeight="1">
      <c r="A4384" s="8" t="s">
        <v>2035</v>
      </c>
      <c r="B4384" s="8">
        <v>6564.0</v>
      </c>
      <c r="C4384" s="8"/>
      <c r="D4384" s="8"/>
      <c r="E4384" s="8"/>
      <c r="F4384" s="8"/>
    </row>
    <row r="4385" ht="13.5" customHeight="1">
      <c r="A4385" s="8" t="s">
        <v>1805</v>
      </c>
      <c r="B4385" s="8">
        <v>6566.0</v>
      </c>
      <c r="C4385" s="8"/>
      <c r="D4385" s="8"/>
      <c r="E4385" s="8"/>
      <c r="F4385" s="8"/>
    </row>
    <row r="4386" ht="13.5" customHeight="1">
      <c r="A4386" s="8" t="s">
        <v>1481</v>
      </c>
      <c r="B4386" s="8">
        <v>6693.0</v>
      </c>
      <c r="C4386" s="8"/>
      <c r="D4386" s="8"/>
      <c r="E4386" s="8"/>
      <c r="F4386" s="8"/>
    </row>
    <row r="4387" ht="13.5" customHeight="1">
      <c r="A4387" s="8" t="s">
        <v>1555</v>
      </c>
      <c r="B4387" s="8">
        <v>6753.0</v>
      </c>
      <c r="C4387" s="8"/>
      <c r="D4387" s="8"/>
      <c r="E4387" s="8"/>
      <c r="F4387" s="8"/>
    </row>
    <row r="4388" ht="13.5" customHeight="1">
      <c r="A4388" s="8" t="s">
        <v>1560</v>
      </c>
      <c r="B4388" s="8">
        <v>6788.0</v>
      </c>
      <c r="C4388" s="8"/>
      <c r="D4388" s="8"/>
      <c r="E4388" s="8"/>
      <c r="F4388" s="8"/>
    </row>
    <row r="4389" ht="13.5" customHeight="1">
      <c r="A4389" s="8" t="s">
        <v>856</v>
      </c>
      <c r="B4389" s="8">
        <v>6880.0</v>
      </c>
      <c r="C4389" s="8"/>
      <c r="D4389" s="8"/>
      <c r="E4389" s="8"/>
      <c r="F4389" s="8"/>
    </row>
    <row r="4390" ht="13.5" customHeight="1">
      <c r="A4390" s="8" t="s">
        <v>1498</v>
      </c>
      <c r="B4390" s="8">
        <v>6886.0</v>
      </c>
      <c r="C4390" s="8"/>
      <c r="D4390" s="8"/>
      <c r="E4390" s="8"/>
      <c r="F4390" s="8"/>
    </row>
    <row r="4391" ht="13.5" customHeight="1">
      <c r="A4391" s="8" t="s">
        <v>2036</v>
      </c>
      <c r="B4391" s="8">
        <v>7042.0</v>
      </c>
      <c r="C4391" s="8"/>
      <c r="D4391" s="8"/>
      <c r="E4391" s="8"/>
      <c r="F4391" s="8"/>
    </row>
    <row r="4392" ht="13.5" customHeight="1">
      <c r="A4392" s="8" t="s">
        <v>1482</v>
      </c>
      <c r="B4392" s="8">
        <v>7043.0</v>
      </c>
      <c r="C4392" s="8"/>
      <c r="D4392" s="8"/>
      <c r="E4392" s="8"/>
      <c r="F4392" s="8"/>
    </row>
    <row r="4393" ht="13.5" customHeight="1">
      <c r="A4393" s="8" t="s">
        <v>2033</v>
      </c>
      <c r="B4393" s="8">
        <v>7174.0</v>
      </c>
      <c r="C4393" s="8"/>
      <c r="D4393" s="8"/>
      <c r="E4393" s="8"/>
      <c r="F4393" s="8"/>
    </row>
    <row r="4394" ht="13.5" customHeight="1">
      <c r="A4394" s="8" t="s">
        <v>1459</v>
      </c>
      <c r="B4394" s="8">
        <v>7812.0</v>
      </c>
      <c r="C4394" s="8"/>
      <c r="D4394" s="8"/>
      <c r="E4394" s="8"/>
      <c r="F4394" s="8"/>
    </row>
    <row r="4395" ht="13.5" customHeight="1">
      <c r="A4395" s="8" t="s">
        <v>856</v>
      </c>
      <c r="B4395" s="8">
        <v>7840.0</v>
      </c>
      <c r="C4395" s="8"/>
      <c r="D4395" s="8"/>
      <c r="E4395" s="8"/>
      <c r="F4395" s="8"/>
    </row>
    <row r="4396" ht="13.5" customHeight="1">
      <c r="A4396" s="8" t="s">
        <v>2031</v>
      </c>
      <c r="B4396" s="8">
        <v>8001.0</v>
      </c>
      <c r="C4396" s="8"/>
      <c r="D4396" s="8"/>
      <c r="E4396" s="8"/>
      <c r="F4396" s="8"/>
    </row>
    <row r="4397" ht="13.5" customHeight="1">
      <c r="A4397" s="8" t="s">
        <v>1498</v>
      </c>
      <c r="B4397" s="8">
        <v>8101.0</v>
      </c>
      <c r="C4397" s="8"/>
      <c r="D4397" s="8"/>
      <c r="E4397" s="8"/>
      <c r="F4397" s="8"/>
    </row>
    <row r="4398" ht="13.5" customHeight="1">
      <c r="A4398" s="8" t="s">
        <v>1482</v>
      </c>
      <c r="B4398" s="8">
        <v>8161.0</v>
      </c>
      <c r="C4398" s="8"/>
      <c r="D4398" s="8"/>
      <c r="E4398" s="8"/>
      <c r="F4398" s="8"/>
    </row>
    <row r="4399" ht="13.5" customHeight="1">
      <c r="A4399" s="8" t="s">
        <v>1512</v>
      </c>
      <c r="B4399" s="8">
        <v>8325.0</v>
      </c>
      <c r="C4399" s="8"/>
      <c r="D4399" s="8"/>
      <c r="E4399" s="8"/>
      <c r="F4399" s="8"/>
    </row>
    <row r="4400" ht="13.5" customHeight="1">
      <c r="A4400" s="8" t="s">
        <v>1492</v>
      </c>
      <c r="B4400" s="8">
        <v>8576.0</v>
      </c>
      <c r="C4400" s="8"/>
      <c r="D4400" s="8"/>
      <c r="E4400" s="8"/>
      <c r="F4400" s="8"/>
    </row>
    <row r="4401" ht="13.5" customHeight="1">
      <c r="A4401" s="8" t="s">
        <v>1590</v>
      </c>
      <c r="B4401" s="8">
        <v>8582.0</v>
      </c>
      <c r="C4401" s="8"/>
      <c r="D4401" s="8"/>
      <c r="E4401" s="8"/>
      <c r="F4401" s="8"/>
    </row>
    <row r="4402" ht="13.5" customHeight="1">
      <c r="A4402" s="8" t="s">
        <v>1482</v>
      </c>
      <c r="B4402" s="8">
        <v>8832.0</v>
      </c>
      <c r="C4402" s="8"/>
      <c r="D4402" s="8"/>
      <c r="E4402" s="8"/>
      <c r="F4402" s="8"/>
    </row>
    <row r="4403" ht="13.5" customHeight="1">
      <c r="A4403" s="8" t="s">
        <v>2038</v>
      </c>
      <c r="B4403" s="8">
        <v>8901.0</v>
      </c>
      <c r="C4403" s="8"/>
      <c r="D4403" s="8"/>
      <c r="E4403" s="8"/>
      <c r="F4403" s="8"/>
    </row>
    <row r="4404" ht="13.5" customHeight="1">
      <c r="A4404" s="8" t="s">
        <v>1531</v>
      </c>
      <c r="B4404" s="8">
        <v>8930.0</v>
      </c>
      <c r="C4404" s="8"/>
      <c r="D4404" s="8"/>
      <c r="E4404" s="8"/>
      <c r="F4404" s="8"/>
    </row>
    <row r="4405" ht="13.5" customHeight="1">
      <c r="A4405" s="8" t="s">
        <v>1566</v>
      </c>
      <c r="B4405" s="8">
        <v>8999.0</v>
      </c>
      <c r="C4405" s="8"/>
      <c r="D4405" s="8"/>
      <c r="E4405" s="8"/>
      <c r="F4405" s="8"/>
    </row>
    <row r="4406" ht="13.5" customHeight="1">
      <c r="A4406" s="8" t="s">
        <v>2027</v>
      </c>
      <c r="B4406" s="8">
        <v>9091.0</v>
      </c>
      <c r="C4406" s="8"/>
      <c r="D4406" s="8"/>
      <c r="E4406" s="8"/>
      <c r="F4406" s="8"/>
    </row>
    <row r="4407" ht="13.5" customHeight="1">
      <c r="A4407" s="8" t="s">
        <v>2039</v>
      </c>
      <c r="B4407" s="8">
        <v>9092.0</v>
      </c>
      <c r="C4407" s="8"/>
      <c r="D4407" s="8"/>
      <c r="E4407" s="8"/>
      <c r="F4407" s="8"/>
    </row>
    <row r="4408" ht="13.5" customHeight="1">
      <c r="A4408" s="8" t="s">
        <v>2040</v>
      </c>
      <c r="B4408" s="8">
        <v>9093.0</v>
      </c>
      <c r="C4408" s="8"/>
      <c r="D4408" s="8"/>
      <c r="E4408" s="8"/>
      <c r="F4408" s="8"/>
    </row>
    <row r="4409" ht="13.5" customHeight="1">
      <c r="A4409" s="8" t="s">
        <v>1482</v>
      </c>
      <c r="B4409" s="8">
        <v>9251.0</v>
      </c>
      <c r="C4409" s="8"/>
      <c r="D4409" s="8"/>
      <c r="E4409" s="8"/>
      <c r="F4409" s="8"/>
    </row>
    <row r="4410" ht="13.5" customHeight="1">
      <c r="A4410" s="8" t="s">
        <v>1488</v>
      </c>
      <c r="B4410" s="8">
        <v>9344.0</v>
      </c>
      <c r="C4410" s="8"/>
      <c r="D4410" s="8"/>
      <c r="E4410" s="8"/>
      <c r="F4410" s="8"/>
    </row>
    <row r="4411" ht="13.5" customHeight="1">
      <c r="A4411" s="8" t="s">
        <v>2033</v>
      </c>
      <c r="B4411" s="8">
        <v>9824.0</v>
      </c>
      <c r="C4411" s="8"/>
      <c r="D4411" s="8"/>
      <c r="E4411" s="8"/>
      <c r="F4411" s="8"/>
    </row>
    <row r="4412" ht="13.5" customHeight="1">
      <c r="A4412" s="8" t="s">
        <v>1475</v>
      </c>
      <c r="B4412" s="8">
        <v>10052.0</v>
      </c>
      <c r="C4412" s="8"/>
      <c r="D4412" s="8"/>
      <c r="E4412" s="8"/>
      <c r="F4412" s="8"/>
    </row>
    <row r="4413" ht="13.5" customHeight="1">
      <c r="A4413" s="8" t="s">
        <v>1635</v>
      </c>
      <c r="B4413" s="8">
        <v>10080.0</v>
      </c>
      <c r="C4413" s="8"/>
      <c r="D4413" s="8"/>
      <c r="E4413" s="8"/>
      <c r="F4413" s="8"/>
    </row>
    <row r="4414" ht="13.5" customHeight="1">
      <c r="A4414" s="8" t="s">
        <v>1341</v>
      </c>
      <c r="B4414" s="8">
        <v>10117.0</v>
      </c>
      <c r="C4414" s="8"/>
      <c r="D4414" s="8"/>
      <c r="E4414" s="8"/>
      <c r="F4414" s="8"/>
    </row>
    <row r="4415" ht="13.5" customHeight="1">
      <c r="A4415" s="8" t="s">
        <v>1521</v>
      </c>
      <c r="B4415" s="8">
        <v>10146.0</v>
      </c>
      <c r="C4415" s="8"/>
      <c r="D4415" s="8"/>
      <c r="E4415" s="8"/>
      <c r="F4415" s="8"/>
    </row>
    <row r="4416" ht="13.5" customHeight="1">
      <c r="A4416" s="8" t="s">
        <v>1635</v>
      </c>
      <c r="B4416" s="8">
        <v>10277.0</v>
      </c>
      <c r="C4416" s="8"/>
      <c r="D4416" s="8"/>
      <c r="E4416" s="8"/>
      <c r="F4416" s="8"/>
    </row>
    <row r="4417" ht="13.5" customHeight="1">
      <c r="A4417" s="8" t="s">
        <v>1566</v>
      </c>
      <c r="B4417" s="8">
        <v>10305.0</v>
      </c>
      <c r="C4417" s="8"/>
      <c r="D4417" s="8"/>
      <c r="E4417" s="8"/>
      <c r="F4417" s="8"/>
    </row>
    <row r="4418" ht="13.5" customHeight="1">
      <c r="A4418" s="8" t="s">
        <v>1546</v>
      </c>
      <c r="B4418" s="8">
        <v>10339.0</v>
      </c>
      <c r="C4418" s="8"/>
      <c r="D4418" s="8"/>
      <c r="E4418" s="8"/>
      <c r="F4418" s="8"/>
    </row>
    <row r="4419" ht="13.5" customHeight="1">
      <c r="A4419" s="8" t="s">
        <v>1521</v>
      </c>
      <c r="B4419" s="8">
        <v>10466.0</v>
      </c>
      <c r="C4419" s="8"/>
      <c r="D4419" s="8"/>
      <c r="E4419" s="8"/>
      <c r="F4419" s="8"/>
    </row>
    <row r="4420" ht="13.5" customHeight="1">
      <c r="A4420" s="8" t="s">
        <v>1490</v>
      </c>
      <c r="B4420" s="8">
        <v>10562.0</v>
      </c>
      <c r="C4420" s="8"/>
      <c r="D4420" s="8"/>
      <c r="E4420" s="8"/>
      <c r="F4420" s="8"/>
    </row>
    <row r="4421" ht="13.5" customHeight="1">
      <c r="A4421" s="8" t="s">
        <v>1566</v>
      </c>
      <c r="B4421" s="8">
        <v>10563.0</v>
      </c>
      <c r="C4421" s="8"/>
      <c r="D4421" s="8"/>
      <c r="E4421" s="8"/>
      <c r="F4421" s="8"/>
    </row>
    <row r="4422" ht="13.5" customHeight="1">
      <c r="A4422" s="8" t="s">
        <v>1562</v>
      </c>
      <c r="B4422" s="8">
        <v>10658.0</v>
      </c>
      <c r="C4422" s="8"/>
      <c r="D4422" s="8"/>
      <c r="E4422" s="8"/>
      <c r="F4422" s="8"/>
    </row>
    <row r="4423" ht="13.5" customHeight="1">
      <c r="A4423" s="8" t="s">
        <v>1544</v>
      </c>
      <c r="B4423" s="8">
        <v>10662.0</v>
      </c>
      <c r="C4423" s="8"/>
      <c r="D4423" s="8"/>
      <c r="E4423" s="8"/>
      <c r="F4423" s="8"/>
    </row>
    <row r="4424" ht="13.5" customHeight="1">
      <c r="A4424" s="8" t="s">
        <v>1475</v>
      </c>
      <c r="B4424" s="8">
        <v>10948.0</v>
      </c>
      <c r="C4424" s="8"/>
      <c r="D4424" s="8"/>
      <c r="E4424" s="8"/>
      <c r="F4424" s="8"/>
    </row>
    <row r="4425" ht="13.5" customHeight="1">
      <c r="A4425" s="8" t="s">
        <v>2042</v>
      </c>
      <c r="B4425" s="8">
        <v>11014.0</v>
      </c>
      <c r="C4425" s="8"/>
      <c r="D4425" s="8"/>
      <c r="E4425" s="8"/>
      <c r="F4425" s="8"/>
    </row>
    <row r="4426" ht="13.5" customHeight="1">
      <c r="A4426" s="8" t="s">
        <v>2031</v>
      </c>
      <c r="B4426" s="8">
        <v>11077.0</v>
      </c>
      <c r="C4426" s="8"/>
      <c r="D4426" s="8"/>
      <c r="E4426" s="8"/>
      <c r="F4426" s="8"/>
    </row>
    <row r="4427" ht="13.5" customHeight="1">
      <c r="A4427" s="8" t="s">
        <v>1521</v>
      </c>
      <c r="B4427" s="8">
        <v>11174.0</v>
      </c>
      <c r="C4427" s="8"/>
      <c r="D4427" s="8"/>
      <c r="E4427" s="8"/>
      <c r="F4427" s="8"/>
    </row>
    <row r="4428" ht="13.5" customHeight="1">
      <c r="A4428" s="8" t="s">
        <v>1948</v>
      </c>
      <c r="B4428" s="8">
        <v>11680.0</v>
      </c>
      <c r="C4428" s="8"/>
      <c r="D4428" s="8"/>
      <c r="E4428" s="8"/>
      <c r="F4428" s="8"/>
    </row>
    <row r="4429" ht="13.5" customHeight="1">
      <c r="A4429" s="8" t="s">
        <v>1491</v>
      </c>
      <c r="B4429" s="8">
        <v>11682.0</v>
      </c>
      <c r="C4429" s="8"/>
      <c r="D4429" s="8"/>
      <c r="E4429" s="8"/>
      <c r="F4429" s="8"/>
    </row>
    <row r="4430" ht="13.5" customHeight="1">
      <c r="A4430" s="8" t="s">
        <v>2034</v>
      </c>
      <c r="B4430" s="8">
        <v>11714.0</v>
      </c>
      <c r="C4430" s="8"/>
      <c r="D4430" s="8"/>
      <c r="E4430" s="8"/>
      <c r="F4430" s="8"/>
    </row>
    <row r="4431" ht="13.5" customHeight="1">
      <c r="A4431" s="8" t="s">
        <v>2034</v>
      </c>
      <c r="B4431" s="8">
        <v>11748.0</v>
      </c>
      <c r="C4431" s="8"/>
      <c r="D4431" s="8"/>
      <c r="E4431" s="8"/>
      <c r="F4431" s="8"/>
    </row>
    <row r="4432" ht="13.5" customHeight="1">
      <c r="A4432" s="8" t="s">
        <v>1489</v>
      </c>
      <c r="B4432" s="8">
        <v>11780.0</v>
      </c>
      <c r="C4432" s="8"/>
      <c r="D4432" s="8"/>
      <c r="E4432" s="8"/>
      <c r="F4432" s="8"/>
    </row>
    <row r="4433" ht="13.5" customHeight="1">
      <c r="A4433" s="8" t="s">
        <v>2042</v>
      </c>
      <c r="B4433" s="8">
        <v>12007.0</v>
      </c>
      <c r="C4433" s="8"/>
      <c r="D4433" s="8"/>
      <c r="E4433" s="8"/>
      <c r="F4433" s="8"/>
    </row>
    <row r="4434" ht="13.5" customHeight="1">
      <c r="A4434" s="8" t="s">
        <v>1457</v>
      </c>
      <c r="B4434" s="8">
        <v>12039.0</v>
      </c>
      <c r="C4434" s="8"/>
      <c r="D4434" s="8"/>
      <c r="E4434" s="8"/>
      <c r="F4434" s="8"/>
    </row>
    <row r="4435" ht="13.5" customHeight="1">
      <c r="A4435" s="8" t="s">
        <v>2029</v>
      </c>
      <c r="B4435" s="8">
        <v>12066.0</v>
      </c>
      <c r="C4435" s="8"/>
      <c r="D4435" s="8"/>
      <c r="E4435" s="8"/>
      <c r="F4435" s="8"/>
    </row>
    <row r="4436" ht="13.5" customHeight="1">
      <c r="A4436" s="8" t="s">
        <v>1566</v>
      </c>
      <c r="B4436" s="8">
        <v>12262.0</v>
      </c>
      <c r="C4436" s="8"/>
      <c r="D4436" s="8"/>
      <c r="E4436" s="8"/>
      <c r="F4436" s="8"/>
    </row>
    <row r="4437" ht="13.5" customHeight="1">
      <c r="A4437" s="8" t="s">
        <v>2044</v>
      </c>
      <c r="B4437" s="8">
        <v>12486.0</v>
      </c>
      <c r="C4437" s="8"/>
      <c r="D4437" s="8"/>
      <c r="E4437" s="8"/>
      <c r="F4437" s="8"/>
    </row>
    <row r="4438" ht="13.5" customHeight="1">
      <c r="A4438" s="8" t="s">
        <v>1566</v>
      </c>
      <c r="B4438" s="8">
        <v>12612.0</v>
      </c>
      <c r="C4438" s="8"/>
      <c r="D4438" s="8"/>
      <c r="E4438" s="8"/>
      <c r="F4438" s="8"/>
    </row>
    <row r="4439" ht="13.5" customHeight="1">
      <c r="A4439" s="8" t="s">
        <v>2044</v>
      </c>
      <c r="B4439" s="8">
        <v>12706.0</v>
      </c>
      <c r="C4439" s="8"/>
      <c r="D4439" s="8"/>
      <c r="E4439" s="8"/>
      <c r="F4439" s="8"/>
    </row>
    <row r="4440" ht="13.5" customHeight="1">
      <c r="A4440" s="8" t="s">
        <v>1490</v>
      </c>
      <c r="B4440" s="8">
        <v>12708.0</v>
      </c>
      <c r="C4440" s="8"/>
      <c r="D4440" s="8"/>
      <c r="E4440" s="8"/>
      <c r="F4440" s="8"/>
    </row>
    <row r="4441" ht="13.5" customHeight="1">
      <c r="A4441" s="8" t="s">
        <v>1635</v>
      </c>
      <c r="B4441" s="8">
        <v>12930.0</v>
      </c>
      <c r="C4441" s="8"/>
      <c r="D4441" s="8"/>
      <c r="E4441" s="8"/>
      <c r="F4441" s="8"/>
    </row>
    <row r="4442" ht="13.5" customHeight="1">
      <c r="A4442" s="8" t="s">
        <v>1526</v>
      </c>
      <c r="B4442" s="8">
        <v>12965.0</v>
      </c>
      <c r="C4442" s="8"/>
      <c r="D4442" s="8"/>
      <c r="E4442" s="8"/>
      <c r="F4442" s="8"/>
    </row>
    <row r="4443" ht="13.5" customHeight="1">
      <c r="A4443" s="8" t="s">
        <v>2045</v>
      </c>
      <c r="B4443" s="8">
        <v>13090.0</v>
      </c>
      <c r="C4443" s="8"/>
      <c r="D4443" s="8"/>
      <c r="E4443" s="8"/>
      <c r="F4443" s="8"/>
    </row>
    <row r="4444" ht="13.5" customHeight="1">
      <c r="A4444" s="8" t="s">
        <v>1533</v>
      </c>
      <c r="B4444" s="8">
        <v>13157.0</v>
      </c>
      <c r="C4444" s="8"/>
      <c r="D4444" s="8"/>
      <c r="E4444" s="8"/>
      <c r="F4444" s="8"/>
    </row>
    <row r="4445" ht="13.5" customHeight="1">
      <c r="A4445" s="8" t="s">
        <v>2042</v>
      </c>
      <c r="B4445" s="8">
        <v>13218.0</v>
      </c>
      <c r="C4445" s="8"/>
      <c r="D4445" s="8"/>
      <c r="E4445" s="8"/>
      <c r="F4445" s="8"/>
    </row>
    <row r="4446" ht="13.5" customHeight="1">
      <c r="A4446" s="8" t="s">
        <v>1482</v>
      </c>
      <c r="B4446" s="8">
        <v>13314.0</v>
      </c>
      <c r="C4446" s="8"/>
      <c r="D4446" s="8"/>
      <c r="E4446" s="8"/>
      <c r="F4446" s="8"/>
    </row>
    <row r="4447" ht="13.5" customHeight="1">
      <c r="A4447" s="8" t="s">
        <v>1948</v>
      </c>
      <c r="B4447" s="8">
        <v>13536.0</v>
      </c>
      <c r="C4447" s="8"/>
      <c r="D4447" s="8"/>
      <c r="E4447" s="8"/>
      <c r="F4447" s="8"/>
    </row>
    <row r="4448" ht="13.5" customHeight="1">
      <c r="A4448" s="8" t="s">
        <v>1457</v>
      </c>
      <c r="B4448" s="8">
        <v>13569.0</v>
      </c>
      <c r="C4448" s="8"/>
      <c r="D4448" s="8"/>
      <c r="E4448" s="8"/>
      <c r="F4448" s="8"/>
    </row>
    <row r="4449" ht="13.5" customHeight="1">
      <c r="A4449" s="8" t="s">
        <v>1635</v>
      </c>
      <c r="B4449" s="8">
        <v>13570.0</v>
      </c>
      <c r="C4449" s="8"/>
      <c r="D4449" s="8"/>
      <c r="E4449" s="8"/>
      <c r="F4449" s="8"/>
    </row>
    <row r="4450" ht="13.5" customHeight="1">
      <c r="A4450" s="8" t="s">
        <v>1341</v>
      </c>
      <c r="B4450" s="8">
        <v>13602.0</v>
      </c>
      <c r="C4450" s="8"/>
      <c r="D4450" s="8"/>
      <c r="E4450" s="8"/>
      <c r="F4450" s="8"/>
    </row>
    <row r="4451" ht="13.5" customHeight="1">
      <c r="A4451" s="8" t="s">
        <v>1889</v>
      </c>
      <c r="B4451" s="8">
        <v>13668.0</v>
      </c>
      <c r="C4451" s="8"/>
      <c r="D4451" s="8"/>
      <c r="E4451" s="8"/>
      <c r="F4451" s="8"/>
    </row>
    <row r="4452" ht="13.5" customHeight="1">
      <c r="A4452" s="8" t="s">
        <v>2046</v>
      </c>
      <c r="B4452" s="8">
        <v>13958.0</v>
      </c>
      <c r="C4452" s="8"/>
      <c r="D4452" s="8"/>
      <c r="E4452" s="8"/>
      <c r="F4452" s="8"/>
    </row>
    <row r="4453" ht="13.5" customHeight="1">
      <c r="A4453" s="8" t="s">
        <v>1492</v>
      </c>
      <c r="B4453" s="8">
        <v>13991.0</v>
      </c>
      <c r="C4453" s="8"/>
      <c r="D4453" s="8"/>
      <c r="E4453" s="8"/>
      <c r="F4453" s="8"/>
    </row>
    <row r="4454" ht="13.5" customHeight="1">
      <c r="A4454" s="8" t="s">
        <v>1472</v>
      </c>
      <c r="B4454" s="8">
        <v>14048.0</v>
      </c>
      <c r="C4454" s="8"/>
      <c r="D4454" s="8"/>
      <c r="E4454" s="8"/>
      <c r="F4454" s="8"/>
    </row>
    <row r="4455" ht="13.5" customHeight="1">
      <c r="A4455" s="8" t="s">
        <v>1341</v>
      </c>
      <c r="B4455" s="8">
        <v>14311.0</v>
      </c>
      <c r="C4455" s="8"/>
      <c r="D4455" s="8"/>
      <c r="E4455" s="8"/>
      <c r="F4455" s="8"/>
    </row>
    <row r="4456" ht="13.5" customHeight="1">
      <c r="A4456" s="8" t="s">
        <v>2047</v>
      </c>
      <c r="B4456" s="8">
        <v>14434.0</v>
      </c>
      <c r="C4456" s="8"/>
      <c r="D4456" s="8"/>
      <c r="E4456" s="8"/>
      <c r="F4456" s="8"/>
    </row>
    <row r="4457" ht="13.5" customHeight="1">
      <c r="A4457" s="8" t="s">
        <v>1467</v>
      </c>
      <c r="B4457" s="8">
        <v>14630.0</v>
      </c>
      <c r="C4457" s="8"/>
      <c r="D4457" s="8"/>
      <c r="E4457" s="8"/>
      <c r="F4457" s="8"/>
    </row>
    <row r="4458" ht="13.5" customHeight="1">
      <c r="A4458" s="8" t="s">
        <v>2048</v>
      </c>
      <c r="B4458" s="8">
        <v>14851.0</v>
      </c>
      <c r="C4458" s="8"/>
      <c r="D4458" s="8"/>
      <c r="E4458" s="8"/>
      <c r="F4458" s="8"/>
    </row>
    <row r="4459" ht="13.5" customHeight="1">
      <c r="A4459" s="8" t="s">
        <v>1482</v>
      </c>
      <c r="B4459" s="8">
        <v>14950.0</v>
      </c>
      <c r="C4459" s="8"/>
      <c r="D4459" s="8"/>
      <c r="E4459" s="8"/>
      <c r="F4459" s="8"/>
    </row>
    <row r="4460" ht="13.5" customHeight="1">
      <c r="A4460" s="8" t="s">
        <v>1841</v>
      </c>
      <c r="B4460" s="8">
        <v>14981.0</v>
      </c>
      <c r="C4460" s="8"/>
      <c r="D4460" s="8"/>
      <c r="E4460" s="8"/>
      <c r="F4460" s="8"/>
    </row>
    <row r="4461" ht="13.5" customHeight="1">
      <c r="A4461" s="8" t="s">
        <v>1482</v>
      </c>
      <c r="B4461" s="8">
        <v>15105.0</v>
      </c>
      <c r="C4461" s="8"/>
      <c r="D4461" s="8"/>
      <c r="E4461" s="8"/>
      <c r="F4461" s="8"/>
    </row>
    <row r="4462" ht="13.5" customHeight="1">
      <c r="A4462" s="8" t="s">
        <v>2048</v>
      </c>
      <c r="B4462" s="8">
        <v>15111.0</v>
      </c>
      <c r="C4462" s="8"/>
      <c r="D4462" s="8"/>
      <c r="E4462" s="8"/>
      <c r="F4462" s="8"/>
    </row>
    <row r="4463" ht="13.5" customHeight="1">
      <c r="A4463" s="8" t="s">
        <v>1556</v>
      </c>
      <c r="B4463" s="8">
        <v>15202.0</v>
      </c>
      <c r="C4463" s="8"/>
      <c r="D4463" s="8"/>
      <c r="E4463" s="8"/>
      <c r="F4463" s="8"/>
    </row>
    <row r="4464" ht="13.5" customHeight="1">
      <c r="A4464" s="8" t="s">
        <v>2026</v>
      </c>
      <c r="B4464" s="8">
        <v>15206.0</v>
      </c>
      <c r="C4464" s="8"/>
      <c r="D4464" s="8"/>
      <c r="E4464" s="8"/>
      <c r="F4464" s="8"/>
    </row>
    <row r="4465" ht="13.5" customHeight="1">
      <c r="A4465" s="8" t="s">
        <v>1457</v>
      </c>
      <c r="B4465" s="8">
        <v>15616.0</v>
      </c>
      <c r="C4465" s="8"/>
      <c r="D4465" s="8"/>
      <c r="E4465" s="8"/>
      <c r="F4465" s="8"/>
    </row>
    <row r="4466" ht="13.5" customHeight="1">
      <c r="A4466" s="8" t="s">
        <v>2049</v>
      </c>
      <c r="B4466" s="8">
        <v>15654.0</v>
      </c>
      <c r="C4466" s="8"/>
      <c r="D4466" s="8"/>
      <c r="E4466" s="8"/>
      <c r="F4466" s="8"/>
    </row>
    <row r="4467" ht="13.5" customHeight="1">
      <c r="A4467" s="8" t="s">
        <v>1544</v>
      </c>
      <c r="B4467" s="8">
        <v>16102.0</v>
      </c>
      <c r="C4467" s="8"/>
      <c r="D4467" s="8"/>
      <c r="E4467" s="8"/>
      <c r="F4467" s="8"/>
    </row>
    <row r="4468" ht="13.5" customHeight="1">
      <c r="A4468" s="8" t="s">
        <v>2042</v>
      </c>
      <c r="B4468" s="8">
        <v>16356.0</v>
      </c>
      <c r="C4468" s="8"/>
      <c r="D4468" s="8"/>
      <c r="E4468" s="8"/>
      <c r="F4468" s="8"/>
    </row>
    <row r="4469" ht="13.5" customHeight="1">
      <c r="A4469" s="8" t="s">
        <v>2050</v>
      </c>
      <c r="B4469" s="8">
        <v>16481.0</v>
      </c>
      <c r="C4469" s="8"/>
      <c r="D4469" s="8"/>
      <c r="E4469" s="8"/>
      <c r="F4469" s="8"/>
    </row>
    <row r="4470" ht="13.5" customHeight="1">
      <c r="A4470" s="8" t="s">
        <v>2032</v>
      </c>
      <c r="B4470" s="8">
        <v>16641.0</v>
      </c>
      <c r="C4470" s="8"/>
      <c r="D4470" s="8"/>
      <c r="E4470" s="8"/>
      <c r="F4470" s="8"/>
    </row>
    <row r="4471" ht="13.5" customHeight="1">
      <c r="A4471" s="8" t="s">
        <v>2027</v>
      </c>
      <c r="B4471" s="8">
        <v>16642.0</v>
      </c>
      <c r="C4471" s="8"/>
      <c r="D4471" s="8"/>
      <c r="E4471" s="8"/>
      <c r="F4471" s="8"/>
    </row>
    <row r="4472" ht="13.5" customHeight="1">
      <c r="A4472" s="8" t="s">
        <v>1482</v>
      </c>
      <c r="B4472" s="8">
        <v>16709.0</v>
      </c>
      <c r="C4472" s="8"/>
      <c r="D4472" s="8"/>
      <c r="E4472" s="8"/>
      <c r="F4472" s="8"/>
    </row>
    <row r="4473" ht="13.5" customHeight="1">
      <c r="A4473" s="8" t="s">
        <v>1455</v>
      </c>
      <c r="B4473" s="8">
        <v>16992.0</v>
      </c>
      <c r="C4473" s="8"/>
      <c r="D4473" s="8"/>
      <c r="E4473" s="8"/>
      <c r="F4473" s="8"/>
    </row>
    <row r="4474" ht="13.5" customHeight="1">
      <c r="A4474" s="8" t="s">
        <v>1556</v>
      </c>
      <c r="B4474" s="8">
        <v>16995.0</v>
      </c>
      <c r="C4474" s="8"/>
      <c r="D4474" s="8"/>
      <c r="E4474" s="8"/>
      <c r="F4474" s="8"/>
    </row>
    <row r="4475" ht="13.5" customHeight="1">
      <c r="A4475" s="8" t="s">
        <v>1406</v>
      </c>
      <c r="B4475" s="8">
        <v>17093.0</v>
      </c>
      <c r="C4475" s="8"/>
      <c r="D4475" s="8"/>
      <c r="E4475" s="8"/>
      <c r="F4475" s="8"/>
    </row>
    <row r="4476" ht="13.5" customHeight="1">
      <c r="A4476" s="8" t="s">
        <v>2029</v>
      </c>
      <c r="B4476" s="8">
        <v>17510.0</v>
      </c>
      <c r="C4476" s="8"/>
      <c r="D4476" s="8"/>
      <c r="E4476" s="8"/>
      <c r="F4476" s="8"/>
    </row>
    <row r="4477" ht="13.5" customHeight="1">
      <c r="A4477" s="8" t="s">
        <v>2031</v>
      </c>
      <c r="B4477" s="8">
        <v>17542.0</v>
      </c>
      <c r="C4477" s="8"/>
      <c r="D4477" s="8"/>
      <c r="E4477" s="8"/>
      <c r="F4477" s="8"/>
    </row>
    <row r="4478" ht="13.5" customHeight="1">
      <c r="A4478" s="8" t="s">
        <v>1491</v>
      </c>
      <c r="B4478" s="8">
        <v>17568.0</v>
      </c>
      <c r="C4478" s="8"/>
      <c r="D4478" s="8"/>
      <c r="E4478" s="8"/>
      <c r="F4478" s="8"/>
    </row>
    <row r="4479" ht="13.5" customHeight="1">
      <c r="A4479" s="8" t="s">
        <v>2033</v>
      </c>
      <c r="B4479" s="8">
        <v>17571.0</v>
      </c>
      <c r="C4479" s="8"/>
      <c r="D4479" s="8"/>
      <c r="E4479" s="8"/>
      <c r="F4479" s="8"/>
    </row>
    <row r="4480" ht="13.5" customHeight="1">
      <c r="A4480" s="8" t="s">
        <v>2036</v>
      </c>
      <c r="B4480" s="8">
        <v>17636.0</v>
      </c>
      <c r="C4480" s="8"/>
      <c r="D4480" s="8"/>
      <c r="E4480" s="8"/>
      <c r="F4480" s="8"/>
    </row>
    <row r="4481" ht="13.5" customHeight="1">
      <c r="A4481" s="8" t="s">
        <v>1497</v>
      </c>
      <c r="B4481" s="8">
        <v>17669.0</v>
      </c>
      <c r="C4481" s="8"/>
      <c r="D4481" s="8"/>
      <c r="E4481" s="8"/>
      <c r="F4481" s="8"/>
    </row>
    <row r="4482" ht="13.5" customHeight="1">
      <c r="A4482" s="8" t="s">
        <v>1278</v>
      </c>
      <c r="B4482" s="8">
        <v>17700.0</v>
      </c>
      <c r="C4482" s="8"/>
      <c r="D4482" s="8"/>
      <c r="E4482" s="8"/>
      <c r="F4482" s="8"/>
    </row>
    <row r="4483" ht="13.5" customHeight="1">
      <c r="A4483" s="8" t="s">
        <v>1491</v>
      </c>
      <c r="B4483" s="8">
        <v>17701.0</v>
      </c>
      <c r="C4483" s="8"/>
      <c r="D4483" s="8"/>
      <c r="E4483" s="8"/>
      <c r="F4483" s="8"/>
    </row>
    <row r="4484" ht="13.5" customHeight="1">
      <c r="A4484" s="8" t="s">
        <v>1278</v>
      </c>
      <c r="B4484" s="8">
        <v>17799.0</v>
      </c>
      <c r="C4484" s="8"/>
      <c r="D4484" s="8"/>
      <c r="E4484" s="8"/>
      <c r="F4484" s="8"/>
    </row>
    <row r="4485" ht="13.5" customHeight="1">
      <c r="A4485" s="8" t="s">
        <v>1094</v>
      </c>
      <c r="B4485" s="8">
        <v>18275.0</v>
      </c>
      <c r="C4485" s="8"/>
      <c r="D4485" s="8"/>
      <c r="E4485" s="8"/>
      <c r="F4485" s="8"/>
    </row>
    <row r="4486" ht="13.5" customHeight="1">
      <c r="A4486" s="8" t="s">
        <v>1482</v>
      </c>
      <c r="B4486" s="8">
        <v>18336.0</v>
      </c>
      <c r="C4486" s="8"/>
      <c r="D4486" s="8"/>
      <c r="E4486" s="8"/>
      <c r="F4486" s="8"/>
    </row>
    <row r="4487" ht="13.5" customHeight="1">
      <c r="A4487" s="8" t="s">
        <v>1533</v>
      </c>
      <c r="B4487" s="8">
        <v>18402.0</v>
      </c>
      <c r="C4487" s="8"/>
      <c r="D4487" s="8"/>
      <c r="E4487" s="8"/>
      <c r="F4487" s="8"/>
    </row>
    <row r="4488" ht="13.5" customHeight="1">
      <c r="A4488" s="8" t="s">
        <v>1533</v>
      </c>
      <c r="B4488" s="8">
        <v>18466.0</v>
      </c>
      <c r="C4488" s="8"/>
      <c r="D4488" s="8"/>
      <c r="E4488" s="8"/>
      <c r="F4488" s="8"/>
    </row>
    <row r="4489" ht="13.5" customHeight="1">
      <c r="A4489" s="8" t="s">
        <v>1635</v>
      </c>
      <c r="B4489" s="8">
        <v>18530.0</v>
      </c>
      <c r="C4489" s="8"/>
      <c r="D4489" s="8"/>
      <c r="E4489" s="8"/>
      <c r="F4489" s="8"/>
    </row>
    <row r="4490" ht="13.5" customHeight="1">
      <c r="A4490" s="8" t="s">
        <v>1511</v>
      </c>
      <c r="B4490" s="8">
        <v>18790.0</v>
      </c>
      <c r="C4490" s="8"/>
      <c r="D4490" s="8"/>
      <c r="E4490" s="8"/>
      <c r="F4490" s="8"/>
    </row>
    <row r="4491" ht="13.5" customHeight="1">
      <c r="A4491" s="8" t="s">
        <v>1475</v>
      </c>
      <c r="B4491" s="8">
        <v>18819.0</v>
      </c>
      <c r="C4491" s="8"/>
      <c r="D4491" s="8"/>
      <c r="E4491" s="8"/>
      <c r="F4491" s="8"/>
    </row>
    <row r="4492" ht="13.5" customHeight="1">
      <c r="A4492" s="8" t="s">
        <v>1455</v>
      </c>
      <c r="B4492" s="8">
        <v>18855.0</v>
      </c>
      <c r="C4492" s="8"/>
      <c r="D4492" s="8"/>
      <c r="E4492" s="8"/>
      <c r="F4492" s="8"/>
    </row>
    <row r="4493" ht="13.5" customHeight="1">
      <c r="A4493" s="8" t="s">
        <v>2027</v>
      </c>
      <c r="B4493" s="8">
        <v>19040.0</v>
      </c>
      <c r="C4493" s="8"/>
      <c r="D4493" s="8"/>
      <c r="E4493" s="8"/>
      <c r="F4493" s="8"/>
    </row>
    <row r="4494" ht="13.5" customHeight="1">
      <c r="A4494" s="8" t="s">
        <v>1635</v>
      </c>
      <c r="B4494" s="8">
        <v>19041.0</v>
      </c>
      <c r="C4494" s="8"/>
      <c r="D4494" s="8"/>
      <c r="E4494" s="8"/>
      <c r="F4494" s="8"/>
    </row>
    <row r="4495" ht="13.5" customHeight="1">
      <c r="A4495" s="8" t="s">
        <v>2027</v>
      </c>
      <c r="B4495" s="8">
        <v>19047.0</v>
      </c>
      <c r="C4495" s="8"/>
      <c r="D4495" s="8"/>
      <c r="E4495" s="8"/>
      <c r="F4495" s="8"/>
    </row>
    <row r="4496" ht="13.5" customHeight="1">
      <c r="A4496" s="8" t="s">
        <v>1841</v>
      </c>
      <c r="B4496" s="8">
        <v>19143.0</v>
      </c>
      <c r="C4496" s="8"/>
      <c r="D4496" s="8"/>
      <c r="E4496" s="8"/>
      <c r="F4496" s="8"/>
    </row>
    <row r="4497" ht="13.5" customHeight="1">
      <c r="A4497" s="8" t="s">
        <v>1025</v>
      </c>
      <c r="B4497" s="8">
        <v>19264.0</v>
      </c>
      <c r="C4497" s="8"/>
      <c r="D4497" s="8"/>
      <c r="E4497" s="8"/>
      <c r="F4497" s="8"/>
    </row>
    <row r="4498" ht="13.5" customHeight="1">
      <c r="A4498" s="8" t="s">
        <v>1508</v>
      </c>
      <c r="B4498" s="8">
        <v>19296.0</v>
      </c>
      <c r="C4498" s="8"/>
      <c r="D4498" s="8"/>
      <c r="E4498" s="8"/>
      <c r="F4498" s="8"/>
    </row>
    <row r="4499" ht="13.5" customHeight="1">
      <c r="A4499" s="8" t="s">
        <v>1550</v>
      </c>
      <c r="B4499" s="8">
        <v>19299.0</v>
      </c>
      <c r="C4499" s="8"/>
      <c r="D4499" s="8"/>
      <c r="E4499" s="8"/>
      <c r="F4499" s="8"/>
    </row>
    <row r="4500" ht="13.5" customHeight="1">
      <c r="A4500" s="8" t="s">
        <v>2036</v>
      </c>
      <c r="B4500" s="8">
        <v>19429.0</v>
      </c>
      <c r="C4500" s="8"/>
      <c r="D4500" s="8"/>
      <c r="E4500" s="8"/>
      <c r="F4500" s="8"/>
    </row>
    <row r="4501" ht="13.5" customHeight="1">
      <c r="A4501" s="8" t="s">
        <v>1094</v>
      </c>
      <c r="B4501" s="8">
        <v>19430.0</v>
      </c>
      <c r="C4501" s="8"/>
      <c r="D4501" s="8"/>
      <c r="E4501" s="8"/>
      <c r="F4501" s="8"/>
    </row>
    <row r="4502" ht="13.5" customHeight="1">
      <c r="A4502" s="8" t="s">
        <v>1361</v>
      </c>
      <c r="B4502" s="8">
        <v>19524.0</v>
      </c>
      <c r="C4502" s="8"/>
      <c r="D4502" s="8"/>
      <c r="E4502" s="8"/>
      <c r="F4502" s="8"/>
    </row>
    <row r="4503" ht="13.5" customHeight="1">
      <c r="A4503" s="8" t="s">
        <v>2031</v>
      </c>
      <c r="B4503" s="8">
        <v>19556.0</v>
      </c>
      <c r="C4503" s="8"/>
      <c r="D4503" s="8"/>
      <c r="E4503" s="8"/>
      <c r="F4503" s="8"/>
    </row>
    <row r="4504" ht="13.5" customHeight="1">
      <c r="A4504" s="8" t="s">
        <v>1517</v>
      </c>
      <c r="B4504" s="8">
        <v>19815.0</v>
      </c>
      <c r="C4504" s="8"/>
      <c r="D4504" s="8"/>
      <c r="E4504" s="8"/>
      <c r="F4504" s="8"/>
    </row>
    <row r="4505" ht="13.5" customHeight="1">
      <c r="A4505" s="8" t="s">
        <v>856</v>
      </c>
      <c r="B4505" s="8">
        <v>20096.0</v>
      </c>
      <c r="C4505" s="8"/>
      <c r="D4505" s="8"/>
      <c r="E4505" s="8"/>
      <c r="F4505" s="8"/>
    </row>
    <row r="4506" ht="13.5" customHeight="1">
      <c r="A4506" s="8" t="s">
        <v>1556</v>
      </c>
      <c r="B4506" s="8">
        <v>20132.0</v>
      </c>
      <c r="C4506" s="8"/>
      <c r="D4506" s="8"/>
      <c r="E4506" s="8"/>
      <c r="F4506" s="8"/>
    </row>
    <row r="4507" ht="13.5" customHeight="1">
      <c r="A4507" s="8" t="s">
        <v>1805</v>
      </c>
      <c r="B4507" s="8">
        <v>20225.0</v>
      </c>
      <c r="C4507" s="8"/>
      <c r="D4507" s="8"/>
      <c r="E4507" s="8"/>
      <c r="F4507" s="8"/>
    </row>
    <row r="4508" ht="13.5" customHeight="1">
      <c r="A4508" s="8" t="s">
        <v>1506</v>
      </c>
      <c r="B4508" s="8">
        <v>20325.0</v>
      </c>
      <c r="C4508" s="8"/>
      <c r="D4508" s="8"/>
      <c r="E4508" s="8"/>
      <c r="F4508" s="8"/>
    </row>
    <row r="4509" ht="13.5" customHeight="1">
      <c r="A4509" s="8" t="s">
        <v>1841</v>
      </c>
      <c r="B4509" s="8">
        <v>20450.0</v>
      </c>
      <c r="C4509" s="8"/>
      <c r="D4509" s="8"/>
      <c r="E4509" s="8"/>
      <c r="F4509" s="8"/>
    </row>
    <row r="4510" ht="13.5" customHeight="1">
      <c r="A4510" s="8" t="s">
        <v>1491</v>
      </c>
      <c r="B4510" s="8">
        <v>20519.0</v>
      </c>
      <c r="C4510" s="8"/>
      <c r="D4510" s="8"/>
      <c r="E4510" s="8"/>
      <c r="F4510" s="8"/>
    </row>
    <row r="4511" ht="13.5" customHeight="1">
      <c r="A4511" s="8" t="s">
        <v>1972</v>
      </c>
      <c r="B4511" s="8">
        <v>20679.0</v>
      </c>
      <c r="C4511" s="8"/>
      <c r="D4511" s="8"/>
      <c r="E4511" s="8"/>
      <c r="F4511" s="8"/>
    </row>
    <row r="4512" ht="13.5" customHeight="1">
      <c r="A4512" s="8" t="s">
        <v>1512</v>
      </c>
      <c r="B4512" s="8">
        <v>20706.0</v>
      </c>
      <c r="C4512" s="8"/>
      <c r="D4512" s="8"/>
      <c r="E4512" s="8"/>
      <c r="F4512" s="8"/>
    </row>
    <row r="4513" ht="13.5" customHeight="1">
      <c r="A4513" s="8" t="s">
        <v>2044</v>
      </c>
      <c r="B4513" s="8">
        <v>20898.0</v>
      </c>
      <c r="C4513" s="8"/>
      <c r="D4513" s="8"/>
      <c r="E4513" s="8"/>
      <c r="F4513" s="8"/>
    </row>
    <row r="4514" ht="13.5" customHeight="1">
      <c r="A4514" s="8" t="s">
        <v>2046</v>
      </c>
      <c r="B4514" s="8">
        <v>20995.0</v>
      </c>
      <c r="C4514" s="8"/>
      <c r="D4514" s="8"/>
      <c r="E4514" s="8"/>
      <c r="F4514" s="8"/>
    </row>
    <row r="4515" ht="13.5" customHeight="1">
      <c r="A4515" s="8" t="s">
        <v>1562</v>
      </c>
      <c r="B4515" s="8">
        <v>21159.0</v>
      </c>
      <c r="C4515" s="8"/>
      <c r="D4515" s="8"/>
      <c r="E4515" s="8"/>
      <c r="F4515" s="8"/>
    </row>
    <row r="4516" ht="13.5" customHeight="1">
      <c r="A4516" s="8" t="s">
        <v>1278</v>
      </c>
      <c r="B4516" s="8">
        <v>21191.0</v>
      </c>
      <c r="C4516" s="8"/>
      <c r="D4516" s="8"/>
      <c r="E4516" s="8"/>
      <c r="F4516" s="8"/>
    </row>
    <row r="4517" ht="13.5" customHeight="1">
      <c r="A4517" s="8" t="s">
        <v>2029</v>
      </c>
      <c r="B4517" s="8">
        <v>21286.0</v>
      </c>
      <c r="C4517" s="8"/>
      <c r="D4517" s="8"/>
      <c r="E4517" s="8"/>
      <c r="F4517" s="8"/>
    </row>
    <row r="4518" ht="13.5" customHeight="1">
      <c r="A4518" s="8" t="s">
        <v>1562</v>
      </c>
      <c r="B4518" s="8">
        <v>21346.0</v>
      </c>
      <c r="C4518" s="8"/>
      <c r="D4518" s="8"/>
      <c r="E4518" s="8"/>
      <c r="F4518" s="8"/>
    </row>
    <row r="4519" ht="13.5" customHeight="1">
      <c r="A4519" s="8" t="s">
        <v>1482</v>
      </c>
      <c r="B4519" s="8">
        <v>21475.0</v>
      </c>
      <c r="C4519" s="8"/>
      <c r="D4519" s="8"/>
      <c r="E4519" s="8"/>
      <c r="F4519" s="8"/>
    </row>
    <row r="4520" ht="13.5" customHeight="1">
      <c r="A4520" s="8" t="s">
        <v>1488</v>
      </c>
      <c r="B4520" s="8">
        <v>21539.0</v>
      </c>
      <c r="C4520" s="8"/>
      <c r="D4520" s="8"/>
      <c r="E4520" s="8"/>
      <c r="F4520" s="8"/>
    </row>
    <row r="4521" ht="13.5" customHeight="1">
      <c r="A4521" s="8" t="s">
        <v>2051</v>
      </c>
      <c r="B4521" s="8">
        <v>21639.0</v>
      </c>
      <c r="C4521" s="8"/>
      <c r="D4521" s="8"/>
      <c r="E4521" s="8"/>
      <c r="F4521" s="8"/>
    </row>
    <row r="4522" ht="13.5" customHeight="1">
      <c r="A4522" s="8" t="s">
        <v>1511</v>
      </c>
      <c r="B4522" s="8">
        <v>21760.0</v>
      </c>
      <c r="C4522" s="8"/>
      <c r="D4522" s="8"/>
      <c r="E4522" s="8"/>
      <c r="F4522" s="8"/>
    </row>
    <row r="4523" ht="13.5" customHeight="1">
      <c r="A4523" s="8" t="s">
        <v>1533</v>
      </c>
      <c r="B4523" s="8">
        <v>21827.0</v>
      </c>
      <c r="C4523" s="8"/>
      <c r="D4523" s="8"/>
      <c r="E4523" s="8"/>
      <c r="F4523" s="8"/>
    </row>
    <row r="4524" ht="13.5" customHeight="1">
      <c r="A4524" s="8" t="s">
        <v>1517</v>
      </c>
      <c r="B4524" s="8">
        <v>21927.0</v>
      </c>
      <c r="C4524" s="8"/>
      <c r="D4524" s="8"/>
      <c r="E4524" s="8"/>
      <c r="F4524" s="8"/>
    </row>
    <row r="4525" ht="13.5" customHeight="1">
      <c r="A4525" s="8" t="s">
        <v>2039</v>
      </c>
      <c r="B4525" s="8">
        <v>21988.0</v>
      </c>
      <c r="C4525" s="8"/>
      <c r="D4525" s="8"/>
      <c r="E4525" s="8"/>
      <c r="F4525" s="8"/>
    </row>
    <row r="4526" ht="13.5" customHeight="1">
      <c r="A4526" s="8" t="s">
        <v>2045</v>
      </c>
      <c r="B4526" s="8">
        <v>22083.0</v>
      </c>
      <c r="C4526" s="8"/>
      <c r="D4526" s="8"/>
      <c r="E4526" s="8"/>
      <c r="F4526" s="8"/>
    </row>
    <row r="4527" ht="13.5" customHeight="1">
      <c r="A4527" s="8" t="s">
        <v>1491</v>
      </c>
      <c r="B4527" s="8">
        <v>22402.0</v>
      </c>
      <c r="C4527" s="8"/>
      <c r="D4527" s="8"/>
      <c r="E4527" s="8"/>
      <c r="F4527" s="8"/>
    </row>
    <row r="4528" ht="13.5" customHeight="1">
      <c r="A4528" s="8" t="s">
        <v>2032</v>
      </c>
      <c r="B4528" s="8">
        <v>22433.0</v>
      </c>
      <c r="C4528" s="8"/>
      <c r="D4528" s="8"/>
      <c r="E4528" s="8"/>
      <c r="F4528" s="8"/>
    </row>
    <row r="4529" ht="13.5" customHeight="1">
      <c r="A4529" s="8" t="s">
        <v>1452</v>
      </c>
      <c r="B4529" s="8">
        <v>22465.0</v>
      </c>
      <c r="C4529" s="8"/>
      <c r="D4529" s="8"/>
      <c r="E4529" s="8"/>
      <c r="F4529" s="8"/>
    </row>
    <row r="4530" ht="13.5" customHeight="1">
      <c r="A4530" s="8" t="s">
        <v>2034</v>
      </c>
      <c r="B4530" s="8">
        <v>22466.0</v>
      </c>
      <c r="C4530" s="8"/>
      <c r="D4530" s="8"/>
      <c r="E4530" s="8"/>
      <c r="F4530" s="8"/>
    </row>
    <row r="4531" ht="13.5" customHeight="1">
      <c r="A4531" s="8" t="s">
        <v>1550</v>
      </c>
      <c r="B4531" s="8">
        <v>22497.0</v>
      </c>
      <c r="C4531" s="8"/>
      <c r="D4531" s="8"/>
      <c r="E4531" s="8"/>
      <c r="F4531" s="8"/>
    </row>
    <row r="4532" ht="13.5" customHeight="1">
      <c r="A4532" s="8" t="s">
        <v>149</v>
      </c>
      <c r="B4532" s="8">
        <v>22752.0</v>
      </c>
      <c r="C4532" s="8"/>
      <c r="D4532" s="8"/>
      <c r="E4532" s="8"/>
      <c r="F4532" s="8"/>
    </row>
    <row r="4533" ht="13.5" customHeight="1">
      <c r="A4533" s="8" t="s">
        <v>1511</v>
      </c>
      <c r="B4533" s="8">
        <v>22848.0</v>
      </c>
      <c r="C4533" s="8"/>
      <c r="D4533" s="8"/>
      <c r="E4533" s="8"/>
      <c r="F4533" s="8"/>
    </row>
    <row r="4534" ht="13.5" customHeight="1">
      <c r="A4534" s="8" t="s">
        <v>2006</v>
      </c>
      <c r="B4534" s="8">
        <v>22850.0</v>
      </c>
      <c r="C4534" s="8"/>
      <c r="D4534" s="8"/>
      <c r="E4534" s="8"/>
      <c r="F4534" s="8"/>
    </row>
    <row r="4535" ht="13.5" customHeight="1">
      <c r="A4535" s="8" t="s">
        <v>2048</v>
      </c>
      <c r="B4535" s="8">
        <v>22912.0</v>
      </c>
      <c r="C4535" s="8"/>
      <c r="D4535" s="8"/>
      <c r="E4535" s="8"/>
      <c r="F4535" s="8"/>
    </row>
    <row r="4536" ht="13.5" customHeight="1">
      <c r="A4536" s="8" t="s">
        <v>1482</v>
      </c>
      <c r="B4536" s="8">
        <v>22913.0</v>
      </c>
      <c r="C4536" s="8"/>
      <c r="D4536" s="8"/>
      <c r="E4536" s="8"/>
      <c r="F4536" s="8"/>
    </row>
    <row r="4537" ht="13.5" customHeight="1">
      <c r="A4537" s="8" t="s">
        <v>2027</v>
      </c>
      <c r="B4537" s="8">
        <v>22914.0</v>
      </c>
      <c r="C4537" s="8"/>
      <c r="D4537" s="8"/>
      <c r="E4537" s="8"/>
      <c r="F4537" s="8"/>
    </row>
    <row r="4538" ht="13.5" customHeight="1">
      <c r="A4538" s="8" t="s">
        <v>1511</v>
      </c>
      <c r="B4538" s="8">
        <v>23042.0</v>
      </c>
      <c r="C4538" s="8"/>
      <c r="D4538" s="8"/>
      <c r="E4538" s="8"/>
      <c r="F4538" s="8"/>
    </row>
    <row r="4539" ht="13.5" customHeight="1">
      <c r="A4539" s="8" t="s">
        <v>1278</v>
      </c>
      <c r="B4539" s="8">
        <v>23168.0</v>
      </c>
      <c r="C4539" s="8"/>
      <c r="D4539" s="8"/>
      <c r="E4539" s="8"/>
      <c r="F4539" s="8"/>
    </row>
    <row r="4540" ht="13.5" customHeight="1">
      <c r="A4540" s="8" t="s">
        <v>1278</v>
      </c>
      <c r="B4540" s="8">
        <v>23235.0</v>
      </c>
      <c r="C4540" s="8"/>
      <c r="D4540" s="8"/>
      <c r="E4540" s="8"/>
      <c r="F4540" s="8"/>
    </row>
    <row r="4541" ht="13.5" customHeight="1">
      <c r="A4541" s="8" t="s">
        <v>1546</v>
      </c>
      <c r="B4541" s="8">
        <v>23238.0</v>
      </c>
      <c r="C4541" s="8"/>
      <c r="D4541" s="8"/>
      <c r="E4541" s="8"/>
      <c r="F4541" s="8"/>
    </row>
    <row r="4542" ht="13.5" customHeight="1">
      <c r="A4542" s="8" t="s">
        <v>2027</v>
      </c>
      <c r="B4542" s="8">
        <v>23297.0</v>
      </c>
      <c r="C4542" s="8"/>
      <c r="D4542" s="8"/>
      <c r="E4542" s="8"/>
      <c r="F4542" s="8"/>
    </row>
    <row r="4543" ht="13.5" customHeight="1">
      <c r="A4543" s="8" t="s">
        <v>2027</v>
      </c>
      <c r="B4543" s="8">
        <v>23301.0</v>
      </c>
      <c r="C4543" s="8"/>
      <c r="D4543" s="8"/>
      <c r="E4543" s="8"/>
      <c r="F4543" s="8"/>
    </row>
    <row r="4544" ht="13.5" customHeight="1">
      <c r="A4544" s="8" t="s">
        <v>2052</v>
      </c>
      <c r="B4544" s="8">
        <v>23329.0</v>
      </c>
      <c r="C4544" s="8"/>
      <c r="D4544" s="8"/>
      <c r="E4544" s="8"/>
      <c r="F4544" s="8"/>
    </row>
    <row r="4545" ht="13.5" customHeight="1">
      <c r="A4545" s="8" t="s">
        <v>2047</v>
      </c>
      <c r="B4545" s="8">
        <v>23366.0</v>
      </c>
      <c r="C4545" s="8"/>
      <c r="D4545" s="8"/>
      <c r="E4545" s="8"/>
      <c r="F4545" s="8"/>
    </row>
    <row r="4546" ht="13.5" customHeight="1">
      <c r="A4546" s="8" t="s">
        <v>1406</v>
      </c>
      <c r="B4546" s="8">
        <v>23395.0</v>
      </c>
      <c r="C4546" s="8"/>
      <c r="D4546" s="8"/>
      <c r="E4546" s="8"/>
      <c r="F4546" s="8"/>
    </row>
    <row r="4547" ht="13.5" customHeight="1">
      <c r="A4547" s="8" t="s">
        <v>2027</v>
      </c>
      <c r="B4547" s="8">
        <v>23555.0</v>
      </c>
      <c r="C4547" s="8"/>
      <c r="D4547" s="8"/>
      <c r="E4547" s="8"/>
      <c r="F4547" s="8"/>
    </row>
    <row r="4548" ht="13.5" customHeight="1">
      <c r="A4548" s="8" t="s">
        <v>1488</v>
      </c>
      <c r="B4548" s="8">
        <v>23617.0</v>
      </c>
      <c r="C4548" s="8"/>
      <c r="D4548" s="8"/>
      <c r="E4548" s="8"/>
      <c r="F4548" s="8"/>
    </row>
    <row r="4549" ht="13.5" customHeight="1">
      <c r="A4549" s="8" t="s">
        <v>1506</v>
      </c>
      <c r="B4549" s="8">
        <v>23652.0</v>
      </c>
      <c r="C4549" s="8"/>
      <c r="D4549" s="8"/>
      <c r="E4549" s="8"/>
      <c r="F4549" s="8"/>
    </row>
    <row r="4550" ht="13.5" customHeight="1">
      <c r="A4550" s="8" t="s">
        <v>1025</v>
      </c>
      <c r="B4550" s="8">
        <v>23680.0</v>
      </c>
      <c r="C4550" s="8"/>
      <c r="D4550" s="8"/>
      <c r="E4550" s="8"/>
      <c r="F4550" s="8"/>
    </row>
    <row r="4551" ht="13.5" customHeight="1">
      <c r="A4551" s="8" t="s">
        <v>1341</v>
      </c>
      <c r="B4551" s="8">
        <v>23719.0</v>
      </c>
      <c r="C4551" s="8"/>
      <c r="D4551" s="8"/>
      <c r="E4551" s="8"/>
      <c r="F4551" s="8"/>
    </row>
    <row r="4552" ht="13.5" customHeight="1">
      <c r="A4552" s="8" t="s">
        <v>1457</v>
      </c>
      <c r="B4552" s="8">
        <v>23778.0</v>
      </c>
      <c r="C4552" s="8"/>
      <c r="D4552" s="8"/>
      <c r="E4552" s="8"/>
      <c r="F4552" s="8"/>
    </row>
    <row r="4553" ht="13.5" customHeight="1">
      <c r="A4553" s="8" t="s">
        <v>1841</v>
      </c>
      <c r="B4553" s="8">
        <v>23808.0</v>
      </c>
      <c r="C4553" s="8"/>
      <c r="D4553" s="8"/>
      <c r="E4553" s="8"/>
      <c r="F4553" s="8"/>
    </row>
    <row r="4554" ht="13.5" customHeight="1">
      <c r="A4554" s="8" t="s">
        <v>1511</v>
      </c>
      <c r="B4554" s="8">
        <v>23877.0</v>
      </c>
      <c r="C4554" s="8"/>
      <c r="D4554" s="8"/>
      <c r="E4554" s="8"/>
      <c r="F4554" s="8"/>
    </row>
    <row r="4555" ht="13.5" customHeight="1">
      <c r="A4555" s="8" t="s">
        <v>1533</v>
      </c>
      <c r="B4555" s="8">
        <v>24548.0</v>
      </c>
      <c r="C4555" s="8"/>
      <c r="D4555" s="8"/>
      <c r="E4555" s="8"/>
      <c r="F4555" s="8"/>
    </row>
    <row r="4556" ht="13.5" customHeight="1">
      <c r="A4556" s="8" t="s">
        <v>2036</v>
      </c>
      <c r="B4556" s="8">
        <v>24610.0</v>
      </c>
      <c r="C4556" s="8"/>
      <c r="D4556" s="8"/>
      <c r="E4556" s="8"/>
      <c r="F4556" s="8"/>
    </row>
    <row r="4557" ht="13.5" customHeight="1">
      <c r="A4557" s="8" t="s">
        <v>1562</v>
      </c>
      <c r="B4557" s="8">
        <v>24677.0</v>
      </c>
      <c r="C4557" s="8"/>
      <c r="D4557" s="8"/>
      <c r="E4557" s="8"/>
      <c r="F4557" s="8"/>
    </row>
    <row r="4558" ht="13.5" customHeight="1">
      <c r="A4558" s="8" t="s">
        <v>2053</v>
      </c>
      <c r="B4558" s="8">
        <v>25027.0</v>
      </c>
      <c r="C4558" s="8"/>
      <c r="D4558" s="8"/>
      <c r="E4558" s="8"/>
      <c r="F4558" s="8"/>
    </row>
    <row r="4559" ht="13.5" customHeight="1">
      <c r="A4559" s="8" t="s">
        <v>2047</v>
      </c>
      <c r="B4559" s="8">
        <v>25378.0</v>
      </c>
      <c r="C4559" s="8"/>
      <c r="D4559" s="8"/>
      <c r="E4559" s="8"/>
      <c r="F4559" s="8"/>
    </row>
    <row r="4560" ht="13.5" customHeight="1">
      <c r="A4560" s="8" t="s">
        <v>1972</v>
      </c>
      <c r="B4560" s="8">
        <v>25445.0</v>
      </c>
      <c r="C4560" s="8"/>
      <c r="D4560" s="8"/>
      <c r="E4560" s="8"/>
      <c r="F4560" s="8"/>
    </row>
    <row r="4561" ht="13.5" customHeight="1">
      <c r="A4561" s="8" t="s">
        <v>2040</v>
      </c>
      <c r="B4561" s="8">
        <v>25476.0</v>
      </c>
      <c r="C4561" s="8"/>
      <c r="D4561" s="8"/>
      <c r="E4561" s="8"/>
      <c r="F4561" s="8"/>
    </row>
    <row r="4562" ht="13.5" customHeight="1">
      <c r="A4562" s="8" t="s">
        <v>2028</v>
      </c>
      <c r="B4562" s="8">
        <v>25797.0</v>
      </c>
      <c r="C4562" s="8"/>
      <c r="D4562" s="8"/>
      <c r="E4562" s="8"/>
      <c r="F4562" s="8"/>
    </row>
    <row r="4563" ht="13.5" customHeight="1">
      <c r="A4563" s="8" t="s">
        <v>2055</v>
      </c>
      <c r="B4563" s="8">
        <v>25889.0</v>
      </c>
      <c r="C4563" s="8"/>
      <c r="D4563" s="8"/>
      <c r="E4563" s="8"/>
      <c r="F4563" s="8"/>
    </row>
    <row r="4564" ht="13.5" customHeight="1">
      <c r="A4564" s="8" t="s">
        <v>2038</v>
      </c>
      <c r="B4564" s="8">
        <v>25986.0</v>
      </c>
      <c r="C4564" s="8"/>
      <c r="D4564" s="8"/>
      <c r="E4564" s="8"/>
      <c r="F4564" s="8"/>
    </row>
    <row r="4565" ht="13.5" customHeight="1">
      <c r="A4565" s="8" t="s">
        <v>1511</v>
      </c>
      <c r="B4565" s="8">
        <v>26021.0</v>
      </c>
      <c r="C4565" s="8"/>
      <c r="D4565" s="8"/>
      <c r="E4565" s="8"/>
      <c r="F4565" s="8"/>
    </row>
    <row r="4566" ht="13.5" customHeight="1">
      <c r="A4566" s="8" t="s">
        <v>1566</v>
      </c>
      <c r="B4566" s="8">
        <v>26055.0</v>
      </c>
      <c r="C4566" s="8"/>
      <c r="D4566" s="8"/>
      <c r="E4566" s="8"/>
      <c r="F4566" s="8"/>
    </row>
    <row r="4567" ht="13.5" customHeight="1">
      <c r="A4567" s="8" t="s">
        <v>1800</v>
      </c>
      <c r="B4567" s="8">
        <v>26274.0</v>
      </c>
      <c r="C4567" s="8"/>
      <c r="D4567" s="8"/>
      <c r="E4567" s="8"/>
      <c r="F4567" s="8"/>
    </row>
    <row r="4568" ht="13.5" customHeight="1">
      <c r="A4568" s="8" t="s">
        <v>1506</v>
      </c>
      <c r="B4568" s="8">
        <v>26437.0</v>
      </c>
      <c r="C4568" s="8"/>
      <c r="D4568" s="8"/>
      <c r="E4568" s="8"/>
      <c r="F4568" s="8"/>
    </row>
    <row r="4569" ht="13.5" customHeight="1">
      <c r="A4569" s="8" t="s">
        <v>2034</v>
      </c>
      <c r="B4569" s="8">
        <v>26464.0</v>
      </c>
      <c r="C4569" s="8"/>
      <c r="D4569" s="8"/>
      <c r="E4569" s="8"/>
      <c r="F4569" s="8"/>
    </row>
    <row r="4570" ht="13.5" customHeight="1">
      <c r="A4570" s="8" t="s">
        <v>2039</v>
      </c>
      <c r="B4570" s="8">
        <v>26631.0</v>
      </c>
      <c r="C4570" s="8"/>
      <c r="D4570" s="8"/>
      <c r="E4570" s="8"/>
      <c r="F4570" s="8"/>
    </row>
    <row r="4571" ht="13.5" customHeight="1">
      <c r="A4571" s="8" t="s">
        <v>2034</v>
      </c>
      <c r="B4571" s="8">
        <v>26689.0</v>
      </c>
      <c r="C4571" s="8"/>
      <c r="D4571" s="8"/>
      <c r="E4571" s="8"/>
      <c r="F4571" s="8"/>
    </row>
    <row r="4572" ht="13.5" customHeight="1">
      <c r="A4572" s="8" t="s">
        <v>1521</v>
      </c>
      <c r="B4572" s="8">
        <v>26786.0</v>
      </c>
      <c r="C4572" s="8"/>
      <c r="D4572" s="8"/>
      <c r="E4572" s="8"/>
      <c r="F4572" s="8"/>
    </row>
    <row r="4573" ht="13.5" customHeight="1">
      <c r="A4573" s="8" t="s">
        <v>1452</v>
      </c>
      <c r="B4573" s="8">
        <v>26976.0</v>
      </c>
      <c r="C4573" s="8"/>
      <c r="D4573" s="8"/>
      <c r="E4573" s="8"/>
      <c r="F4573" s="8"/>
    </row>
    <row r="4574" ht="13.5" customHeight="1">
      <c r="A4574" s="8" t="s">
        <v>1094</v>
      </c>
      <c r="B4574" s="8">
        <v>27169.0</v>
      </c>
      <c r="C4574" s="8"/>
      <c r="D4574" s="8"/>
      <c r="E4574" s="8"/>
      <c r="F4574" s="8"/>
    </row>
    <row r="4575" ht="13.5" customHeight="1">
      <c r="A4575" s="8" t="s">
        <v>1474</v>
      </c>
      <c r="B4575" s="8">
        <v>27524.0</v>
      </c>
      <c r="C4575" s="8"/>
      <c r="D4575" s="8"/>
      <c r="E4575" s="8"/>
      <c r="F4575" s="8"/>
    </row>
    <row r="4576" ht="13.5" customHeight="1">
      <c r="A4576" s="8" t="s">
        <v>1578</v>
      </c>
      <c r="B4576" s="8">
        <v>27554.0</v>
      </c>
      <c r="C4576" s="8"/>
      <c r="D4576" s="8"/>
      <c r="E4576" s="8"/>
      <c r="F4576" s="8"/>
    </row>
    <row r="4577" ht="13.5" customHeight="1">
      <c r="A4577" s="8" t="s">
        <v>1637</v>
      </c>
      <c r="B4577" s="8">
        <v>27712.0</v>
      </c>
      <c r="C4577" s="8"/>
      <c r="D4577" s="8"/>
      <c r="E4577" s="8"/>
      <c r="F4577" s="8"/>
    </row>
    <row r="4578" ht="13.5" customHeight="1">
      <c r="A4578" s="8" t="s">
        <v>1556</v>
      </c>
      <c r="B4578" s="8">
        <v>27715.0</v>
      </c>
      <c r="C4578" s="8"/>
      <c r="D4578" s="8"/>
      <c r="E4578" s="8"/>
      <c r="F4578" s="8"/>
    </row>
    <row r="4579" ht="13.5" customHeight="1">
      <c r="A4579" s="8" t="s">
        <v>2056</v>
      </c>
      <c r="B4579" s="8">
        <v>27744.0</v>
      </c>
      <c r="C4579" s="8"/>
      <c r="D4579" s="8"/>
      <c r="E4579" s="8"/>
      <c r="F4579" s="8"/>
    </row>
    <row r="4580" ht="13.5" customHeight="1">
      <c r="A4580" s="8" t="s">
        <v>1491</v>
      </c>
      <c r="B4580" s="8">
        <v>27745.0</v>
      </c>
      <c r="C4580" s="8"/>
      <c r="D4580" s="8"/>
      <c r="E4580" s="8"/>
      <c r="F4580" s="8"/>
    </row>
    <row r="4581" ht="13.5" customHeight="1">
      <c r="A4581" s="8" t="s">
        <v>1553</v>
      </c>
      <c r="B4581" s="8">
        <v>28007.0</v>
      </c>
      <c r="C4581" s="8"/>
      <c r="D4581" s="8"/>
      <c r="E4581" s="8"/>
      <c r="F4581" s="8"/>
    </row>
    <row r="4582" ht="13.5" customHeight="1">
      <c r="A4582" s="8" t="s">
        <v>1472</v>
      </c>
      <c r="B4582" s="8">
        <v>28129.0</v>
      </c>
      <c r="C4582" s="8"/>
      <c r="D4582" s="8"/>
      <c r="E4582" s="8"/>
      <c r="F4582" s="8"/>
    </row>
    <row r="4583" ht="13.5" customHeight="1">
      <c r="A4583" s="8" t="s">
        <v>1805</v>
      </c>
      <c r="B4583" s="8">
        <v>28224.0</v>
      </c>
      <c r="C4583" s="8"/>
      <c r="D4583" s="8"/>
      <c r="E4583" s="8"/>
      <c r="F4583" s="8"/>
    </row>
    <row r="4584" ht="13.5" customHeight="1">
      <c r="A4584" s="8" t="s">
        <v>2044</v>
      </c>
      <c r="B4584" s="8">
        <v>28354.0</v>
      </c>
      <c r="C4584" s="8"/>
      <c r="D4584" s="8"/>
      <c r="E4584" s="8"/>
      <c r="F4584" s="8"/>
    </row>
    <row r="4585" ht="13.5" customHeight="1">
      <c r="A4585" s="8" t="s">
        <v>1498</v>
      </c>
      <c r="B4585" s="8">
        <v>28387.0</v>
      </c>
      <c r="C4585" s="8"/>
      <c r="D4585" s="8"/>
      <c r="E4585" s="8"/>
      <c r="F4585" s="8"/>
    </row>
    <row r="4586" ht="13.5" customHeight="1">
      <c r="A4586" s="8" t="s">
        <v>1482</v>
      </c>
      <c r="B4586" s="8">
        <v>28485.0</v>
      </c>
      <c r="C4586" s="8"/>
      <c r="D4586" s="8"/>
      <c r="E4586" s="8"/>
      <c r="F4586" s="8"/>
    </row>
    <row r="4587" ht="13.5" customHeight="1">
      <c r="A4587" s="8" t="s">
        <v>2033</v>
      </c>
      <c r="B4587" s="8">
        <v>28643.0</v>
      </c>
      <c r="C4587" s="8"/>
      <c r="D4587" s="8"/>
      <c r="E4587" s="8"/>
      <c r="F4587" s="8"/>
    </row>
    <row r="4588" ht="13.5" customHeight="1">
      <c r="A4588" s="8" t="s">
        <v>1491</v>
      </c>
      <c r="B4588" s="8">
        <v>28737.0</v>
      </c>
      <c r="C4588" s="8"/>
      <c r="D4588" s="8"/>
      <c r="E4588" s="8"/>
      <c r="F4588" s="8"/>
    </row>
    <row r="4589" ht="13.5" customHeight="1">
      <c r="A4589" s="8" t="s">
        <v>1290</v>
      </c>
      <c r="B4589" s="8">
        <v>28807.0</v>
      </c>
      <c r="C4589" s="8"/>
      <c r="D4589" s="8"/>
      <c r="E4589" s="8"/>
      <c r="F4589" s="8"/>
    </row>
    <row r="4590" ht="13.5" customHeight="1">
      <c r="A4590" s="8" t="s">
        <v>2044</v>
      </c>
      <c r="B4590" s="8">
        <v>28832.0</v>
      </c>
      <c r="C4590" s="8"/>
      <c r="D4590" s="8"/>
      <c r="E4590" s="8"/>
      <c r="F4590" s="8"/>
    </row>
    <row r="4591" ht="13.5" customHeight="1">
      <c r="A4591" s="8" t="s">
        <v>1526</v>
      </c>
      <c r="B4591" s="8">
        <v>28933.0</v>
      </c>
      <c r="C4591" s="8"/>
      <c r="D4591" s="8"/>
      <c r="E4591" s="8"/>
      <c r="F4591" s="8"/>
    </row>
    <row r="4592" ht="13.5" customHeight="1">
      <c r="A4592" s="8" t="s">
        <v>1467</v>
      </c>
      <c r="B4592" s="8">
        <v>29090.0</v>
      </c>
      <c r="C4592" s="8"/>
      <c r="D4592" s="8"/>
      <c r="E4592" s="8"/>
      <c r="F4592" s="8"/>
    </row>
    <row r="4593" ht="13.5" customHeight="1">
      <c r="A4593" s="8" t="s">
        <v>1474</v>
      </c>
      <c r="B4593" s="8">
        <v>29221.0</v>
      </c>
      <c r="C4593" s="8"/>
      <c r="D4593" s="8"/>
      <c r="E4593" s="8"/>
      <c r="F4593" s="8"/>
    </row>
    <row r="4594" ht="13.5" customHeight="1">
      <c r="A4594" s="8" t="s">
        <v>1590</v>
      </c>
      <c r="B4594" s="8">
        <v>29284.0</v>
      </c>
      <c r="C4594" s="8"/>
      <c r="D4594" s="8"/>
      <c r="E4594" s="8"/>
      <c r="F4594" s="8"/>
    </row>
    <row r="4595" ht="13.5" customHeight="1">
      <c r="A4595" s="8" t="s">
        <v>1491</v>
      </c>
      <c r="B4595" s="8">
        <v>29505.0</v>
      </c>
      <c r="C4595" s="8"/>
      <c r="D4595" s="8"/>
      <c r="E4595" s="8"/>
      <c r="F4595" s="8"/>
    </row>
    <row r="4596" ht="13.5" customHeight="1">
      <c r="A4596" s="8" t="s">
        <v>1506</v>
      </c>
      <c r="B4596" s="8">
        <v>29831.0</v>
      </c>
      <c r="C4596" s="8"/>
      <c r="D4596" s="8"/>
      <c r="E4596" s="8"/>
      <c r="F4596" s="8"/>
    </row>
    <row r="4597" ht="13.5" customHeight="1">
      <c r="A4597" s="8" t="s">
        <v>1491</v>
      </c>
      <c r="B4597" s="8">
        <v>30759.0</v>
      </c>
      <c r="C4597" s="8"/>
      <c r="D4597" s="8"/>
      <c r="E4597" s="8"/>
      <c r="F4597" s="8"/>
    </row>
    <row r="4598" ht="13.5" customHeight="1">
      <c r="A4598" s="8" t="s">
        <v>1637</v>
      </c>
      <c r="B4598" s="8">
        <v>30848.0</v>
      </c>
      <c r="C4598" s="8"/>
      <c r="D4598" s="8"/>
      <c r="E4598" s="8"/>
      <c r="F4598" s="8"/>
    </row>
    <row r="4599" ht="13.5" customHeight="1">
      <c r="A4599" s="8" t="s">
        <v>2042</v>
      </c>
      <c r="B4599" s="8">
        <v>30885.0</v>
      </c>
      <c r="C4599" s="8"/>
      <c r="D4599" s="8"/>
      <c r="E4599" s="8"/>
      <c r="F4599" s="8"/>
    </row>
    <row r="4600" ht="13.5" customHeight="1">
      <c r="A4600" s="8" t="s">
        <v>1491</v>
      </c>
      <c r="B4600" s="8">
        <v>30887.0</v>
      </c>
      <c r="C4600" s="8"/>
      <c r="D4600" s="8"/>
      <c r="E4600" s="8"/>
      <c r="F4600" s="8"/>
    </row>
    <row r="4601" ht="13.5" customHeight="1">
      <c r="A4601" s="8" t="s">
        <v>1491</v>
      </c>
      <c r="B4601" s="8">
        <v>31233.0</v>
      </c>
      <c r="C4601" s="8"/>
      <c r="D4601" s="8"/>
      <c r="E4601" s="8"/>
      <c r="F4601" s="8"/>
    </row>
    <row r="4602" ht="13.5" customHeight="1">
      <c r="A4602" s="8" t="s">
        <v>2027</v>
      </c>
      <c r="B4602" s="8">
        <v>31461.0</v>
      </c>
      <c r="C4602" s="8"/>
      <c r="D4602" s="8"/>
      <c r="E4602" s="8"/>
      <c r="F4602" s="8"/>
    </row>
    <row r="4603" ht="13.5" customHeight="1">
      <c r="A4603" s="8" t="s">
        <v>1455</v>
      </c>
      <c r="B4603" s="8">
        <v>31524.0</v>
      </c>
      <c r="C4603" s="8"/>
      <c r="D4603" s="8"/>
      <c r="E4603" s="8"/>
      <c r="F4603" s="8"/>
    </row>
    <row r="4604" ht="13.5" customHeight="1">
      <c r="A4604" s="8" t="s">
        <v>1592</v>
      </c>
      <c r="B4604" s="8">
        <v>31590.0</v>
      </c>
      <c r="C4604" s="8"/>
      <c r="D4604" s="8"/>
      <c r="E4604" s="8"/>
      <c r="F4604" s="8"/>
    </row>
    <row r="4605" ht="13.5" customHeight="1">
      <c r="A4605" s="8" t="s">
        <v>2056</v>
      </c>
      <c r="B4605" s="8">
        <v>31619.0</v>
      </c>
      <c r="C4605" s="8"/>
      <c r="D4605" s="8"/>
      <c r="E4605" s="8"/>
      <c r="F4605" s="8"/>
    </row>
    <row r="4606" ht="13.5" customHeight="1">
      <c r="A4606" s="8" t="s">
        <v>1551</v>
      </c>
      <c r="B4606" s="8">
        <v>32099.0</v>
      </c>
      <c r="C4606" s="8"/>
      <c r="D4606" s="8"/>
      <c r="E4606" s="8"/>
      <c r="F4606" s="8"/>
    </row>
    <row r="4607" ht="13.5" customHeight="1">
      <c r="A4607" s="8" t="s">
        <v>2044</v>
      </c>
      <c r="B4607" s="8">
        <v>32129.0</v>
      </c>
      <c r="C4607" s="8"/>
      <c r="D4607" s="8"/>
      <c r="E4607" s="8"/>
      <c r="F4607" s="8"/>
    </row>
    <row r="4608" ht="13.5" customHeight="1">
      <c r="A4608" s="8" t="s">
        <v>1156</v>
      </c>
      <c r="B4608" s="8">
        <v>32291.0</v>
      </c>
      <c r="C4608" s="8"/>
      <c r="D4608" s="8"/>
      <c r="E4608" s="8"/>
      <c r="F4608" s="8"/>
    </row>
    <row r="4609" ht="13.5" customHeight="1">
      <c r="A4609" s="8" t="s">
        <v>1517</v>
      </c>
      <c r="B4609" s="8">
        <v>32932.0</v>
      </c>
      <c r="C4609" s="8"/>
      <c r="D4609" s="8"/>
      <c r="E4609" s="8"/>
      <c r="F4609" s="8"/>
    </row>
    <row r="4610" ht="13.5" customHeight="1">
      <c r="A4610" s="8" t="s">
        <v>2053</v>
      </c>
      <c r="B4610" s="8">
        <v>33095.0</v>
      </c>
      <c r="C4610" s="8"/>
      <c r="D4610" s="8"/>
      <c r="E4610" s="8"/>
      <c r="F4610" s="8"/>
    </row>
    <row r="4611" ht="13.5" customHeight="1">
      <c r="A4611" s="8" t="s">
        <v>1553</v>
      </c>
      <c r="B4611" s="8">
        <v>33126.0</v>
      </c>
      <c r="C4611" s="8"/>
      <c r="D4611" s="8"/>
      <c r="E4611" s="8"/>
      <c r="F4611" s="8"/>
    </row>
    <row r="4612" ht="13.5" customHeight="1">
      <c r="A4612" s="8" t="s">
        <v>1511</v>
      </c>
      <c r="B4612" s="8">
        <v>33222.0</v>
      </c>
      <c r="C4612" s="8"/>
      <c r="D4612" s="8"/>
      <c r="E4612" s="8"/>
      <c r="F4612" s="8"/>
    </row>
    <row r="4613" ht="13.5" customHeight="1">
      <c r="A4613" s="8" t="s">
        <v>1474</v>
      </c>
      <c r="B4613" s="8">
        <v>33317.0</v>
      </c>
      <c r="C4613" s="8"/>
      <c r="D4613" s="8"/>
      <c r="E4613" s="8"/>
      <c r="F4613" s="8"/>
    </row>
    <row r="4614" ht="13.5" customHeight="1">
      <c r="A4614" s="8" t="s">
        <v>2048</v>
      </c>
      <c r="B4614" s="8">
        <v>33445.0</v>
      </c>
      <c r="C4614" s="8"/>
      <c r="D4614" s="8"/>
      <c r="E4614" s="8"/>
      <c r="F4614" s="8"/>
    </row>
    <row r="4615" ht="13.5" customHeight="1">
      <c r="A4615" s="8" t="s">
        <v>1490</v>
      </c>
      <c r="B4615" s="8">
        <v>33604.0</v>
      </c>
      <c r="C4615" s="8"/>
      <c r="D4615" s="8"/>
      <c r="E4615" s="8"/>
      <c r="F4615" s="8"/>
    </row>
    <row r="4616" ht="13.5" customHeight="1">
      <c r="A4616" s="8" t="s">
        <v>1546</v>
      </c>
      <c r="B4616" s="8">
        <v>33696.0</v>
      </c>
      <c r="C4616" s="8"/>
      <c r="D4616" s="8"/>
      <c r="E4616" s="8"/>
      <c r="F4616" s="8"/>
    </row>
    <row r="4617" ht="13.5" customHeight="1">
      <c r="A4617" s="8" t="s">
        <v>2027</v>
      </c>
      <c r="B4617" s="8">
        <v>33702.0</v>
      </c>
      <c r="C4617" s="8"/>
      <c r="D4617" s="8"/>
      <c r="E4617" s="8"/>
      <c r="F4617" s="8"/>
    </row>
    <row r="4618" ht="13.5" customHeight="1">
      <c r="A4618" s="8" t="s">
        <v>1578</v>
      </c>
      <c r="B4618" s="8">
        <v>33923.0</v>
      </c>
      <c r="C4618" s="8"/>
      <c r="D4618" s="8"/>
      <c r="E4618" s="8"/>
      <c r="F4618" s="8"/>
    </row>
    <row r="4619" ht="13.5" customHeight="1">
      <c r="A4619" s="8" t="s">
        <v>1025</v>
      </c>
      <c r="B4619" s="8">
        <v>33924.0</v>
      </c>
      <c r="C4619" s="8"/>
      <c r="D4619" s="8"/>
      <c r="E4619" s="8"/>
      <c r="F4619" s="8"/>
    </row>
    <row r="4620" ht="13.5" customHeight="1">
      <c r="A4620" s="8" t="s">
        <v>2051</v>
      </c>
      <c r="B4620" s="8">
        <v>34243.0</v>
      </c>
      <c r="C4620" s="8"/>
      <c r="D4620" s="8"/>
      <c r="E4620" s="8"/>
      <c r="F4620" s="8"/>
    </row>
    <row r="4621" ht="13.5" customHeight="1">
      <c r="A4621" s="8" t="s">
        <v>1562</v>
      </c>
      <c r="B4621" s="8">
        <v>34279.0</v>
      </c>
      <c r="C4621" s="8"/>
      <c r="D4621" s="8"/>
      <c r="E4621" s="8"/>
      <c r="F4621" s="8"/>
    </row>
    <row r="4622" ht="13.5" customHeight="1">
      <c r="A4622" s="8" t="s">
        <v>1508</v>
      </c>
      <c r="B4622" s="8">
        <v>34406.0</v>
      </c>
      <c r="C4622" s="8"/>
      <c r="D4622" s="8"/>
      <c r="E4622" s="8"/>
      <c r="F4622" s="8"/>
    </row>
    <row r="4623" ht="13.5" customHeight="1">
      <c r="A4623" s="8" t="s">
        <v>1491</v>
      </c>
      <c r="B4623" s="8">
        <v>34597.0</v>
      </c>
      <c r="C4623" s="8"/>
      <c r="D4623" s="8"/>
      <c r="E4623" s="8"/>
      <c r="F4623" s="8"/>
    </row>
    <row r="4624" ht="13.5" customHeight="1">
      <c r="A4624" s="8" t="s">
        <v>2042</v>
      </c>
      <c r="B4624" s="8">
        <v>34980.0</v>
      </c>
      <c r="C4624" s="8"/>
      <c r="D4624" s="8"/>
      <c r="E4624" s="8"/>
      <c r="F4624" s="8"/>
    </row>
    <row r="4625" ht="13.5" customHeight="1">
      <c r="A4625" s="8" t="s">
        <v>1651</v>
      </c>
      <c r="B4625" s="8">
        <v>35361.0</v>
      </c>
      <c r="C4625" s="8"/>
      <c r="D4625" s="8"/>
      <c r="E4625" s="8"/>
      <c r="F4625" s="8"/>
    </row>
    <row r="4626" ht="13.5" customHeight="1">
      <c r="A4626" s="8" t="s">
        <v>2038</v>
      </c>
      <c r="B4626" s="8">
        <v>35587.0</v>
      </c>
      <c r="C4626" s="8"/>
      <c r="D4626" s="8"/>
      <c r="E4626" s="8"/>
      <c r="F4626" s="8"/>
    </row>
    <row r="4627" ht="13.5" customHeight="1">
      <c r="A4627" s="8" t="s">
        <v>2055</v>
      </c>
      <c r="B4627" s="8">
        <v>35780.0</v>
      </c>
      <c r="C4627" s="8"/>
      <c r="D4627" s="8"/>
      <c r="E4627" s="8"/>
      <c r="F4627" s="8"/>
    </row>
    <row r="4628" ht="13.5" customHeight="1">
      <c r="A4628" s="8" t="s">
        <v>1517</v>
      </c>
      <c r="B4628" s="8">
        <v>35814.0</v>
      </c>
      <c r="C4628" s="8"/>
      <c r="D4628" s="8"/>
      <c r="E4628" s="8"/>
      <c r="F4628" s="8"/>
    </row>
    <row r="4629" ht="13.5" customHeight="1">
      <c r="A4629" s="8" t="s">
        <v>1653</v>
      </c>
      <c r="B4629" s="8">
        <v>35938.0</v>
      </c>
      <c r="C4629" s="8"/>
      <c r="D4629" s="8"/>
      <c r="E4629" s="8"/>
      <c r="F4629" s="8"/>
    </row>
    <row r="4630" ht="13.5" customHeight="1">
      <c r="A4630" s="8" t="s">
        <v>149</v>
      </c>
      <c r="B4630" s="8">
        <v>35968.0</v>
      </c>
      <c r="C4630" s="8"/>
      <c r="D4630" s="8"/>
      <c r="E4630" s="8"/>
      <c r="F4630" s="8"/>
    </row>
    <row r="4631" ht="13.5" customHeight="1">
      <c r="A4631" s="8" t="s">
        <v>1524</v>
      </c>
      <c r="B4631" s="8">
        <v>36033.0</v>
      </c>
      <c r="C4631" s="8"/>
      <c r="D4631" s="8"/>
      <c r="E4631" s="8"/>
      <c r="F4631" s="8"/>
    </row>
    <row r="4632" ht="13.5" customHeight="1">
      <c r="A4632" s="8" t="s">
        <v>1545</v>
      </c>
      <c r="B4632" s="8">
        <v>36067.0</v>
      </c>
      <c r="C4632" s="8"/>
      <c r="D4632" s="8"/>
      <c r="E4632" s="8"/>
      <c r="F4632" s="8"/>
    </row>
    <row r="4633" ht="13.5" customHeight="1">
      <c r="A4633" s="8" t="s">
        <v>2032</v>
      </c>
      <c r="B4633" s="8">
        <v>36160.0</v>
      </c>
      <c r="C4633" s="8"/>
      <c r="D4633" s="8"/>
      <c r="E4633" s="8"/>
      <c r="F4633" s="8"/>
    </row>
    <row r="4634" ht="13.5" customHeight="1">
      <c r="A4634" s="8" t="s">
        <v>1488</v>
      </c>
      <c r="B4634" s="8">
        <v>36356.0</v>
      </c>
      <c r="C4634" s="8"/>
      <c r="D4634" s="8"/>
      <c r="E4634" s="8"/>
      <c r="F4634" s="8"/>
    </row>
    <row r="4635" ht="13.5" customHeight="1">
      <c r="A4635" s="8" t="s">
        <v>1488</v>
      </c>
      <c r="B4635" s="8">
        <v>36647.0</v>
      </c>
      <c r="C4635" s="8"/>
      <c r="D4635" s="8"/>
      <c r="E4635" s="8"/>
      <c r="F4635" s="8"/>
    </row>
    <row r="4636" ht="13.5" customHeight="1">
      <c r="A4636" s="8" t="s">
        <v>1469</v>
      </c>
      <c r="B4636" s="8">
        <v>36832.0</v>
      </c>
      <c r="C4636" s="8"/>
      <c r="D4636" s="8"/>
      <c r="E4636" s="8"/>
      <c r="F4636" s="8"/>
    </row>
    <row r="4637" ht="13.5" customHeight="1">
      <c r="A4637" s="8" t="s">
        <v>1517</v>
      </c>
      <c r="B4637" s="8">
        <v>36836.0</v>
      </c>
      <c r="C4637" s="8"/>
      <c r="D4637" s="8"/>
      <c r="E4637" s="8"/>
      <c r="F4637" s="8"/>
    </row>
    <row r="4638" ht="13.5" customHeight="1">
      <c r="A4638" s="8" t="s">
        <v>1637</v>
      </c>
      <c r="B4638" s="8">
        <v>36867.0</v>
      </c>
      <c r="C4638" s="8"/>
      <c r="D4638" s="8"/>
      <c r="E4638" s="8"/>
      <c r="F4638" s="8"/>
    </row>
    <row r="4639" ht="13.5" customHeight="1">
      <c r="A4639" s="8" t="s">
        <v>1635</v>
      </c>
      <c r="B4639" s="8">
        <v>37250.0</v>
      </c>
      <c r="C4639" s="8"/>
      <c r="D4639" s="8"/>
      <c r="E4639" s="8"/>
      <c r="F4639" s="8"/>
    </row>
    <row r="4640" ht="13.5" customHeight="1">
      <c r="A4640" s="8" t="s">
        <v>2032</v>
      </c>
      <c r="B4640" s="8">
        <v>37505.0</v>
      </c>
      <c r="C4640" s="8"/>
      <c r="D4640" s="8"/>
      <c r="E4640" s="8"/>
      <c r="F4640" s="8"/>
    </row>
    <row r="4641" ht="13.5" customHeight="1">
      <c r="A4641" s="8" t="s">
        <v>1800</v>
      </c>
      <c r="B4641" s="8">
        <v>37537.0</v>
      </c>
      <c r="C4641" s="8"/>
      <c r="D4641" s="8"/>
      <c r="E4641" s="8"/>
      <c r="F4641" s="8"/>
    </row>
    <row r="4642" ht="13.5" customHeight="1">
      <c r="A4642" s="8" t="s">
        <v>1290</v>
      </c>
      <c r="B4642" s="8">
        <v>37606.0</v>
      </c>
      <c r="C4642" s="8"/>
      <c r="D4642" s="8"/>
      <c r="E4642" s="8"/>
      <c r="F4642" s="8"/>
    </row>
    <row r="4643" ht="13.5" customHeight="1">
      <c r="A4643" s="8" t="s">
        <v>2042</v>
      </c>
      <c r="B4643" s="8">
        <v>37668.0</v>
      </c>
      <c r="C4643" s="8"/>
      <c r="D4643" s="8"/>
      <c r="E4643" s="8"/>
      <c r="F4643" s="8"/>
    </row>
    <row r="4644" ht="13.5" customHeight="1">
      <c r="A4644" s="8" t="s">
        <v>2034</v>
      </c>
      <c r="B4644" s="8">
        <v>37830.0</v>
      </c>
      <c r="C4644" s="8"/>
      <c r="D4644" s="8"/>
      <c r="E4644" s="8"/>
      <c r="F4644" s="8"/>
    </row>
    <row r="4645" ht="13.5" customHeight="1">
      <c r="A4645" s="8" t="s">
        <v>1469</v>
      </c>
      <c r="B4645" s="8">
        <v>37957.0</v>
      </c>
      <c r="C4645" s="8"/>
      <c r="D4645" s="8"/>
      <c r="E4645" s="8"/>
      <c r="F4645" s="8"/>
    </row>
    <row r="4646" ht="13.5" customHeight="1">
      <c r="A4646" s="8" t="s">
        <v>2029</v>
      </c>
      <c r="B4646" s="8">
        <v>38406.0</v>
      </c>
      <c r="C4646" s="8"/>
      <c r="D4646" s="8"/>
      <c r="E4646" s="8"/>
      <c r="F4646" s="8"/>
    </row>
    <row r="4647" ht="13.5" customHeight="1">
      <c r="A4647" s="8" t="s">
        <v>2028</v>
      </c>
      <c r="B4647" s="8">
        <v>38594.0</v>
      </c>
      <c r="C4647" s="8"/>
      <c r="D4647" s="8"/>
      <c r="E4647" s="8"/>
      <c r="F4647" s="8"/>
    </row>
    <row r="4648" ht="13.5" customHeight="1">
      <c r="A4648" s="8" t="s">
        <v>1532</v>
      </c>
      <c r="B4648" s="8">
        <v>38657.0</v>
      </c>
      <c r="C4648" s="8"/>
      <c r="D4648" s="8"/>
      <c r="E4648" s="8"/>
      <c r="F4648" s="8"/>
    </row>
    <row r="4649" ht="13.5" customHeight="1">
      <c r="A4649" s="8" t="s">
        <v>1651</v>
      </c>
      <c r="B4649" s="8">
        <v>38850.0</v>
      </c>
      <c r="C4649" s="8"/>
      <c r="D4649" s="8"/>
      <c r="E4649" s="8"/>
      <c r="F4649" s="8"/>
    </row>
    <row r="4650" ht="13.5" customHeight="1">
      <c r="A4650" s="8" t="s">
        <v>1590</v>
      </c>
      <c r="B4650" s="8">
        <v>38913.0</v>
      </c>
      <c r="C4650" s="8"/>
      <c r="D4650" s="8"/>
      <c r="E4650" s="8"/>
      <c r="F4650" s="8"/>
    </row>
    <row r="4651" ht="13.5" customHeight="1">
      <c r="A4651" s="8" t="s">
        <v>1566</v>
      </c>
      <c r="B4651" s="8">
        <v>38948.0</v>
      </c>
      <c r="C4651" s="8"/>
      <c r="D4651" s="8"/>
      <c r="E4651" s="8"/>
      <c r="F4651" s="8"/>
    </row>
    <row r="4652" ht="13.5" customHeight="1">
      <c r="A4652" s="8" t="s">
        <v>2027</v>
      </c>
      <c r="B4652" s="8">
        <v>39041.0</v>
      </c>
      <c r="C4652" s="8"/>
      <c r="D4652" s="8"/>
      <c r="E4652" s="8"/>
      <c r="F4652" s="8"/>
    </row>
    <row r="4653" ht="13.5" customHeight="1">
      <c r="A4653" s="8" t="s">
        <v>1526</v>
      </c>
      <c r="B4653" s="8">
        <v>39136.0</v>
      </c>
      <c r="C4653" s="8"/>
      <c r="D4653" s="8"/>
      <c r="E4653" s="8"/>
      <c r="F4653" s="8"/>
    </row>
    <row r="4654" ht="13.5" customHeight="1">
      <c r="A4654" s="8" t="s">
        <v>2027</v>
      </c>
      <c r="B4654" s="8">
        <v>39232.0</v>
      </c>
      <c r="C4654" s="8"/>
      <c r="D4654" s="8"/>
      <c r="E4654" s="8"/>
      <c r="F4654" s="8"/>
    </row>
    <row r="4655" ht="13.5" customHeight="1">
      <c r="A4655" s="8" t="s">
        <v>1546</v>
      </c>
      <c r="B4655" s="8">
        <v>39617.0</v>
      </c>
      <c r="C4655" s="8"/>
      <c r="D4655" s="8"/>
      <c r="E4655" s="8"/>
      <c r="F4655" s="8"/>
    </row>
    <row r="4656" ht="13.5" customHeight="1">
      <c r="A4656" s="8" t="s">
        <v>1517</v>
      </c>
      <c r="B4656" s="8">
        <v>39649.0</v>
      </c>
      <c r="C4656" s="8"/>
      <c r="D4656" s="8"/>
      <c r="E4656" s="8"/>
      <c r="F4656" s="8"/>
    </row>
    <row r="4657" ht="13.5" customHeight="1">
      <c r="A4657" s="8" t="s">
        <v>1635</v>
      </c>
      <c r="B4657" s="8">
        <v>39654.0</v>
      </c>
      <c r="C4657" s="8"/>
      <c r="D4657" s="8"/>
      <c r="E4657" s="8"/>
      <c r="F4657" s="8"/>
    </row>
    <row r="4658" ht="13.5" customHeight="1">
      <c r="A4658" s="8" t="s">
        <v>1550</v>
      </c>
      <c r="B4658" s="8">
        <v>39808.0</v>
      </c>
      <c r="C4658" s="8"/>
      <c r="D4658" s="8"/>
      <c r="E4658" s="8"/>
      <c r="F4658" s="8"/>
    </row>
    <row r="4659" ht="13.5" customHeight="1">
      <c r="A4659" s="8" t="s">
        <v>1578</v>
      </c>
      <c r="B4659" s="8">
        <v>39841.0</v>
      </c>
      <c r="C4659" s="8"/>
      <c r="D4659" s="8"/>
      <c r="E4659" s="8"/>
      <c r="F4659" s="8"/>
    </row>
    <row r="4660" ht="13.5" customHeight="1">
      <c r="A4660" s="8" t="s">
        <v>1512</v>
      </c>
      <c r="B4660" s="8">
        <v>39847.0</v>
      </c>
      <c r="C4660" s="8"/>
      <c r="D4660" s="8"/>
      <c r="E4660" s="8"/>
      <c r="F4660" s="8"/>
    </row>
    <row r="4661" ht="13.5" customHeight="1">
      <c r="A4661" s="8" t="s">
        <v>1512</v>
      </c>
      <c r="B4661" s="8">
        <v>39907.0</v>
      </c>
      <c r="C4661" s="8"/>
      <c r="D4661" s="8"/>
      <c r="E4661" s="8"/>
      <c r="F4661" s="8"/>
    </row>
    <row r="4662" ht="13.5" customHeight="1">
      <c r="A4662" s="8" t="s">
        <v>1512</v>
      </c>
      <c r="B4662" s="8">
        <v>40068.0</v>
      </c>
      <c r="C4662" s="8"/>
      <c r="D4662" s="8"/>
      <c r="E4662" s="8"/>
      <c r="F4662" s="8"/>
    </row>
    <row r="4663" ht="13.5" customHeight="1">
      <c r="A4663" s="8" t="s">
        <v>2039</v>
      </c>
      <c r="B4663" s="8">
        <v>40420.0</v>
      </c>
      <c r="C4663" s="8"/>
      <c r="D4663" s="8"/>
      <c r="E4663" s="8"/>
      <c r="F4663" s="8"/>
    </row>
    <row r="4664" ht="13.5" customHeight="1">
      <c r="A4664" s="8" t="s">
        <v>2045</v>
      </c>
      <c r="B4664" s="8">
        <v>40485.0</v>
      </c>
      <c r="C4664" s="8"/>
      <c r="D4664" s="8"/>
      <c r="E4664" s="8"/>
      <c r="F4664" s="8"/>
    </row>
    <row r="4665" ht="13.5" customHeight="1">
      <c r="A4665" s="8" t="s">
        <v>1472</v>
      </c>
      <c r="B4665" s="8">
        <v>40998.0</v>
      </c>
      <c r="C4665" s="8"/>
      <c r="D4665" s="8"/>
      <c r="E4665" s="8"/>
      <c r="F4665" s="8"/>
    </row>
    <row r="4666" ht="13.5" customHeight="1">
      <c r="A4666" s="8" t="s">
        <v>1473</v>
      </c>
      <c r="B4666" s="8">
        <v>41091.0</v>
      </c>
      <c r="C4666" s="8"/>
      <c r="D4666" s="8"/>
      <c r="E4666" s="8"/>
      <c r="F4666" s="8"/>
    </row>
    <row r="4667" ht="13.5" customHeight="1">
      <c r="A4667" s="8" t="s">
        <v>1469</v>
      </c>
      <c r="B4667" s="8">
        <v>41152.0</v>
      </c>
      <c r="C4667" s="8"/>
      <c r="D4667" s="8"/>
      <c r="E4667" s="8"/>
      <c r="F4667" s="8"/>
    </row>
    <row r="4668" ht="13.5" customHeight="1">
      <c r="A4668" s="8" t="s">
        <v>1511</v>
      </c>
      <c r="B4668" s="8">
        <v>41157.0</v>
      </c>
      <c r="C4668" s="8"/>
      <c r="D4668" s="8"/>
      <c r="E4668" s="8"/>
      <c r="F4668" s="8"/>
    </row>
    <row r="4669" ht="13.5" customHeight="1">
      <c r="A4669" s="8" t="s">
        <v>1512</v>
      </c>
      <c r="B4669" s="8">
        <v>41349.0</v>
      </c>
      <c r="C4669" s="8"/>
      <c r="D4669" s="8"/>
      <c r="E4669" s="8"/>
      <c r="F4669" s="8"/>
    </row>
    <row r="4670" ht="13.5" customHeight="1">
      <c r="A4670" s="8" t="s">
        <v>1802</v>
      </c>
      <c r="B4670" s="8">
        <v>41440.0</v>
      </c>
      <c r="C4670" s="8"/>
      <c r="D4670" s="8"/>
      <c r="E4670" s="8"/>
      <c r="F4670" s="8"/>
    </row>
    <row r="4671" ht="13.5" customHeight="1">
      <c r="A4671" s="8" t="s">
        <v>2031</v>
      </c>
      <c r="B4671" s="8">
        <v>41539.0</v>
      </c>
      <c r="C4671" s="8"/>
      <c r="D4671" s="8"/>
      <c r="E4671" s="8"/>
      <c r="F4671" s="8"/>
    </row>
    <row r="4672" ht="13.5" customHeight="1">
      <c r="A4672" s="8" t="s">
        <v>1550</v>
      </c>
      <c r="B4672" s="8">
        <v>41574.0</v>
      </c>
      <c r="C4672" s="8"/>
      <c r="D4672" s="8"/>
      <c r="E4672" s="8"/>
      <c r="F4672" s="8"/>
    </row>
    <row r="4673" ht="13.5" customHeight="1">
      <c r="A4673" s="8" t="s">
        <v>1467</v>
      </c>
      <c r="B4673" s="8">
        <v>41831.0</v>
      </c>
      <c r="C4673" s="8"/>
      <c r="D4673" s="8"/>
      <c r="E4673" s="8"/>
      <c r="F4673" s="8"/>
    </row>
    <row r="4674" ht="13.5" customHeight="1">
      <c r="A4674" s="8" t="s">
        <v>2042</v>
      </c>
      <c r="B4674" s="8">
        <v>41888.0</v>
      </c>
      <c r="C4674" s="8"/>
      <c r="D4674" s="8"/>
      <c r="E4674" s="8"/>
      <c r="F4674" s="8"/>
    </row>
    <row r="4675" ht="13.5" customHeight="1">
      <c r="A4675" s="8" t="s">
        <v>1290</v>
      </c>
      <c r="B4675" s="8">
        <v>42054.0</v>
      </c>
      <c r="C4675" s="8"/>
      <c r="D4675" s="8"/>
      <c r="E4675" s="8"/>
      <c r="F4675" s="8"/>
    </row>
    <row r="4676" ht="13.5" customHeight="1">
      <c r="A4676" s="8" t="s">
        <v>2039</v>
      </c>
      <c r="B4676" s="8">
        <v>42148.0</v>
      </c>
      <c r="C4676" s="8"/>
      <c r="D4676" s="8"/>
      <c r="E4676" s="8"/>
      <c r="F4676" s="8"/>
    </row>
    <row r="4677" ht="13.5" customHeight="1">
      <c r="A4677" s="8" t="s">
        <v>2027</v>
      </c>
      <c r="B4677" s="8">
        <v>42338.0</v>
      </c>
      <c r="C4677" s="8"/>
      <c r="D4677" s="8"/>
      <c r="E4677" s="8"/>
      <c r="F4677" s="8"/>
    </row>
    <row r="4678" ht="13.5" customHeight="1">
      <c r="A4678" s="8" t="s">
        <v>1529</v>
      </c>
      <c r="B4678" s="8">
        <v>42343.0</v>
      </c>
      <c r="C4678" s="8"/>
      <c r="D4678" s="8"/>
      <c r="E4678" s="8"/>
      <c r="F4678" s="8"/>
    </row>
    <row r="4679" ht="13.5" customHeight="1">
      <c r="A4679" s="8" t="s">
        <v>1566</v>
      </c>
      <c r="B4679" s="8">
        <v>42467.0</v>
      </c>
      <c r="C4679" s="8"/>
      <c r="D4679" s="8"/>
      <c r="E4679" s="8"/>
      <c r="F4679" s="8"/>
    </row>
    <row r="4680" ht="13.5" customHeight="1">
      <c r="A4680" s="8" t="s">
        <v>2039</v>
      </c>
      <c r="B4680" s="8">
        <v>42563.0</v>
      </c>
      <c r="C4680" s="8"/>
      <c r="D4680" s="8"/>
      <c r="E4680" s="8"/>
      <c r="F4680" s="8"/>
    </row>
    <row r="4681" ht="13.5" customHeight="1">
      <c r="A4681" s="8" t="s">
        <v>1489</v>
      </c>
      <c r="B4681" s="8">
        <v>42567.0</v>
      </c>
      <c r="C4681" s="8"/>
      <c r="D4681" s="8"/>
      <c r="E4681" s="8"/>
      <c r="F4681" s="8"/>
    </row>
    <row r="4682" ht="13.5" customHeight="1">
      <c r="A4682" s="8" t="s">
        <v>1383</v>
      </c>
      <c r="B4682" s="8">
        <v>42691.0</v>
      </c>
      <c r="C4682" s="8"/>
      <c r="D4682" s="8"/>
      <c r="E4682" s="8"/>
      <c r="F4682" s="8"/>
    </row>
    <row r="4683" ht="13.5" customHeight="1">
      <c r="A4683" s="8" t="s">
        <v>2045</v>
      </c>
      <c r="B4683" s="8">
        <v>42919.0</v>
      </c>
      <c r="C4683" s="8"/>
      <c r="D4683" s="8"/>
      <c r="E4683" s="8"/>
      <c r="F4683" s="8"/>
    </row>
    <row r="4684" ht="13.5" customHeight="1">
      <c r="A4684" s="8" t="s">
        <v>2032</v>
      </c>
      <c r="B4684" s="8">
        <v>43010.0</v>
      </c>
      <c r="C4684" s="8"/>
      <c r="D4684" s="8"/>
      <c r="E4684" s="8"/>
      <c r="F4684" s="8"/>
    </row>
    <row r="4685" ht="13.5" customHeight="1">
      <c r="A4685" s="8" t="s">
        <v>2027</v>
      </c>
      <c r="B4685" s="8">
        <v>43043.0</v>
      </c>
      <c r="C4685" s="8"/>
      <c r="D4685" s="8"/>
      <c r="E4685" s="8"/>
      <c r="F4685" s="8"/>
    </row>
    <row r="4686" ht="13.5" customHeight="1">
      <c r="A4686" s="8" t="s">
        <v>1560</v>
      </c>
      <c r="B4686" s="8">
        <v>43170.0</v>
      </c>
      <c r="C4686" s="8"/>
      <c r="D4686" s="8"/>
      <c r="E4686" s="8"/>
      <c r="F4686" s="8"/>
    </row>
    <row r="4687" ht="13.5" customHeight="1">
      <c r="A4687" s="8" t="s">
        <v>1484</v>
      </c>
      <c r="B4687" s="8">
        <v>43397.0</v>
      </c>
      <c r="C4687" s="8"/>
      <c r="D4687" s="8"/>
      <c r="E4687" s="8"/>
      <c r="F4687" s="8"/>
    </row>
    <row r="4688" ht="13.5" customHeight="1">
      <c r="A4688" s="8" t="s">
        <v>2046</v>
      </c>
      <c r="B4688" s="8">
        <v>43494.0</v>
      </c>
      <c r="C4688" s="8"/>
      <c r="D4688" s="8"/>
      <c r="E4688" s="8"/>
      <c r="F4688" s="8"/>
    </row>
    <row r="4689" ht="13.5" customHeight="1">
      <c r="A4689" s="8" t="s">
        <v>2047</v>
      </c>
      <c r="B4689" s="8">
        <v>43682.0</v>
      </c>
      <c r="C4689" s="8"/>
      <c r="D4689" s="8"/>
      <c r="E4689" s="8"/>
      <c r="F4689" s="8"/>
    </row>
    <row r="4690" ht="13.5" customHeight="1">
      <c r="A4690" s="8" t="s">
        <v>1635</v>
      </c>
      <c r="B4690" s="8">
        <v>43814.0</v>
      </c>
      <c r="C4690" s="8"/>
      <c r="D4690" s="8"/>
      <c r="E4690" s="8"/>
      <c r="F4690" s="8"/>
    </row>
    <row r="4691" ht="13.5" customHeight="1">
      <c r="A4691" s="8" t="s">
        <v>1454</v>
      </c>
      <c r="B4691" s="8">
        <v>43815.0</v>
      </c>
      <c r="C4691" s="8"/>
      <c r="D4691" s="8"/>
      <c r="E4691" s="8"/>
      <c r="F4691" s="8"/>
    </row>
    <row r="4692" ht="13.5" customHeight="1">
      <c r="A4692" s="8" t="s">
        <v>1553</v>
      </c>
      <c r="B4692" s="8">
        <v>43844.0</v>
      </c>
      <c r="C4692" s="8"/>
      <c r="D4692" s="8"/>
      <c r="E4692" s="8"/>
      <c r="F4692" s="8"/>
    </row>
    <row r="4693" ht="13.5" customHeight="1">
      <c r="A4693" s="8" t="s">
        <v>2046</v>
      </c>
      <c r="B4693" s="8">
        <v>43846.0</v>
      </c>
      <c r="C4693" s="8"/>
      <c r="D4693" s="8"/>
      <c r="E4693" s="8"/>
      <c r="F4693" s="8"/>
    </row>
    <row r="4694" ht="13.5" customHeight="1">
      <c r="A4694" s="8" t="s">
        <v>1473</v>
      </c>
      <c r="B4694" s="8">
        <v>43974.0</v>
      </c>
      <c r="C4694" s="8"/>
      <c r="D4694" s="8"/>
      <c r="E4694" s="8"/>
      <c r="F4694" s="8"/>
    </row>
    <row r="4695" ht="13.5" customHeight="1">
      <c r="A4695" s="8" t="s">
        <v>2052</v>
      </c>
      <c r="B4695" s="8">
        <v>44003.0</v>
      </c>
      <c r="C4695" s="8"/>
      <c r="D4695" s="8"/>
      <c r="E4695" s="8"/>
      <c r="F4695" s="8"/>
    </row>
    <row r="4696" ht="13.5" customHeight="1">
      <c r="A4696" s="8" t="s">
        <v>1532</v>
      </c>
      <c r="B4696" s="8">
        <v>44069.0</v>
      </c>
      <c r="C4696" s="8"/>
      <c r="D4696" s="8"/>
      <c r="E4696" s="8"/>
      <c r="F4696" s="8"/>
    </row>
    <row r="4697" ht="13.5" customHeight="1">
      <c r="A4697" s="8" t="s">
        <v>1800</v>
      </c>
      <c r="B4697" s="8">
        <v>44099.0</v>
      </c>
      <c r="C4697" s="8"/>
      <c r="D4697" s="8"/>
      <c r="E4697" s="8"/>
      <c r="F4697" s="8"/>
    </row>
    <row r="4698" ht="13.5" customHeight="1">
      <c r="A4698" s="8" t="s">
        <v>1536</v>
      </c>
      <c r="B4698" s="8">
        <v>44133.0</v>
      </c>
      <c r="C4698" s="8"/>
      <c r="D4698" s="8"/>
      <c r="E4698" s="8"/>
      <c r="F4698" s="8"/>
    </row>
    <row r="4699" ht="13.5" customHeight="1">
      <c r="A4699" s="8" t="s">
        <v>2048</v>
      </c>
      <c r="B4699" s="8">
        <v>44261.0</v>
      </c>
      <c r="C4699" s="8"/>
      <c r="D4699" s="8"/>
      <c r="E4699" s="8"/>
      <c r="F4699" s="8"/>
    </row>
    <row r="4700" ht="13.5" customHeight="1">
      <c r="A4700" s="8" t="s">
        <v>149</v>
      </c>
      <c r="B4700" s="8">
        <v>44323.0</v>
      </c>
      <c r="C4700" s="8"/>
      <c r="D4700" s="8"/>
      <c r="E4700" s="8"/>
      <c r="F4700" s="8"/>
    </row>
    <row r="4701" ht="13.5" customHeight="1">
      <c r="A4701" s="8" t="s">
        <v>1488</v>
      </c>
      <c r="B4701" s="8">
        <v>44517.0</v>
      </c>
      <c r="C4701" s="8"/>
      <c r="D4701" s="8"/>
      <c r="E4701" s="8"/>
      <c r="F4701" s="8"/>
    </row>
    <row r="4702" ht="13.5" customHeight="1">
      <c r="A4702" s="8" t="s">
        <v>1581</v>
      </c>
      <c r="B4702" s="8">
        <v>44549.0</v>
      </c>
      <c r="C4702" s="8"/>
      <c r="D4702" s="8"/>
      <c r="E4702" s="8"/>
      <c r="F4702" s="8"/>
    </row>
    <row r="4703" ht="13.5" customHeight="1">
      <c r="A4703" s="8" t="s">
        <v>1575</v>
      </c>
      <c r="B4703" s="8">
        <v>44679.0</v>
      </c>
      <c r="C4703" s="8"/>
      <c r="D4703" s="8"/>
      <c r="E4703" s="8"/>
      <c r="F4703" s="8"/>
    </row>
    <row r="4704" ht="13.5" customHeight="1">
      <c r="A4704" s="8" t="s">
        <v>2034</v>
      </c>
      <c r="B4704" s="8">
        <v>44836.0</v>
      </c>
      <c r="C4704" s="8"/>
      <c r="D4704" s="8"/>
      <c r="E4704" s="8"/>
      <c r="F4704" s="8"/>
    </row>
    <row r="4705" ht="13.5" customHeight="1">
      <c r="A4705" s="8" t="s">
        <v>1567</v>
      </c>
      <c r="B4705" s="8">
        <v>45120.0</v>
      </c>
      <c r="C4705" s="8"/>
      <c r="D4705" s="8"/>
      <c r="E4705" s="8"/>
      <c r="F4705" s="8"/>
    </row>
    <row r="4706" ht="13.5" customHeight="1">
      <c r="A4706" s="8" t="s">
        <v>2048</v>
      </c>
      <c r="B4706" s="8">
        <v>45158.0</v>
      </c>
      <c r="C4706" s="8"/>
      <c r="D4706" s="8"/>
      <c r="E4706" s="8"/>
      <c r="F4706" s="8"/>
    </row>
    <row r="4707" ht="13.5" customHeight="1">
      <c r="A4707" s="8" t="s">
        <v>1651</v>
      </c>
      <c r="B4707" s="8">
        <v>45254.0</v>
      </c>
      <c r="C4707" s="8"/>
      <c r="D4707" s="8"/>
      <c r="E4707" s="8"/>
      <c r="F4707" s="8"/>
    </row>
    <row r="4708" ht="13.5" customHeight="1">
      <c r="A4708" s="8" t="s">
        <v>856</v>
      </c>
      <c r="B4708" s="8">
        <v>45315.0</v>
      </c>
      <c r="C4708" s="8"/>
      <c r="D4708" s="8"/>
      <c r="E4708" s="8"/>
      <c r="F4708" s="8"/>
    </row>
    <row r="4709" ht="13.5" customHeight="1">
      <c r="A4709" s="8" t="s">
        <v>2031</v>
      </c>
      <c r="B4709" s="8">
        <v>45380.0</v>
      </c>
      <c r="C4709" s="8"/>
      <c r="D4709" s="8"/>
      <c r="E4709" s="8"/>
      <c r="F4709" s="8"/>
    </row>
    <row r="4710" ht="13.5" customHeight="1">
      <c r="A4710" s="8" t="s">
        <v>1484</v>
      </c>
      <c r="B4710" s="8">
        <v>45409.0</v>
      </c>
      <c r="C4710" s="8"/>
      <c r="D4710" s="8"/>
      <c r="E4710" s="8"/>
      <c r="F4710" s="8"/>
    </row>
    <row r="4711" ht="13.5" customHeight="1">
      <c r="A4711" s="8" t="s">
        <v>1635</v>
      </c>
      <c r="B4711" s="8">
        <v>45539.0</v>
      </c>
      <c r="C4711" s="8"/>
      <c r="D4711" s="8"/>
      <c r="E4711" s="8"/>
      <c r="F4711" s="8"/>
    </row>
    <row r="4712" ht="13.5" customHeight="1">
      <c r="A4712" s="8" t="s">
        <v>1472</v>
      </c>
      <c r="B4712" s="8">
        <v>45605.0</v>
      </c>
      <c r="C4712" s="8"/>
      <c r="D4712" s="8"/>
      <c r="E4712" s="8"/>
      <c r="F4712" s="8"/>
    </row>
    <row r="4713" ht="13.5" customHeight="1">
      <c r="A4713" s="8" t="s">
        <v>1517</v>
      </c>
      <c r="B4713" s="8">
        <v>45664.0</v>
      </c>
      <c r="C4713" s="8"/>
      <c r="D4713" s="8"/>
      <c r="E4713" s="8"/>
      <c r="F4713" s="8"/>
    </row>
    <row r="4714" ht="13.5" customHeight="1">
      <c r="A4714" s="8" t="s">
        <v>2031</v>
      </c>
      <c r="B4714" s="8">
        <v>45671.0</v>
      </c>
      <c r="C4714" s="8"/>
      <c r="D4714" s="8"/>
      <c r="E4714" s="8"/>
      <c r="F4714" s="8"/>
    </row>
    <row r="4715" ht="13.5" customHeight="1">
      <c r="A4715" s="8" t="s">
        <v>149</v>
      </c>
      <c r="B4715" s="8">
        <v>45762.0</v>
      </c>
      <c r="C4715" s="8"/>
      <c r="D4715" s="8"/>
      <c r="E4715" s="8"/>
      <c r="F4715" s="8"/>
    </row>
    <row r="4716" ht="13.5" customHeight="1">
      <c r="A4716" s="8" t="s">
        <v>1531</v>
      </c>
      <c r="B4716" s="8">
        <v>46151.0</v>
      </c>
      <c r="C4716" s="8"/>
      <c r="D4716" s="8"/>
      <c r="E4716" s="8"/>
      <c r="F4716" s="8"/>
    </row>
    <row r="4717" ht="13.5" customHeight="1">
      <c r="A4717" s="8" t="s">
        <v>2057</v>
      </c>
      <c r="B4717" s="8">
        <v>46407.0</v>
      </c>
      <c r="C4717" s="8"/>
      <c r="D4717" s="8"/>
      <c r="E4717" s="8"/>
      <c r="F4717" s="8"/>
    </row>
    <row r="4718" ht="13.5" customHeight="1">
      <c r="A4718" s="8" t="s">
        <v>1477</v>
      </c>
      <c r="B4718" s="8">
        <v>46499.0</v>
      </c>
      <c r="C4718" s="8"/>
      <c r="D4718" s="8"/>
      <c r="E4718" s="8"/>
      <c r="F4718" s="8"/>
    </row>
    <row r="4719" ht="13.5" customHeight="1">
      <c r="A4719" s="8" t="s">
        <v>1473</v>
      </c>
      <c r="B4719" s="8">
        <v>46631.0</v>
      </c>
      <c r="C4719" s="8"/>
      <c r="D4719" s="8"/>
      <c r="E4719" s="8"/>
      <c r="F4719" s="8"/>
    </row>
    <row r="4720" ht="13.5" customHeight="1">
      <c r="A4720" s="8" t="s">
        <v>1544</v>
      </c>
      <c r="B4720" s="8">
        <v>46662.0</v>
      </c>
      <c r="C4720" s="8"/>
      <c r="D4720" s="8"/>
      <c r="E4720" s="8"/>
      <c r="F4720" s="8"/>
    </row>
    <row r="4721" ht="13.5" customHeight="1">
      <c r="A4721" s="8" t="s">
        <v>1575</v>
      </c>
      <c r="B4721" s="8">
        <v>46691.0</v>
      </c>
      <c r="C4721" s="8"/>
      <c r="D4721" s="8"/>
      <c r="E4721" s="8"/>
      <c r="F4721" s="8"/>
    </row>
    <row r="4722" ht="13.5" customHeight="1">
      <c r="A4722" s="8" t="s">
        <v>1517</v>
      </c>
      <c r="B4722" s="8">
        <v>46880.0</v>
      </c>
      <c r="C4722" s="8"/>
      <c r="D4722" s="8"/>
      <c r="E4722" s="8"/>
      <c r="F4722" s="8"/>
    </row>
    <row r="4723" ht="13.5" customHeight="1">
      <c r="A4723" s="8" t="s">
        <v>2028</v>
      </c>
      <c r="B4723" s="8">
        <v>47011.0</v>
      </c>
      <c r="C4723" s="8"/>
      <c r="D4723" s="8"/>
      <c r="E4723" s="8"/>
      <c r="F4723" s="8"/>
    </row>
    <row r="4724" ht="13.5" customHeight="1">
      <c r="A4724" s="8" t="s">
        <v>2047</v>
      </c>
      <c r="B4724" s="8">
        <v>47201.0</v>
      </c>
      <c r="C4724" s="8"/>
      <c r="D4724" s="8"/>
      <c r="E4724" s="8"/>
      <c r="F4724" s="8"/>
    </row>
    <row r="4725" ht="13.5" customHeight="1">
      <c r="A4725" s="8" t="s">
        <v>1802</v>
      </c>
      <c r="B4725" s="8">
        <v>47457.0</v>
      </c>
      <c r="C4725" s="8"/>
      <c r="D4725" s="8"/>
      <c r="E4725" s="8"/>
      <c r="F4725" s="8"/>
    </row>
    <row r="4726" ht="13.5" customHeight="1">
      <c r="A4726" s="8" t="s">
        <v>2048</v>
      </c>
      <c r="B4726" s="8">
        <v>47522.0</v>
      </c>
      <c r="C4726" s="8"/>
      <c r="D4726" s="8"/>
      <c r="E4726" s="8"/>
      <c r="F4726" s="8"/>
    </row>
    <row r="4727" ht="13.5" customHeight="1">
      <c r="A4727" s="8" t="s">
        <v>1475</v>
      </c>
      <c r="B4727" s="8">
        <v>47553.0</v>
      </c>
      <c r="C4727" s="8"/>
      <c r="D4727" s="8"/>
      <c r="E4727" s="8"/>
      <c r="F4727" s="8"/>
    </row>
    <row r="4728" ht="13.5" customHeight="1">
      <c r="A4728" s="8" t="s">
        <v>2032</v>
      </c>
      <c r="B4728" s="8">
        <v>47584.0</v>
      </c>
      <c r="C4728" s="8"/>
      <c r="D4728" s="8"/>
      <c r="E4728" s="8"/>
      <c r="F4728" s="8"/>
    </row>
    <row r="4729" ht="13.5" customHeight="1">
      <c r="A4729" s="8" t="s">
        <v>1473</v>
      </c>
      <c r="B4729" s="8">
        <v>47683.0</v>
      </c>
      <c r="C4729" s="8"/>
      <c r="D4729" s="8"/>
      <c r="E4729" s="8"/>
      <c r="F4729" s="8"/>
    </row>
    <row r="4730" ht="13.5" customHeight="1">
      <c r="A4730" s="8" t="s">
        <v>1491</v>
      </c>
      <c r="B4730" s="8">
        <v>47872.0</v>
      </c>
      <c r="C4730" s="8"/>
      <c r="D4730" s="8"/>
      <c r="E4730" s="8"/>
      <c r="F4730" s="8"/>
    </row>
    <row r="4731" ht="13.5" customHeight="1">
      <c r="A4731" s="8" t="s">
        <v>2034</v>
      </c>
      <c r="B4731" s="8">
        <v>47877.0</v>
      </c>
      <c r="C4731" s="8"/>
      <c r="D4731" s="8"/>
      <c r="E4731" s="8"/>
      <c r="F4731" s="8"/>
    </row>
    <row r="4732" ht="13.5" customHeight="1">
      <c r="A4732" s="8" t="s">
        <v>2034</v>
      </c>
      <c r="B4732" s="8">
        <v>47879.0</v>
      </c>
      <c r="C4732" s="8"/>
      <c r="D4732" s="8"/>
      <c r="E4732" s="8"/>
      <c r="F4732" s="8"/>
    </row>
    <row r="4733" ht="13.5" customHeight="1">
      <c r="A4733" s="8" t="s">
        <v>1491</v>
      </c>
      <c r="B4733" s="8">
        <v>47910.0</v>
      </c>
      <c r="C4733" s="8"/>
      <c r="D4733" s="8"/>
      <c r="E4733" s="8"/>
      <c r="F4733" s="8"/>
    </row>
    <row r="4734" ht="13.5" customHeight="1">
      <c r="A4734" s="8" t="s">
        <v>1550</v>
      </c>
      <c r="B4734" s="8">
        <v>47972.0</v>
      </c>
      <c r="C4734" s="8"/>
      <c r="D4734" s="8"/>
      <c r="E4734" s="8"/>
      <c r="F4734" s="8"/>
    </row>
    <row r="4735" ht="13.5" customHeight="1">
      <c r="A4735" s="8" t="s">
        <v>2046</v>
      </c>
      <c r="B4735" s="8">
        <v>48192.0</v>
      </c>
      <c r="C4735" s="8"/>
      <c r="D4735" s="8"/>
      <c r="E4735" s="8"/>
      <c r="F4735" s="8"/>
    </row>
    <row r="4736" ht="13.5" customHeight="1">
      <c r="A4736" s="8" t="s">
        <v>1511</v>
      </c>
      <c r="B4736" s="8">
        <v>48288.0</v>
      </c>
      <c r="C4736" s="8"/>
      <c r="D4736" s="8"/>
      <c r="E4736" s="8"/>
      <c r="F4736" s="8"/>
    </row>
    <row r="4737" ht="13.5" customHeight="1">
      <c r="A4737" s="8" t="s">
        <v>2042</v>
      </c>
      <c r="B4737" s="8">
        <v>48293.0</v>
      </c>
      <c r="C4737" s="8"/>
      <c r="D4737" s="8"/>
      <c r="E4737" s="8"/>
      <c r="F4737" s="8"/>
    </row>
    <row r="4738" ht="13.5" customHeight="1">
      <c r="A4738" s="8" t="s">
        <v>1544</v>
      </c>
      <c r="B4738" s="8">
        <v>48294.0</v>
      </c>
      <c r="C4738" s="8"/>
      <c r="D4738" s="8"/>
      <c r="E4738" s="8"/>
      <c r="F4738" s="8"/>
    </row>
    <row r="4739" ht="13.5" customHeight="1">
      <c r="A4739" s="8" t="s">
        <v>2050</v>
      </c>
      <c r="B4739" s="8">
        <v>48322.0</v>
      </c>
      <c r="C4739" s="8"/>
      <c r="D4739" s="8"/>
      <c r="E4739" s="8"/>
      <c r="F4739" s="8"/>
    </row>
    <row r="4740" ht="13.5" customHeight="1">
      <c r="A4740" s="8" t="s">
        <v>2039</v>
      </c>
      <c r="B4740" s="8">
        <v>48353.0</v>
      </c>
      <c r="C4740" s="8"/>
      <c r="D4740" s="8"/>
      <c r="E4740" s="8"/>
      <c r="F4740" s="8"/>
    </row>
    <row r="4741" ht="13.5" customHeight="1">
      <c r="A4741" s="8" t="s">
        <v>1529</v>
      </c>
      <c r="B4741" s="8">
        <v>48420.0</v>
      </c>
      <c r="C4741" s="8"/>
      <c r="D4741" s="8"/>
      <c r="E4741" s="8"/>
      <c r="F4741" s="8"/>
    </row>
    <row r="4742" ht="13.5" customHeight="1">
      <c r="A4742" s="8" t="s">
        <v>2040</v>
      </c>
      <c r="B4742" s="8">
        <v>48512.0</v>
      </c>
      <c r="C4742" s="8"/>
      <c r="D4742" s="8"/>
      <c r="E4742" s="8"/>
      <c r="F4742" s="8"/>
    </row>
    <row r="4743" ht="13.5" customHeight="1">
      <c r="A4743" s="8" t="s">
        <v>1578</v>
      </c>
      <c r="B4743" s="8">
        <v>48641.0</v>
      </c>
      <c r="C4743" s="8"/>
      <c r="D4743" s="8"/>
      <c r="E4743" s="8"/>
      <c r="F4743" s="8"/>
    </row>
    <row r="4744" ht="13.5" customHeight="1">
      <c r="A4744" s="8" t="s">
        <v>1472</v>
      </c>
      <c r="B4744" s="8">
        <v>48672.0</v>
      </c>
      <c r="C4744" s="8"/>
      <c r="D4744" s="8"/>
      <c r="E4744" s="8"/>
      <c r="F4744" s="8"/>
    </row>
    <row r="4745" ht="13.5" customHeight="1">
      <c r="A4745" s="8" t="s">
        <v>1094</v>
      </c>
      <c r="B4745" s="8">
        <v>48709.0</v>
      </c>
      <c r="C4745" s="8"/>
      <c r="D4745" s="8"/>
      <c r="E4745" s="8"/>
      <c r="F4745" s="8"/>
    </row>
    <row r="4746" ht="13.5" customHeight="1">
      <c r="A4746" s="8" t="s">
        <v>1469</v>
      </c>
      <c r="B4746" s="8">
        <v>48832.0</v>
      </c>
      <c r="C4746" s="8"/>
      <c r="D4746" s="8"/>
      <c r="E4746" s="8"/>
      <c r="F4746" s="8"/>
    </row>
    <row r="4747" ht="13.5" customHeight="1">
      <c r="A4747" s="8" t="s">
        <v>1511</v>
      </c>
      <c r="B4747" s="8">
        <v>48836.0</v>
      </c>
      <c r="C4747" s="8"/>
      <c r="D4747" s="8"/>
      <c r="E4747" s="8"/>
      <c r="F4747" s="8"/>
    </row>
    <row r="4748" ht="13.5" customHeight="1">
      <c r="A4748" s="8" t="s">
        <v>2046</v>
      </c>
      <c r="B4748" s="8">
        <v>48935.0</v>
      </c>
      <c r="C4748" s="8"/>
      <c r="D4748" s="8"/>
      <c r="E4748" s="8"/>
      <c r="F4748" s="8"/>
    </row>
    <row r="4749" ht="13.5" customHeight="1">
      <c r="A4749" s="8" t="s">
        <v>2028</v>
      </c>
      <c r="B4749" s="8">
        <v>49026.0</v>
      </c>
      <c r="C4749" s="8"/>
      <c r="D4749" s="8"/>
      <c r="E4749" s="8"/>
      <c r="F4749" s="8"/>
    </row>
    <row r="4750" ht="13.5" customHeight="1">
      <c r="A4750" s="8" t="s">
        <v>2027</v>
      </c>
      <c r="B4750" s="8">
        <v>49925.0</v>
      </c>
      <c r="C4750" s="8"/>
      <c r="D4750" s="8"/>
      <c r="E4750" s="8"/>
      <c r="F4750" s="8"/>
    </row>
    <row r="4751" ht="13.5" customHeight="1">
      <c r="A4751" s="8" t="s">
        <v>1503</v>
      </c>
      <c r="B4751" s="8">
        <v>50337.0</v>
      </c>
      <c r="C4751" s="8"/>
      <c r="D4751" s="8"/>
      <c r="E4751" s="8"/>
      <c r="F4751" s="8"/>
    </row>
    <row r="4752" ht="13.5" customHeight="1">
      <c r="A4752" s="8" t="s">
        <v>1290</v>
      </c>
      <c r="B4752" s="8">
        <v>50656.0</v>
      </c>
      <c r="C4752" s="8"/>
      <c r="D4752" s="8"/>
      <c r="E4752" s="8"/>
      <c r="F4752" s="8"/>
    </row>
    <row r="4753" ht="13.5" customHeight="1">
      <c r="A4753" s="8" t="s">
        <v>1531</v>
      </c>
      <c r="B4753" s="8">
        <v>50950.0</v>
      </c>
      <c r="C4753" s="8"/>
      <c r="D4753" s="8"/>
      <c r="E4753" s="8"/>
      <c r="F4753" s="8"/>
    </row>
    <row r="4754" ht="13.5" customHeight="1">
      <c r="A4754" s="8" t="s">
        <v>2033</v>
      </c>
      <c r="B4754" s="8">
        <v>50977.0</v>
      </c>
      <c r="C4754" s="8"/>
      <c r="D4754" s="8"/>
      <c r="E4754" s="8"/>
      <c r="F4754" s="8"/>
    </row>
    <row r="4755" ht="13.5" customHeight="1">
      <c r="A4755" s="8" t="s">
        <v>2033</v>
      </c>
      <c r="B4755" s="8">
        <v>51011.0</v>
      </c>
      <c r="C4755" s="8"/>
      <c r="D4755" s="8"/>
      <c r="E4755" s="8"/>
      <c r="F4755" s="8"/>
    </row>
    <row r="4756" ht="13.5" customHeight="1">
      <c r="A4756" s="8" t="s">
        <v>1536</v>
      </c>
      <c r="B4756" s="8">
        <v>51171.0</v>
      </c>
      <c r="C4756" s="8"/>
      <c r="D4756" s="8"/>
      <c r="E4756" s="8"/>
      <c r="F4756" s="8"/>
    </row>
    <row r="4757" ht="13.5" customHeight="1">
      <c r="A4757" s="8" t="s">
        <v>1651</v>
      </c>
      <c r="B4757" s="8">
        <v>51267.0</v>
      </c>
      <c r="C4757" s="8"/>
      <c r="D4757" s="8"/>
      <c r="E4757" s="8"/>
      <c r="F4757" s="8"/>
    </row>
    <row r="4758" ht="13.5" customHeight="1">
      <c r="A4758" s="8" t="s">
        <v>2047</v>
      </c>
      <c r="B4758" s="8">
        <v>51362.0</v>
      </c>
      <c r="C4758" s="8"/>
      <c r="D4758" s="8"/>
      <c r="E4758" s="8"/>
      <c r="F4758" s="8"/>
    </row>
    <row r="4759" ht="13.5" customHeight="1">
      <c r="A4759" s="8" t="s">
        <v>1529</v>
      </c>
      <c r="B4759" s="8">
        <v>51489.0</v>
      </c>
      <c r="C4759" s="8"/>
      <c r="D4759" s="8"/>
      <c r="E4759" s="8"/>
      <c r="F4759" s="8"/>
    </row>
    <row r="4760" ht="13.5" customHeight="1">
      <c r="A4760" s="8" t="s">
        <v>1094</v>
      </c>
      <c r="B4760" s="8">
        <v>51493.0</v>
      </c>
      <c r="C4760" s="8"/>
      <c r="D4760" s="8"/>
      <c r="E4760" s="8"/>
      <c r="F4760" s="8"/>
    </row>
    <row r="4761" ht="13.5" customHeight="1">
      <c r="A4761" s="8" t="s">
        <v>1858</v>
      </c>
      <c r="B4761" s="8">
        <v>51969.0</v>
      </c>
      <c r="C4761" s="8"/>
      <c r="D4761" s="8"/>
      <c r="E4761" s="8"/>
      <c r="F4761" s="8"/>
    </row>
    <row r="4762" ht="13.5" customHeight="1">
      <c r="A4762" s="8" t="s">
        <v>2031</v>
      </c>
      <c r="B4762" s="8">
        <v>52003.0</v>
      </c>
      <c r="C4762" s="8"/>
      <c r="D4762" s="8"/>
      <c r="E4762" s="8"/>
      <c r="F4762" s="8"/>
    </row>
    <row r="4763" ht="13.5" customHeight="1">
      <c r="A4763" s="8" t="s">
        <v>2027</v>
      </c>
      <c r="B4763" s="8">
        <v>52196.0</v>
      </c>
      <c r="C4763" s="8"/>
      <c r="D4763" s="8"/>
      <c r="E4763" s="8"/>
      <c r="F4763" s="8"/>
    </row>
    <row r="4764" ht="13.5" customHeight="1">
      <c r="A4764" s="8" t="s">
        <v>1454</v>
      </c>
      <c r="B4764" s="8">
        <v>52292.0</v>
      </c>
      <c r="C4764" s="8"/>
      <c r="D4764" s="8"/>
      <c r="E4764" s="8"/>
      <c r="F4764" s="8"/>
    </row>
    <row r="4765" ht="13.5" customHeight="1">
      <c r="A4765" s="8" t="s">
        <v>2006</v>
      </c>
      <c r="B4765" s="8">
        <v>52423.0</v>
      </c>
      <c r="C4765" s="8"/>
      <c r="D4765" s="8"/>
      <c r="E4765" s="8"/>
      <c r="F4765" s="8"/>
    </row>
    <row r="4766" ht="13.5" customHeight="1">
      <c r="A4766" s="8" t="s">
        <v>149</v>
      </c>
      <c r="B4766" s="8">
        <v>52448.0</v>
      </c>
      <c r="C4766" s="8"/>
      <c r="D4766" s="8"/>
      <c r="E4766" s="8"/>
      <c r="F4766" s="8"/>
    </row>
    <row r="4767" ht="13.5" customHeight="1">
      <c r="A4767" s="8" t="s">
        <v>1875</v>
      </c>
      <c r="B4767" s="8">
        <v>52580.0</v>
      </c>
      <c r="C4767" s="8"/>
      <c r="D4767" s="8"/>
      <c r="E4767" s="8"/>
      <c r="F4767" s="8"/>
    </row>
    <row r="4768" ht="13.5" customHeight="1">
      <c r="A4768" s="8" t="s">
        <v>1094</v>
      </c>
      <c r="B4768" s="8">
        <v>53056.0</v>
      </c>
      <c r="C4768" s="8"/>
      <c r="D4768" s="8"/>
      <c r="E4768" s="8"/>
      <c r="F4768" s="8"/>
    </row>
    <row r="4769" ht="13.5" customHeight="1">
      <c r="A4769" s="8" t="s">
        <v>1462</v>
      </c>
      <c r="B4769" s="8">
        <v>53060.0</v>
      </c>
      <c r="C4769" s="8"/>
      <c r="D4769" s="8"/>
      <c r="E4769" s="8"/>
      <c r="F4769" s="8"/>
    </row>
    <row r="4770" ht="13.5" customHeight="1">
      <c r="A4770" s="8" t="s">
        <v>1651</v>
      </c>
      <c r="B4770" s="8">
        <v>53283.0</v>
      </c>
      <c r="C4770" s="8"/>
      <c r="D4770" s="8"/>
      <c r="E4770" s="8"/>
      <c r="F4770" s="8"/>
    </row>
    <row r="4771" ht="13.5" customHeight="1">
      <c r="A4771" s="8" t="s">
        <v>1472</v>
      </c>
      <c r="B4771" s="8">
        <v>53344.0</v>
      </c>
      <c r="C4771" s="8"/>
      <c r="D4771" s="8"/>
      <c r="E4771" s="8"/>
      <c r="F4771" s="8"/>
    </row>
    <row r="4772" ht="13.5" customHeight="1">
      <c r="A4772" s="8" t="s">
        <v>2048</v>
      </c>
      <c r="B4772" s="8">
        <v>53381.0</v>
      </c>
      <c r="C4772" s="8"/>
      <c r="D4772" s="8"/>
      <c r="E4772" s="8"/>
      <c r="F4772" s="8"/>
    </row>
    <row r="4773" ht="13.5" customHeight="1">
      <c r="A4773" s="8" t="s">
        <v>1475</v>
      </c>
      <c r="B4773" s="8">
        <v>53571.0</v>
      </c>
      <c r="C4773" s="8"/>
      <c r="D4773" s="8"/>
      <c r="E4773" s="8"/>
      <c r="F4773" s="8"/>
    </row>
    <row r="4774" ht="13.5" customHeight="1">
      <c r="A4774" s="8" t="s">
        <v>1458</v>
      </c>
      <c r="B4774" s="8">
        <v>53635.0</v>
      </c>
      <c r="C4774" s="8"/>
      <c r="D4774" s="8"/>
      <c r="E4774" s="8"/>
      <c r="F4774" s="8"/>
    </row>
    <row r="4775" ht="13.5" customHeight="1">
      <c r="A4775" s="8" t="s">
        <v>1025</v>
      </c>
      <c r="B4775" s="8">
        <v>53762.0</v>
      </c>
      <c r="C4775" s="8"/>
      <c r="D4775" s="8"/>
      <c r="E4775" s="8"/>
      <c r="F4775" s="8"/>
    </row>
    <row r="4776" ht="13.5" customHeight="1">
      <c r="A4776" s="8" t="s">
        <v>2029</v>
      </c>
      <c r="B4776" s="8">
        <v>54086.0</v>
      </c>
      <c r="C4776" s="8"/>
      <c r="D4776" s="8"/>
      <c r="E4776" s="8"/>
      <c r="F4776" s="8"/>
    </row>
    <row r="4777" ht="13.5" customHeight="1">
      <c r="A4777" s="8" t="s">
        <v>2046</v>
      </c>
      <c r="B4777" s="8">
        <v>54180.0</v>
      </c>
      <c r="C4777" s="8"/>
      <c r="D4777" s="8"/>
      <c r="E4777" s="8"/>
      <c r="F4777" s="8"/>
    </row>
    <row r="4778" ht="13.5" customHeight="1">
      <c r="A4778" s="8" t="s">
        <v>2029</v>
      </c>
      <c r="B4778" s="8">
        <v>54215.0</v>
      </c>
      <c r="C4778" s="8"/>
      <c r="D4778" s="8"/>
      <c r="E4778" s="8"/>
      <c r="F4778" s="8"/>
    </row>
    <row r="4779" ht="13.5" customHeight="1">
      <c r="A4779" s="8" t="s">
        <v>1802</v>
      </c>
      <c r="B4779" s="8">
        <v>54336.0</v>
      </c>
      <c r="C4779" s="8"/>
      <c r="D4779" s="8"/>
      <c r="E4779" s="8"/>
      <c r="F4779" s="8"/>
    </row>
    <row r="4780" ht="13.5" customHeight="1">
      <c r="A4780" s="8" t="s">
        <v>1546</v>
      </c>
      <c r="B4780" s="8">
        <v>54467.0</v>
      </c>
      <c r="C4780" s="8"/>
      <c r="D4780" s="8"/>
      <c r="E4780" s="8"/>
      <c r="F4780" s="8"/>
    </row>
    <row r="4781" ht="13.5" customHeight="1">
      <c r="A4781" s="8" t="s">
        <v>1972</v>
      </c>
      <c r="B4781" s="8">
        <v>54534.0</v>
      </c>
      <c r="C4781" s="8"/>
      <c r="D4781" s="8"/>
      <c r="E4781" s="8"/>
      <c r="F4781" s="8"/>
    </row>
    <row r="4782" ht="13.5" customHeight="1">
      <c r="A4782" s="8" t="s">
        <v>1550</v>
      </c>
      <c r="B4782" s="8">
        <v>54564.0</v>
      </c>
      <c r="C4782" s="8"/>
      <c r="D4782" s="8"/>
      <c r="E4782" s="8"/>
      <c r="F4782" s="8"/>
    </row>
    <row r="4783" ht="13.5" customHeight="1">
      <c r="A4783" s="8" t="s">
        <v>2051</v>
      </c>
      <c r="B4783" s="8">
        <v>54692.0</v>
      </c>
      <c r="C4783" s="8"/>
      <c r="D4783" s="8"/>
      <c r="E4783" s="8"/>
      <c r="F4783" s="8"/>
    </row>
    <row r="4784" ht="13.5" customHeight="1">
      <c r="A4784" s="8" t="s">
        <v>1546</v>
      </c>
      <c r="B4784" s="8">
        <v>54727.0</v>
      </c>
      <c r="C4784" s="8"/>
      <c r="D4784" s="8"/>
      <c r="E4784" s="8"/>
      <c r="F4784" s="8"/>
    </row>
    <row r="4785" ht="13.5" customHeight="1">
      <c r="A4785" s="8" t="s">
        <v>1156</v>
      </c>
      <c r="B4785" s="8">
        <v>54886.0</v>
      </c>
      <c r="C4785" s="8"/>
      <c r="D4785" s="8"/>
      <c r="E4785" s="8"/>
      <c r="F4785" s="8"/>
    </row>
    <row r="4786" ht="13.5" customHeight="1">
      <c r="A4786" s="8" t="s">
        <v>1517</v>
      </c>
      <c r="B4786" s="8">
        <v>54977.0</v>
      </c>
      <c r="C4786" s="8"/>
      <c r="D4786" s="8"/>
      <c r="E4786" s="8"/>
      <c r="F4786" s="8"/>
    </row>
    <row r="4787" ht="13.5" customHeight="1">
      <c r="A4787" s="8" t="s">
        <v>2044</v>
      </c>
      <c r="B4787" s="8">
        <v>55040.0</v>
      </c>
      <c r="C4787" s="8"/>
      <c r="D4787" s="8"/>
      <c r="E4787" s="8"/>
      <c r="F4787" s="8"/>
    </row>
    <row r="4788" ht="13.5" customHeight="1">
      <c r="A4788" s="8" t="s">
        <v>1460</v>
      </c>
      <c r="B4788" s="8">
        <v>55203.0</v>
      </c>
      <c r="C4788" s="8"/>
      <c r="D4788" s="8"/>
      <c r="E4788" s="8"/>
      <c r="F4788" s="8"/>
    </row>
    <row r="4789" ht="13.5" customHeight="1">
      <c r="A4789" s="8" t="s">
        <v>1491</v>
      </c>
      <c r="B4789" s="8">
        <v>55330.0</v>
      </c>
      <c r="C4789" s="8"/>
      <c r="D4789" s="8"/>
      <c r="E4789" s="8"/>
      <c r="F4789" s="8"/>
    </row>
    <row r="4790" ht="13.5" customHeight="1">
      <c r="A4790" s="8" t="s">
        <v>1524</v>
      </c>
      <c r="B4790" s="8">
        <v>55494.0</v>
      </c>
      <c r="C4790" s="8"/>
      <c r="D4790" s="8"/>
      <c r="E4790" s="8"/>
      <c r="F4790" s="8"/>
    </row>
    <row r="4791" ht="13.5" customHeight="1">
      <c r="A4791" s="8" t="s">
        <v>1523</v>
      </c>
      <c r="B4791" s="8">
        <v>55554.0</v>
      </c>
      <c r="C4791" s="8"/>
      <c r="D4791" s="8"/>
      <c r="E4791" s="8"/>
      <c r="F4791" s="8"/>
    </row>
    <row r="4792" ht="13.5" customHeight="1">
      <c r="A4792" s="8" t="s">
        <v>1581</v>
      </c>
      <c r="B4792" s="8">
        <v>56006.0</v>
      </c>
      <c r="C4792" s="8"/>
      <c r="D4792" s="8"/>
      <c r="E4792" s="8"/>
      <c r="F4792" s="8"/>
    </row>
    <row r="4793" ht="13.5" customHeight="1">
      <c r="A4793" s="8" t="s">
        <v>2045</v>
      </c>
      <c r="B4793" s="8">
        <v>56130.0</v>
      </c>
      <c r="C4793" s="8"/>
      <c r="D4793" s="8"/>
      <c r="E4793" s="8"/>
      <c r="F4793" s="8"/>
    </row>
    <row r="4794" ht="13.5" customHeight="1">
      <c r="A4794" s="8" t="s">
        <v>1566</v>
      </c>
      <c r="B4794" s="8">
        <v>56162.0</v>
      </c>
      <c r="C4794" s="8"/>
      <c r="D4794" s="8"/>
      <c r="E4794" s="8"/>
      <c r="F4794" s="8"/>
    </row>
    <row r="4795" ht="13.5" customHeight="1">
      <c r="A4795" s="8" t="s">
        <v>2050</v>
      </c>
      <c r="B4795" s="8">
        <v>56261.0</v>
      </c>
      <c r="C4795" s="8"/>
      <c r="D4795" s="8"/>
      <c r="E4795" s="8"/>
      <c r="F4795" s="8"/>
    </row>
    <row r="4796" ht="13.5" customHeight="1">
      <c r="A4796" s="8" t="s">
        <v>2035</v>
      </c>
      <c r="B4796" s="8">
        <v>56358.0</v>
      </c>
      <c r="C4796" s="8"/>
      <c r="D4796" s="8"/>
      <c r="E4796" s="8"/>
      <c r="F4796" s="8"/>
    </row>
    <row r="4797" ht="13.5" customHeight="1">
      <c r="A4797" s="8" t="s">
        <v>2031</v>
      </c>
      <c r="B4797" s="8">
        <v>56452.0</v>
      </c>
      <c r="C4797" s="8"/>
      <c r="D4797" s="8"/>
      <c r="E4797" s="8"/>
      <c r="F4797" s="8"/>
    </row>
    <row r="4798" ht="13.5" customHeight="1">
      <c r="A4798" s="8" t="s">
        <v>1575</v>
      </c>
      <c r="B4798" s="8">
        <v>56483.0</v>
      </c>
      <c r="C4798" s="8"/>
      <c r="D4798" s="8"/>
      <c r="E4798" s="8"/>
      <c r="F4798" s="8"/>
    </row>
    <row r="4799" ht="13.5" customHeight="1">
      <c r="A4799" s="8" t="s">
        <v>1469</v>
      </c>
      <c r="B4799" s="8">
        <v>56484.0</v>
      </c>
      <c r="C4799" s="8"/>
      <c r="D4799" s="8"/>
      <c r="E4799" s="8"/>
      <c r="F4799" s="8"/>
    </row>
    <row r="4800" ht="13.5" customHeight="1">
      <c r="A4800" s="8" t="s">
        <v>2044</v>
      </c>
      <c r="B4800" s="8">
        <v>56676.0</v>
      </c>
      <c r="C4800" s="8"/>
      <c r="D4800" s="8"/>
      <c r="E4800" s="8"/>
      <c r="F4800" s="8"/>
    </row>
    <row r="4801" ht="13.5" customHeight="1">
      <c r="A4801" s="8" t="s">
        <v>1452</v>
      </c>
      <c r="B4801" s="8">
        <v>56802.0</v>
      </c>
      <c r="C4801" s="8"/>
      <c r="D4801" s="8"/>
      <c r="E4801" s="8"/>
      <c r="F4801" s="8"/>
    </row>
    <row r="4802" ht="13.5" customHeight="1">
      <c r="A4802" s="8" t="s">
        <v>1469</v>
      </c>
      <c r="B4802" s="8">
        <v>56868.0</v>
      </c>
      <c r="C4802" s="8"/>
      <c r="D4802" s="8"/>
      <c r="E4802" s="8"/>
      <c r="F4802" s="8"/>
    </row>
    <row r="4803" ht="13.5" customHeight="1">
      <c r="A4803" s="8" t="s">
        <v>1460</v>
      </c>
      <c r="B4803" s="8">
        <v>56869.0</v>
      </c>
      <c r="C4803" s="8"/>
      <c r="D4803" s="8"/>
      <c r="E4803" s="8"/>
      <c r="F4803" s="8"/>
    </row>
    <row r="4804" ht="13.5" customHeight="1">
      <c r="A4804" s="8" t="s">
        <v>1545</v>
      </c>
      <c r="B4804" s="8">
        <v>57190.0</v>
      </c>
      <c r="C4804" s="8"/>
      <c r="D4804" s="8"/>
      <c r="E4804" s="8"/>
      <c r="F4804" s="8"/>
    </row>
    <row r="4805" ht="13.5" customHeight="1">
      <c r="A4805" s="8" t="s">
        <v>1484</v>
      </c>
      <c r="B4805" s="8">
        <v>57248.0</v>
      </c>
      <c r="C4805" s="8"/>
      <c r="D4805" s="8"/>
      <c r="E4805" s="8"/>
      <c r="F4805" s="8"/>
    </row>
    <row r="4806" ht="13.5" customHeight="1">
      <c r="A4806" s="8" t="s">
        <v>1462</v>
      </c>
      <c r="B4806" s="8">
        <v>57318.0</v>
      </c>
      <c r="C4806" s="8"/>
      <c r="D4806" s="8"/>
      <c r="E4806" s="8"/>
      <c r="F4806" s="8"/>
    </row>
    <row r="4807" ht="13.5" customHeight="1">
      <c r="A4807" s="8" t="s">
        <v>1972</v>
      </c>
      <c r="B4807" s="8">
        <v>57350.0</v>
      </c>
      <c r="C4807" s="8"/>
      <c r="D4807" s="8"/>
      <c r="E4807" s="8"/>
      <c r="F4807" s="8"/>
    </row>
    <row r="4808" ht="13.5" customHeight="1">
      <c r="A4808" s="8" t="s">
        <v>2050</v>
      </c>
      <c r="B4808" s="8">
        <v>57381.0</v>
      </c>
      <c r="C4808" s="8"/>
      <c r="D4808" s="8"/>
      <c r="E4808" s="8"/>
      <c r="F4808" s="8"/>
    </row>
    <row r="4809" ht="13.5" customHeight="1">
      <c r="A4809" s="8" t="s">
        <v>2038</v>
      </c>
      <c r="B4809" s="8">
        <v>57444.0</v>
      </c>
      <c r="C4809" s="8"/>
      <c r="D4809" s="8"/>
      <c r="E4809" s="8"/>
      <c r="F4809" s="8"/>
    </row>
    <row r="4810" ht="13.5" customHeight="1">
      <c r="A4810" s="8" t="s">
        <v>1524</v>
      </c>
      <c r="B4810" s="8">
        <v>57476.0</v>
      </c>
      <c r="C4810" s="8"/>
      <c r="D4810" s="8"/>
      <c r="E4810" s="8"/>
      <c r="F4810" s="8"/>
    </row>
    <row r="4811" ht="13.5" customHeight="1">
      <c r="A4811" s="8" t="s">
        <v>1637</v>
      </c>
      <c r="B4811" s="8">
        <v>57633.0</v>
      </c>
      <c r="C4811" s="8"/>
      <c r="D4811" s="8"/>
      <c r="E4811" s="8"/>
      <c r="F4811" s="8"/>
    </row>
    <row r="4812" ht="13.5" customHeight="1">
      <c r="A4812" s="8" t="s">
        <v>2040</v>
      </c>
      <c r="B4812" s="8">
        <v>57669.0</v>
      </c>
      <c r="C4812" s="8"/>
      <c r="D4812" s="8"/>
      <c r="E4812" s="8"/>
      <c r="F4812" s="8"/>
    </row>
    <row r="4813" ht="13.5" customHeight="1">
      <c r="A4813" s="8" t="s">
        <v>1475</v>
      </c>
      <c r="B4813" s="8">
        <v>57734.0</v>
      </c>
      <c r="C4813" s="8"/>
      <c r="D4813" s="8"/>
      <c r="E4813" s="8"/>
      <c r="F4813" s="8"/>
    </row>
    <row r="4814" ht="13.5" customHeight="1">
      <c r="A4814" s="8" t="s">
        <v>2057</v>
      </c>
      <c r="B4814" s="8">
        <v>57760.0</v>
      </c>
      <c r="C4814" s="8"/>
      <c r="D4814" s="8"/>
      <c r="E4814" s="8"/>
      <c r="F4814" s="8"/>
    </row>
    <row r="4815" ht="13.5" customHeight="1">
      <c r="A4815" s="8" t="s">
        <v>1651</v>
      </c>
      <c r="B4815" s="8">
        <v>57891.0</v>
      </c>
      <c r="C4815" s="8"/>
      <c r="D4815" s="8"/>
      <c r="E4815" s="8"/>
      <c r="F4815" s="8"/>
    </row>
    <row r="4816" ht="13.5" customHeight="1">
      <c r="A4816" s="8" t="s">
        <v>1458</v>
      </c>
      <c r="B4816" s="8">
        <v>58084.0</v>
      </c>
      <c r="C4816" s="8"/>
      <c r="D4816" s="8"/>
      <c r="E4816" s="8"/>
      <c r="F4816" s="8"/>
    </row>
    <row r="4817" ht="13.5" customHeight="1">
      <c r="A4817" s="8" t="s">
        <v>1455</v>
      </c>
      <c r="B4817" s="8">
        <v>58179.0</v>
      </c>
      <c r="C4817" s="8"/>
      <c r="D4817" s="8"/>
      <c r="E4817" s="8"/>
      <c r="F4817" s="8"/>
    </row>
    <row r="4818" ht="13.5" customHeight="1">
      <c r="A4818" s="8" t="s">
        <v>1567</v>
      </c>
      <c r="B4818" s="8">
        <v>58279.0</v>
      </c>
      <c r="C4818" s="8"/>
      <c r="D4818" s="8"/>
      <c r="E4818" s="8"/>
      <c r="F4818" s="8"/>
    </row>
    <row r="4819" ht="13.5" customHeight="1">
      <c r="A4819" s="8" t="s">
        <v>2006</v>
      </c>
      <c r="B4819" s="8">
        <v>58369.0</v>
      </c>
      <c r="C4819" s="8"/>
      <c r="D4819" s="8"/>
      <c r="E4819" s="8"/>
      <c r="F4819" s="8"/>
    </row>
    <row r="4820" ht="13.5" customHeight="1">
      <c r="A4820" s="8" t="s">
        <v>2038</v>
      </c>
      <c r="B4820" s="8">
        <v>58371.0</v>
      </c>
      <c r="C4820" s="8"/>
      <c r="D4820" s="8"/>
      <c r="E4820" s="8"/>
      <c r="F4820" s="8"/>
    </row>
    <row r="4821" ht="13.5" customHeight="1">
      <c r="A4821" s="8" t="s">
        <v>2036</v>
      </c>
      <c r="B4821" s="8">
        <v>58433.0</v>
      </c>
      <c r="C4821" s="8"/>
      <c r="D4821" s="8"/>
      <c r="E4821" s="8"/>
      <c r="F4821" s="8"/>
    </row>
    <row r="4822" ht="13.5" customHeight="1">
      <c r="A4822" s="8" t="s">
        <v>2039</v>
      </c>
      <c r="B4822" s="8">
        <v>58855.0</v>
      </c>
      <c r="C4822" s="8"/>
      <c r="D4822" s="8"/>
      <c r="E4822" s="8"/>
      <c r="F4822" s="8"/>
    </row>
    <row r="4823" ht="13.5" customHeight="1">
      <c r="A4823" s="8" t="s">
        <v>1512</v>
      </c>
      <c r="B4823" s="8">
        <v>59173.0</v>
      </c>
      <c r="C4823" s="8"/>
      <c r="D4823" s="8"/>
      <c r="E4823" s="8"/>
      <c r="F4823" s="8"/>
    </row>
    <row r="4824" ht="13.5" customHeight="1">
      <c r="A4824" s="8" t="s">
        <v>1523</v>
      </c>
      <c r="B4824" s="8">
        <v>59363.0</v>
      </c>
      <c r="C4824" s="8"/>
      <c r="D4824" s="8"/>
      <c r="E4824" s="8"/>
      <c r="F4824" s="8"/>
    </row>
    <row r="4825" ht="13.5" customHeight="1">
      <c r="A4825" s="8" t="s">
        <v>1458</v>
      </c>
      <c r="B4825" s="8">
        <v>59553.0</v>
      </c>
      <c r="C4825" s="8"/>
      <c r="D4825" s="8"/>
      <c r="E4825" s="8"/>
      <c r="F4825" s="8"/>
    </row>
    <row r="4826" ht="13.5" customHeight="1">
      <c r="A4826" s="8" t="s">
        <v>1482</v>
      </c>
      <c r="B4826" s="8">
        <v>59681.0</v>
      </c>
      <c r="C4826" s="8"/>
      <c r="D4826" s="8"/>
      <c r="E4826" s="8"/>
      <c r="F4826" s="8"/>
    </row>
    <row r="4827" ht="13.5" customHeight="1">
      <c r="A4827" s="8" t="s">
        <v>1467</v>
      </c>
      <c r="B4827" s="8">
        <v>59812.0</v>
      </c>
      <c r="C4827" s="8"/>
      <c r="D4827" s="8"/>
      <c r="E4827" s="8"/>
      <c r="F4827" s="8"/>
    </row>
    <row r="4828" ht="13.5" customHeight="1">
      <c r="A4828" s="8" t="s">
        <v>1488</v>
      </c>
      <c r="B4828" s="8">
        <v>59815.0</v>
      </c>
      <c r="C4828" s="8"/>
      <c r="D4828" s="8"/>
      <c r="E4828" s="8"/>
      <c r="F4828" s="8"/>
    </row>
    <row r="4829" ht="13.5" customHeight="1">
      <c r="A4829" s="8" t="s">
        <v>1491</v>
      </c>
      <c r="B4829" s="8">
        <v>59971.0</v>
      </c>
      <c r="C4829" s="8"/>
      <c r="D4829" s="8"/>
      <c r="E4829" s="8"/>
      <c r="F4829" s="8"/>
    </row>
    <row r="4830" ht="13.5" customHeight="1">
      <c r="A4830" s="8" t="s">
        <v>1782</v>
      </c>
      <c r="B4830" s="8">
        <v>481.0</v>
      </c>
      <c r="C4830" s="8"/>
      <c r="D4830" s="8"/>
      <c r="E4830" s="8"/>
      <c r="F4830" s="8"/>
    </row>
    <row r="4831" ht="13.5" customHeight="1">
      <c r="A4831" s="8" t="s">
        <v>1933</v>
      </c>
      <c r="B4831" s="8">
        <v>834.0</v>
      </c>
      <c r="C4831" s="8"/>
      <c r="D4831" s="8"/>
      <c r="E4831" s="8"/>
      <c r="F4831" s="8"/>
    </row>
    <row r="4832" ht="13.5" customHeight="1">
      <c r="A4832" s="8" t="s">
        <v>2061</v>
      </c>
      <c r="B4832" s="8">
        <v>1414.0</v>
      </c>
      <c r="C4832" s="8"/>
      <c r="D4832" s="8"/>
      <c r="E4832" s="8"/>
      <c r="F4832" s="8"/>
    </row>
    <row r="4833" ht="13.5" customHeight="1">
      <c r="A4833" s="8" t="s">
        <v>2062</v>
      </c>
      <c r="B4833" s="8">
        <v>2311.0</v>
      </c>
      <c r="C4833" s="8"/>
      <c r="D4833" s="8"/>
      <c r="E4833" s="8"/>
      <c r="F4833" s="8"/>
    </row>
    <row r="4834" ht="13.5" customHeight="1">
      <c r="A4834" s="8" t="s">
        <v>2063</v>
      </c>
      <c r="B4834" s="8">
        <v>2438.0</v>
      </c>
      <c r="C4834" s="8"/>
      <c r="D4834" s="8"/>
      <c r="E4834" s="8"/>
      <c r="F4834" s="8"/>
    </row>
    <row r="4835" ht="13.5" customHeight="1">
      <c r="A4835" s="8" t="s">
        <v>2064</v>
      </c>
      <c r="B4835" s="8">
        <v>2595.0</v>
      </c>
      <c r="C4835" s="8"/>
      <c r="D4835" s="8"/>
      <c r="E4835" s="8"/>
      <c r="F4835" s="8"/>
    </row>
    <row r="4836" ht="13.5" customHeight="1">
      <c r="A4836" s="8" t="s">
        <v>1644</v>
      </c>
      <c r="B4836" s="8">
        <v>2790.0</v>
      </c>
      <c r="C4836" s="8"/>
      <c r="D4836" s="8"/>
      <c r="E4836" s="8"/>
      <c r="F4836" s="8"/>
    </row>
    <row r="4837" ht="13.5" customHeight="1">
      <c r="A4837" s="8" t="s">
        <v>953</v>
      </c>
      <c r="B4837" s="8">
        <v>3395.0</v>
      </c>
      <c r="C4837" s="8"/>
      <c r="D4837" s="8"/>
      <c r="E4837" s="8"/>
      <c r="F4837" s="8"/>
    </row>
    <row r="4838" ht="13.5" customHeight="1">
      <c r="A4838" s="8" t="s">
        <v>2064</v>
      </c>
      <c r="B4838" s="8">
        <v>4195.0</v>
      </c>
      <c r="C4838" s="8"/>
      <c r="D4838" s="8"/>
      <c r="E4838" s="8"/>
      <c r="F4838" s="8"/>
    </row>
    <row r="4839" ht="13.5" customHeight="1">
      <c r="A4839" s="8" t="s">
        <v>1933</v>
      </c>
      <c r="B4839" s="8">
        <v>4391.0</v>
      </c>
      <c r="C4839" s="8"/>
      <c r="D4839" s="8"/>
      <c r="E4839" s="8"/>
      <c r="F4839" s="8"/>
    </row>
    <row r="4840" ht="13.5" customHeight="1">
      <c r="A4840" s="8" t="s">
        <v>1622</v>
      </c>
      <c r="B4840" s="8">
        <v>4422.0</v>
      </c>
      <c r="C4840" s="8"/>
      <c r="D4840" s="8"/>
      <c r="E4840" s="8"/>
      <c r="F4840" s="8"/>
    </row>
    <row r="4841" ht="13.5" customHeight="1">
      <c r="A4841" s="8" t="s">
        <v>797</v>
      </c>
      <c r="B4841" s="8">
        <v>4741.0</v>
      </c>
      <c r="C4841" s="8"/>
      <c r="D4841" s="8"/>
      <c r="E4841" s="8"/>
      <c r="F4841" s="8"/>
    </row>
    <row r="4842" ht="13.5" customHeight="1">
      <c r="A4842" s="8" t="s">
        <v>1933</v>
      </c>
      <c r="B4842" s="8">
        <v>4835.0</v>
      </c>
      <c r="C4842" s="8"/>
      <c r="D4842" s="8"/>
      <c r="E4842" s="8"/>
      <c r="F4842" s="8"/>
    </row>
    <row r="4843" ht="13.5" customHeight="1">
      <c r="A4843" s="8" t="s">
        <v>2064</v>
      </c>
      <c r="B4843" s="8">
        <v>5028.0</v>
      </c>
      <c r="C4843" s="8"/>
      <c r="D4843" s="8"/>
      <c r="E4843" s="8"/>
      <c r="F4843" s="8"/>
    </row>
    <row r="4844" ht="13.5" customHeight="1">
      <c r="A4844" s="8" t="s">
        <v>2066</v>
      </c>
      <c r="B4844" s="8">
        <v>5095.0</v>
      </c>
      <c r="C4844" s="8"/>
      <c r="D4844" s="8"/>
      <c r="E4844" s="8"/>
      <c r="F4844" s="8"/>
    </row>
    <row r="4845" ht="13.5" customHeight="1">
      <c r="A4845" s="8" t="s">
        <v>877</v>
      </c>
      <c r="B4845" s="8">
        <v>5317.0</v>
      </c>
      <c r="C4845" s="8"/>
      <c r="D4845" s="8"/>
      <c r="E4845" s="8"/>
      <c r="F4845" s="8"/>
    </row>
    <row r="4846" ht="13.5" customHeight="1">
      <c r="A4846" s="8" t="s">
        <v>1782</v>
      </c>
      <c r="B4846" s="8">
        <v>5735.0</v>
      </c>
      <c r="C4846" s="8"/>
      <c r="D4846" s="8"/>
      <c r="E4846" s="8"/>
      <c r="F4846" s="8"/>
    </row>
    <row r="4847" ht="13.5" customHeight="1">
      <c r="A4847" s="8" t="s">
        <v>877</v>
      </c>
      <c r="B4847" s="8">
        <v>5856.0</v>
      </c>
      <c r="C4847" s="8"/>
      <c r="D4847" s="8"/>
      <c r="E4847" s="8"/>
      <c r="F4847" s="8"/>
    </row>
    <row r="4848" ht="13.5" customHeight="1">
      <c r="A4848" s="8" t="s">
        <v>1782</v>
      </c>
      <c r="B4848" s="8">
        <v>5891.0</v>
      </c>
      <c r="C4848" s="8"/>
      <c r="D4848" s="8"/>
      <c r="E4848" s="8"/>
      <c r="F4848" s="8"/>
    </row>
    <row r="4849" ht="13.5" customHeight="1">
      <c r="A4849" s="8" t="s">
        <v>1933</v>
      </c>
      <c r="B4849" s="8">
        <v>6274.0</v>
      </c>
      <c r="C4849" s="8"/>
      <c r="D4849" s="8"/>
      <c r="E4849" s="8"/>
      <c r="F4849" s="8"/>
    </row>
    <row r="4850" ht="13.5" customHeight="1">
      <c r="A4850" s="8" t="s">
        <v>2064</v>
      </c>
      <c r="B4850" s="8">
        <v>6309.0</v>
      </c>
      <c r="C4850" s="8"/>
      <c r="D4850" s="8"/>
      <c r="E4850" s="8"/>
      <c r="F4850" s="8"/>
    </row>
    <row r="4851" ht="13.5" customHeight="1">
      <c r="A4851" s="8" t="s">
        <v>797</v>
      </c>
      <c r="B4851" s="8">
        <v>6368.0</v>
      </c>
      <c r="C4851" s="8"/>
      <c r="D4851" s="8"/>
      <c r="E4851" s="8"/>
      <c r="F4851" s="8"/>
    </row>
    <row r="4852" ht="13.5" customHeight="1">
      <c r="A4852" s="8" t="s">
        <v>1782</v>
      </c>
      <c r="B4852" s="8">
        <v>6978.0</v>
      </c>
      <c r="C4852" s="8"/>
      <c r="D4852" s="8"/>
      <c r="E4852" s="8"/>
      <c r="F4852" s="8"/>
    </row>
    <row r="4853" ht="13.5" customHeight="1">
      <c r="A4853" s="8" t="s">
        <v>2068</v>
      </c>
      <c r="B4853" s="8">
        <v>7461.0</v>
      </c>
      <c r="C4853" s="8"/>
      <c r="D4853" s="8"/>
      <c r="E4853" s="8"/>
      <c r="F4853" s="8"/>
    </row>
    <row r="4854" ht="13.5" customHeight="1">
      <c r="A4854" s="8" t="s">
        <v>1644</v>
      </c>
      <c r="B4854" s="8">
        <v>9505.0</v>
      </c>
      <c r="C4854" s="8"/>
      <c r="D4854" s="8"/>
      <c r="E4854" s="8"/>
      <c r="F4854" s="8"/>
    </row>
    <row r="4855" ht="13.5" customHeight="1">
      <c r="A4855" s="8" t="s">
        <v>1622</v>
      </c>
      <c r="B4855" s="8">
        <v>9794.0</v>
      </c>
      <c r="C4855" s="8"/>
      <c r="D4855" s="8"/>
      <c r="E4855" s="8"/>
      <c r="F4855" s="8"/>
    </row>
    <row r="4856" ht="13.5" customHeight="1">
      <c r="A4856" s="8" t="s">
        <v>877</v>
      </c>
      <c r="B4856" s="8">
        <v>10148.0</v>
      </c>
      <c r="C4856" s="8"/>
      <c r="D4856" s="8"/>
      <c r="E4856" s="8"/>
      <c r="F4856" s="8"/>
    </row>
    <row r="4857" ht="13.5" customHeight="1">
      <c r="A4857" s="8" t="s">
        <v>1933</v>
      </c>
      <c r="B4857" s="8">
        <v>11045.0</v>
      </c>
      <c r="C4857" s="8"/>
      <c r="D4857" s="8"/>
      <c r="E4857" s="8"/>
      <c r="F4857" s="8"/>
    </row>
    <row r="4858" ht="13.5" customHeight="1">
      <c r="A4858" s="8" t="s">
        <v>1627</v>
      </c>
      <c r="B4858" s="8">
        <v>11074.0</v>
      </c>
      <c r="C4858" s="8"/>
      <c r="D4858" s="8"/>
      <c r="E4858" s="8"/>
      <c r="F4858" s="8"/>
    </row>
    <row r="4859" ht="13.5" customHeight="1">
      <c r="A4859" s="8" t="s">
        <v>2069</v>
      </c>
      <c r="B4859" s="8">
        <v>12449.0</v>
      </c>
      <c r="C4859" s="8"/>
      <c r="D4859" s="8"/>
      <c r="E4859" s="8"/>
      <c r="F4859" s="8"/>
    </row>
    <row r="4860" ht="13.5" customHeight="1">
      <c r="A4860" s="8" t="s">
        <v>2066</v>
      </c>
      <c r="B4860" s="8">
        <v>14661.0</v>
      </c>
      <c r="C4860" s="8"/>
      <c r="D4860" s="8"/>
      <c r="E4860" s="8"/>
      <c r="F4860" s="8"/>
    </row>
    <row r="4861" ht="13.5" customHeight="1">
      <c r="A4861" s="8" t="s">
        <v>2062</v>
      </c>
      <c r="B4861" s="8">
        <v>15303.0</v>
      </c>
      <c r="C4861" s="8"/>
      <c r="D4861" s="8"/>
      <c r="E4861" s="8"/>
      <c r="F4861" s="8"/>
    </row>
    <row r="4862" ht="13.5" customHeight="1">
      <c r="A4862" s="8" t="s">
        <v>953</v>
      </c>
      <c r="B4862" s="8">
        <v>15622.0</v>
      </c>
      <c r="C4862" s="8"/>
      <c r="D4862" s="8"/>
      <c r="E4862" s="8"/>
      <c r="F4862" s="8"/>
    </row>
    <row r="4863" ht="13.5" customHeight="1">
      <c r="A4863" s="8" t="s">
        <v>2070</v>
      </c>
      <c r="B4863" s="8">
        <v>15778.0</v>
      </c>
      <c r="C4863" s="8"/>
      <c r="D4863" s="8"/>
      <c r="E4863" s="8"/>
      <c r="F4863" s="8"/>
    </row>
    <row r="4864" ht="13.5" customHeight="1">
      <c r="A4864" s="8" t="s">
        <v>2069</v>
      </c>
      <c r="B4864" s="8">
        <v>16166.0</v>
      </c>
      <c r="C4864" s="8"/>
      <c r="D4864" s="8"/>
      <c r="E4864" s="8"/>
      <c r="F4864" s="8"/>
    </row>
    <row r="4865" ht="13.5" customHeight="1">
      <c r="A4865" s="8" t="s">
        <v>2063</v>
      </c>
      <c r="B4865" s="8">
        <v>16768.0</v>
      </c>
      <c r="C4865" s="8"/>
      <c r="D4865" s="8"/>
      <c r="E4865" s="8"/>
      <c r="F4865" s="8"/>
    </row>
    <row r="4866" ht="13.5" customHeight="1">
      <c r="A4866" s="8" t="s">
        <v>1622</v>
      </c>
      <c r="B4866" s="8">
        <v>17313.0</v>
      </c>
      <c r="C4866" s="8"/>
      <c r="D4866" s="8"/>
      <c r="E4866" s="8"/>
      <c r="F4866" s="8"/>
    </row>
    <row r="4867" ht="13.5" customHeight="1">
      <c r="A4867" s="8" t="s">
        <v>2061</v>
      </c>
      <c r="B4867" s="8">
        <v>17447.0</v>
      </c>
      <c r="C4867" s="8"/>
      <c r="D4867" s="8"/>
      <c r="E4867" s="8"/>
      <c r="F4867" s="8"/>
    </row>
    <row r="4868" ht="13.5" customHeight="1">
      <c r="A4868" s="8" t="s">
        <v>2066</v>
      </c>
      <c r="B4868" s="8">
        <v>18145.0</v>
      </c>
      <c r="C4868" s="8"/>
      <c r="D4868" s="8"/>
      <c r="E4868" s="8"/>
      <c r="F4868" s="8"/>
    </row>
    <row r="4869" ht="13.5" customHeight="1">
      <c r="A4869" s="8" t="s">
        <v>1933</v>
      </c>
      <c r="B4869" s="8">
        <v>18215.0</v>
      </c>
      <c r="C4869" s="8"/>
      <c r="D4869" s="8"/>
      <c r="E4869" s="8"/>
      <c r="F4869" s="8"/>
    </row>
    <row r="4870" ht="13.5" customHeight="1">
      <c r="A4870" s="8" t="s">
        <v>2062</v>
      </c>
      <c r="B4870" s="8">
        <v>18598.0</v>
      </c>
      <c r="C4870" s="8"/>
      <c r="D4870" s="8"/>
      <c r="E4870" s="8"/>
      <c r="F4870" s="8"/>
    </row>
    <row r="4871" ht="13.5" customHeight="1">
      <c r="A4871" s="8" t="s">
        <v>1627</v>
      </c>
      <c r="B4871" s="8">
        <v>19234.0</v>
      </c>
      <c r="C4871" s="8"/>
      <c r="D4871" s="8"/>
      <c r="E4871" s="8"/>
      <c r="F4871" s="8"/>
    </row>
    <row r="4872" ht="13.5" customHeight="1">
      <c r="A4872" s="8" t="s">
        <v>2061</v>
      </c>
      <c r="B4872" s="8">
        <v>19555.0</v>
      </c>
      <c r="C4872" s="8"/>
      <c r="D4872" s="8"/>
      <c r="E4872" s="8"/>
      <c r="F4872" s="8"/>
    </row>
    <row r="4873" ht="13.5" customHeight="1">
      <c r="A4873" s="8" t="s">
        <v>1933</v>
      </c>
      <c r="B4873" s="8">
        <v>19843.0</v>
      </c>
      <c r="C4873" s="8"/>
      <c r="D4873" s="8"/>
      <c r="E4873" s="8"/>
      <c r="F4873" s="8"/>
    </row>
    <row r="4874" ht="13.5" customHeight="1">
      <c r="A4874" s="8" t="s">
        <v>2066</v>
      </c>
      <c r="B4874" s="8">
        <v>20646.0</v>
      </c>
      <c r="C4874" s="8"/>
      <c r="D4874" s="8"/>
      <c r="E4874" s="8"/>
      <c r="F4874" s="8"/>
    </row>
    <row r="4875" ht="13.5" customHeight="1">
      <c r="A4875" s="8" t="s">
        <v>2061</v>
      </c>
      <c r="B4875" s="8">
        <v>21222.0</v>
      </c>
      <c r="C4875" s="8"/>
      <c r="D4875" s="8"/>
      <c r="E4875" s="8"/>
      <c r="F4875" s="8"/>
    </row>
    <row r="4876" ht="13.5" customHeight="1">
      <c r="A4876" s="8" t="s">
        <v>2062</v>
      </c>
      <c r="B4876" s="8">
        <v>22755.0</v>
      </c>
      <c r="C4876" s="8"/>
      <c r="D4876" s="8"/>
      <c r="E4876" s="8"/>
      <c r="F4876" s="8"/>
    </row>
    <row r="4877" ht="13.5" customHeight="1">
      <c r="A4877" s="8" t="s">
        <v>2070</v>
      </c>
      <c r="B4877" s="8">
        <v>23136.0</v>
      </c>
      <c r="C4877" s="8"/>
      <c r="D4877" s="8"/>
      <c r="E4877" s="8"/>
      <c r="F4877" s="8"/>
    </row>
    <row r="4878" ht="13.5" customHeight="1">
      <c r="A4878" s="8" t="s">
        <v>1627</v>
      </c>
      <c r="B4878" s="8">
        <v>23685.0</v>
      </c>
      <c r="C4878" s="8"/>
      <c r="D4878" s="8"/>
      <c r="E4878" s="8"/>
      <c r="F4878" s="8"/>
    </row>
    <row r="4879" ht="13.5" customHeight="1">
      <c r="A4879" s="8" t="s">
        <v>2049</v>
      </c>
      <c r="B4879" s="8">
        <v>23745.0</v>
      </c>
      <c r="C4879" s="8"/>
      <c r="D4879" s="8"/>
      <c r="E4879" s="8"/>
      <c r="F4879" s="8"/>
    </row>
    <row r="4880" ht="13.5" customHeight="1">
      <c r="A4880" s="8" t="s">
        <v>953</v>
      </c>
      <c r="B4880" s="8">
        <v>25571.0</v>
      </c>
      <c r="C4880" s="8"/>
      <c r="D4880" s="8"/>
      <c r="E4880" s="8"/>
      <c r="F4880" s="8"/>
    </row>
    <row r="4881" ht="13.5" customHeight="1">
      <c r="A4881" s="8" t="s">
        <v>1627</v>
      </c>
      <c r="B4881" s="8">
        <v>26053.0</v>
      </c>
      <c r="C4881" s="8"/>
      <c r="D4881" s="8"/>
      <c r="E4881" s="8"/>
      <c r="F4881" s="8"/>
    </row>
    <row r="4882" ht="13.5" customHeight="1">
      <c r="A4882" s="8" t="s">
        <v>2064</v>
      </c>
      <c r="B4882" s="8">
        <v>26277.0</v>
      </c>
      <c r="C4882" s="8"/>
      <c r="D4882" s="8"/>
      <c r="E4882" s="8"/>
      <c r="F4882" s="8"/>
    </row>
    <row r="4883" ht="13.5" customHeight="1">
      <c r="A4883" s="8" t="s">
        <v>2064</v>
      </c>
      <c r="B4883" s="8">
        <v>26374.0</v>
      </c>
      <c r="C4883" s="8"/>
      <c r="D4883" s="8"/>
      <c r="E4883" s="8"/>
      <c r="F4883" s="8"/>
    </row>
    <row r="4884" ht="13.5" customHeight="1">
      <c r="A4884" s="8" t="s">
        <v>1228</v>
      </c>
      <c r="B4884" s="8">
        <v>26944.0</v>
      </c>
      <c r="C4884" s="8"/>
      <c r="D4884" s="8"/>
      <c r="E4884" s="8"/>
      <c r="F4884" s="8"/>
    </row>
    <row r="4885" ht="13.5" customHeight="1">
      <c r="A4885" s="8" t="s">
        <v>2062</v>
      </c>
      <c r="B4885" s="8">
        <v>27013.0</v>
      </c>
      <c r="C4885" s="8"/>
      <c r="D4885" s="8"/>
      <c r="E4885" s="8"/>
      <c r="F4885" s="8"/>
    </row>
    <row r="4886" ht="13.5" customHeight="1">
      <c r="A4886" s="8" t="s">
        <v>797</v>
      </c>
      <c r="B4886" s="8">
        <v>27904.0</v>
      </c>
      <c r="C4886" s="8"/>
      <c r="D4886" s="8"/>
      <c r="E4886" s="8"/>
      <c r="F4886" s="8"/>
    </row>
    <row r="4887" ht="13.5" customHeight="1">
      <c r="A4887" s="8" t="s">
        <v>1228</v>
      </c>
      <c r="B4887" s="8">
        <v>29767.0</v>
      </c>
      <c r="C4887" s="8"/>
      <c r="D4887" s="8"/>
      <c r="E4887" s="8"/>
      <c r="F4887" s="8"/>
    </row>
    <row r="4888" ht="13.5" customHeight="1">
      <c r="A4888" s="8" t="s">
        <v>953</v>
      </c>
      <c r="B4888" s="8">
        <v>29826.0</v>
      </c>
      <c r="C4888" s="8"/>
      <c r="D4888" s="8"/>
      <c r="E4888" s="8"/>
      <c r="F4888" s="8"/>
    </row>
    <row r="4889" ht="13.5" customHeight="1">
      <c r="A4889" s="8" t="s">
        <v>2070</v>
      </c>
      <c r="B4889" s="8">
        <v>30566.0</v>
      </c>
      <c r="C4889" s="8"/>
      <c r="D4889" s="8"/>
      <c r="E4889" s="8"/>
      <c r="F4889" s="8"/>
    </row>
    <row r="4890" ht="13.5" customHeight="1">
      <c r="A4890" s="8" t="s">
        <v>2063</v>
      </c>
      <c r="B4890" s="8">
        <v>30852.0</v>
      </c>
      <c r="C4890" s="8"/>
      <c r="D4890" s="8"/>
      <c r="E4890" s="8"/>
      <c r="F4890" s="8"/>
    </row>
    <row r="4891" ht="13.5" customHeight="1">
      <c r="A4891" s="8" t="s">
        <v>877</v>
      </c>
      <c r="B4891" s="8">
        <v>31204.0</v>
      </c>
      <c r="C4891" s="8"/>
      <c r="D4891" s="8"/>
      <c r="E4891" s="8"/>
      <c r="F4891" s="8"/>
    </row>
    <row r="4892" ht="13.5" customHeight="1">
      <c r="A4892" s="8" t="s">
        <v>2063</v>
      </c>
      <c r="B4892" s="8">
        <v>32513.0</v>
      </c>
      <c r="C4892" s="8"/>
      <c r="D4892" s="8"/>
      <c r="E4892" s="8"/>
      <c r="F4892" s="8"/>
    </row>
    <row r="4893" ht="13.5" customHeight="1">
      <c r="A4893" s="8" t="s">
        <v>2062</v>
      </c>
      <c r="B4893" s="8">
        <v>32641.0</v>
      </c>
      <c r="C4893" s="8"/>
      <c r="D4893" s="8"/>
      <c r="E4893" s="8"/>
      <c r="F4893" s="8"/>
    </row>
    <row r="4894" ht="13.5" customHeight="1">
      <c r="A4894" s="8" t="s">
        <v>2069</v>
      </c>
      <c r="B4894" s="8">
        <v>33729.0</v>
      </c>
      <c r="C4894" s="8"/>
      <c r="D4894" s="8"/>
      <c r="E4894" s="8"/>
      <c r="F4894" s="8"/>
    </row>
    <row r="4895" ht="13.5" customHeight="1">
      <c r="A4895" s="8" t="s">
        <v>2070</v>
      </c>
      <c r="B4895" s="8">
        <v>34083.0</v>
      </c>
      <c r="C4895" s="8"/>
      <c r="D4895" s="8"/>
      <c r="E4895" s="8"/>
      <c r="F4895" s="8"/>
    </row>
    <row r="4896" ht="13.5" customHeight="1">
      <c r="A4896" s="8" t="s">
        <v>2061</v>
      </c>
      <c r="B4896" s="8">
        <v>34532.0</v>
      </c>
      <c r="C4896" s="8"/>
      <c r="D4896" s="8"/>
      <c r="E4896" s="8"/>
      <c r="F4896" s="8"/>
    </row>
    <row r="4897" ht="13.5" customHeight="1">
      <c r="A4897" s="8" t="s">
        <v>2066</v>
      </c>
      <c r="B4897" s="8">
        <v>35139.0</v>
      </c>
      <c r="C4897" s="8"/>
      <c r="D4897" s="8"/>
      <c r="E4897" s="8"/>
      <c r="F4897" s="8"/>
    </row>
    <row r="4898" ht="13.5" customHeight="1">
      <c r="A4898" s="8" t="s">
        <v>2070</v>
      </c>
      <c r="B4898" s="8">
        <v>35239.0</v>
      </c>
      <c r="C4898" s="8"/>
      <c r="D4898" s="8"/>
      <c r="E4898" s="8"/>
      <c r="F4898" s="8"/>
    </row>
    <row r="4899" ht="13.5" customHeight="1">
      <c r="A4899" s="8" t="s">
        <v>1627</v>
      </c>
      <c r="B4899" s="8">
        <v>35875.0</v>
      </c>
      <c r="C4899" s="8"/>
      <c r="D4899" s="8"/>
      <c r="E4899" s="8"/>
      <c r="F4899" s="8"/>
    </row>
    <row r="4900" ht="13.5" customHeight="1">
      <c r="A4900" s="8" t="s">
        <v>1597</v>
      </c>
      <c r="B4900" s="8">
        <v>37125.0</v>
      </c>
      <c r="C4900" s="8"/>
      <c r="D4900" s="8"/>
      <c r="E4900" s="8"/>
      <c r="F4900" s="8"/>
    </row>
    <row r="4901" ht="13.5" customHeight="1">
      <c r="A4901" s="8" t="s">
        <v>797</v>
      </c>
      <c r="B4901" s="8">
        <v>37158.0</v>
      </c>
      <c r="C4901" s="8"/>
      <c r="D4901" s="8"/>
      <c r="E4901" s="8"/>
      <c r="F4901" s="8"/>
    </row>
    <row r="4902" ht="13.5" customHeight="1">
      <c r="A4902" s="8" t="s">
        <v>2062</v>
      </c>
      <c r="B4902" s="8">
        <v>37380.0</v>
      </c>
      <c r="C4902" s="8"/>
      <c r="D4902" s="8"/>
      <c r="E4902" s="8"/>
      <c r="F4902" s="8"/>
    </row>
    <row r="4903" ht="13.5" customHeight="1">
      <c r="A4903" s="8" t="s">
        <v>797</v>
      </c>
      <c r="B4903" s="8">
        <v>37445.0</v>
      </c>
      <c r="C4903" s="8"/>
      <c r="D4903" s="8"/>
      <c r="E4903" s="8"/>
      <c r="F4903" s="8"/>
    </row>
    <row r="4904" ht="13.5" customHeight="1">
      <c r="A4904" s="8" t="s">
        <v>1228</v>
      </c>
      <c r="B4904" s="8">
        <v>38212.0</v>
      </c>
      <c r="C4904" s="8"/>
      <c r="D4904" s="8"/>
      <c r="E4904" s="8"/>
      <c r="F4904" s="8"/>
    </row>
    <row r="4905" ht="13.5" customHeight="1">
      <c r="A4905" s="8" t="s">
        <v>2049</v>
      </c>
      <c r="B4905" s="8">
        <v>38661.0</v>
      </c>
      <c r="C4905" s="8"/>
      <c r="D4905" s="8"/>
      <c r="E4905" s="8"/>
      <c r="F4905" s="8"/>
    </row>
    <row r="4906" ht="13.5" customHeight="1">
      <c r="A4906" s="8" t="s">
        <v>1228</v>
      </c>
      <c r="B4906" s="8">
        <v>39110.0</v>
      </c>
      <c r="C4906" s="8"/>
      <c r="D4906" s="8"/>
      <c r="E4906" s="8"/>
      <c r="F4906" s="8"/>
    </row>
    <row r="4907" ht="13.5" customHeight="1">
      <c r="A4907" s="8" t="s">
        <v>2066</v>
      </c>
      <c r="B4907" s="8">
        <v>39235.0</v>
      </c>
      <c r="C4907" s="8"/>
      <c r="D4907" s="8"/>
      <c r="E4907" s="8"/>
      <c r="F4907" s="8"/>
    </row>
    <row r="4908" ht="13.5" customHeight="1">
      <c r="A4908" s="8" t="s">
        <v>2068</v>
      </c>
      <c r="B4908" s="8">
        <v>39270.0</v>
      </c>
      <c r="C4908" s="8"/>
      <c r="D4908" s="8"/>
      <c r="E4908" s="8"/>
      <c r="F4908" s="8"/>
    </row>
    <row r="4909" ht="13.5" customHeight="1">
      <c r="A4909" s="8" t="s">
        <v>2066</v>
      </c>
      <c r="B4909" s="8">
        <v>39586.0</v>
      </c>
      <c r="C4909" s="8"/>
      <c r="D4909" s="8"/>
      <c r="E4909" s="8"/>
      <c r="F4909" s="8"/>
    </row>
    <row r="4910" ht="13.5" customHeight="1">
      <c r="A4910" s="8" t="s">
        <v>2068</v>
      </c>
      <c r="B4910" s="8">
        <v>39812.0</v>
      </c>
      <c r="C4910" s="8"/>
      <c r="D4910" s="8"/>
      <c r="E4910" s="8"/>
      <c r="F4910" s="8"/>
    </row>
    <row r="4911" ht="13.5" customHeight="1">
      <c r="A4911" s="8" t="s">
        <v>1782</v>
      </c>
      <c r="B4911" s="8">
        <v>40673.0</v>
      </c>
      <c r="C4911" s="8"/>
      <c r="D4911" s="8"/>
      <c r="E4911" s="8"/>
      <c r="F4911" s="8"/>
    </row>
    <row r="4912" ht="13.5" customHeight="1">
      <c r="A4912" s="8" t="s">
        <v>2064</v>
      </c>
      <c r="B4912" s="8">
        <v>41413.0</v>
      </c>
      <c r="C4912" s="8"/>
      <c r="D4912" s="8"/>
      <c r="E4912" s="8"/>
      <c r="F4912" s="8"/>
    </row>
    <row r="4913" ht="13.5" customHeight="1">
      <c r="A4913" s="8" t="s">
        <v>2064</v>
      </c>
      <c r="B4913" s="8">
        <v>41824.0</v>
      </c>
      <c r="C4913" s="8"/>
      <c r="D4913" s="8"/>
      <c r="E4913" s="8"/>
      <c r="F4913" s="8"/>
    </row>
    <row r="4914" ht="13.5" customHeight="1">
      <c r="A4914" s="8" t="s">
        <v>1106</v>
      </c>
      <c r="B4914" s="8">
        <v>42628.0</v>
      </c>
      <c r="C4914" s="8"/>
      <c r="D4914" s="8"/>
      <c r="E4914" s="8"/>
      <c r="F4914" s="8"/>
    </row>
    <row r="4915" ht="13.5" customHeight="1">
      <c r="A4915" s="8" t="s">
        <v>2062</v>
      </c>
      <c r="B4915" s="8">
        <v>42722.0</v>
      </c>
      <c r="C4915" s="8"/>
      <c r="D4915" s="8"/>
      <c r="E4915" s="8"/>
      <c r="F4915" s="8"/>
    </row>
    <row r="4916" ht="13.5" customHeight="1">
      <c r="A4916" s="8" t="s">
        <v>2069</v>
      </c>
      <c r="B4916" s="8">
        <v>42753.0</v>
      </c>
      <c r="C4916" s="8"/>
      <c r="D4916" s="8"/>
      <c r="E4916" s="8"/>
      <c r="F4916" s="8"/>
    </row>
    <row r="4917" ht="13.5" customHeight="1">
      <c r="A4917" s="8" t="s">
        <v>2066</v>
      </c>
      <c r="B4917" s="8">
        <v>43013.0</v>
      </c>
      <c r="C4917" s="8"/>
      <c r="D4917" s="8"/>
      <c r="E4917" s="8"/>
      <c r="F4917" s="8"/>
    </row>
    <row r="4918" ht="13.5" customHeight="1">
      <c r="A4918" s="8" t="s">
        <v>2068</v>
      </c>
      <c r="B4918" s="8">
        <v>44198.0</v>
      </c>
      <c r="C4918" s="8"/>
      <c r="D4918" s="8"/>
      <c r="E4918" s="8"/>
      <c r="F4918" s="8"/>
    </row>
    <row r="4919" ht="13.5" customHeight="1">
      <c r="A4919" s="8" t="s">
        <v>2069</v>
      </c>
      <c r="B4919" s="8">
        <v>44834.0</v>
      </c>
      <c r="C4919" s="8"/>
      <c r="D4919" s="8"/>
      <c r="E4919" s="8"/>
      <c r="F4919" s="8"/>
    </row>
    <row r="4920" ht="13.5" customHeight="1">
      <c r="A4920" s="8" t="s">
        <v>1106</v>
      </c>
      <c r="B4920" s="8">
        <v>46053.0</v>
      </c>
      <c r="C4920" s="8"/>
      <c r="D4920" s="8"/>
      <c r="E4920" s="8"/>
      <c r="F4920" s="8"/>
    </row>
    <row r="4921" ht="13.5" customHeight="1">
      <c r="A4921" s="8" t="s">
        <v>2068</v>
      </c>
      <c r="B4921" s="8">
        <v>47329.0</v>
      </c>
      <c r="C4921" s="8"/>
      <c r="D4921" s="8"/>
      <c r="E4921" s="8"/>
      <c r="F4921" s="8"/>
    </row>
    <row r="4922" ht="13.5" customHeight="1">
      <c r="A4922" s="8" t="s">
        <v>877</v>
      </c>
      <c r="B4922" s="8">
        <v>47461.0</v>
      </c>
      <c r="C4922" s="8"/>
      <c r="D4922" s="8"/>
      <c r="E4922" s="8"/>
      <c r="F4922" s="8"/>
    </row>
    <row r="4923" ht="13.5" customHeight="1">
      <c r="A4923" s="8" t="s">
        <v>2069</v>
      </c>
      <c r="B4923" s="8">
        <v>47525.0</v>
      </c>
      <c r="C4923" s="8"/>
      <c r="D4923" s="8"/>
      <c r="E4923" s="8"/>
      <c r="F4923" s="8"/>
    </row>
    <row r="4924" ht="13.5" customHeight="1">
      <c r="A4924" s="8" t="s">
        <v>877</v>
      </c>
      <c r="B4924" s="8">
        <v>48803.0</v>
      </c>
      <c r="C4924" s="8"/>
      <c r="D4924" s="8"/>
      <c r="E4924" s="8"/>
      <c r="F4924" s="8"/>
    </row>
    <row r="4925" ht="13.5" customHeight="1">
      <c r="A4925" s="8" t="s">
        <v>2062</v>
      </c>
      <c r="B4925" s="8">
        <v>49027.0</v>
      </c>
      <c r="C4925" s="8"/>
      <c r="D4925" s="8"/>
      <c r="E4925" s="8"/>
      <c r="F4925" s="8"/>
    </row>
    <row r="4926" ht="13.5" customHeight="1">
      <c r="A4926" s="8" t="s">
        <v>2061</v>
      </c>
      <c r="B4926" s="8">
        <v>50822.0</v>
      </c>
      <c r="C4926" s="8"/>
      <c r="D4926" s="8"/>
      <c r="E4926" s="8"/>
      <c r="F4926" s="8"/>
    </row>
    <row r="4927" ht="13.5" customHeight="1">
      <c r="A4927" s="8" t="s">
        <v>2066</v>
      </c>
      <c r="B4927" s="8">
        <v>51714.0</v>
      </c>
      <c r="C4927" s="8"/>
      <c r="D4927" s="8"/>
      <c r="E4927" s="8"/>
      <c r="F4927" s="8"/>
    </row>
    <row r="4928" ht="13.5" customHeight="1">
      <c r="A4928" s="8" t="s">
        <v>2069</v>
      </c>
      <c r="B4928" s="8">
        <v>51815.0</v>
      </c>
      <c r="C4928" s="8"/>
      <c r="D4928" s="8"/>
      <c r="E4928" s="8"/>
      <c r="F4928" s="8"/>
    </row>
    <row r="4929" ht="13.5" customHeight="1">
      <c r="A4929" s="8" t="s">
        <v>1782</v>
      </c>
      <c r="B4929" s="8">
        <v>51906.0</v>
      </c>
      <c r="C4929" s="8"/>
      <c r="D4929" s="8"/>
      <c r="E4929" s="8"/>
      <c r="F4929" s="8"/>
    </row>
    <row r="4930" ht="13.5" customHeight="1">
      <c r="A4930" s="8" t="s">
        <v>1597</v>
      </c>
      <c r="B4930" s="8">
        <v>52128.0</v>
      </c>
      <c r="C4930" s="8"/>
      <c r="D4930" s="8"/>
      <c r="E4930" s="8"/>
      <c r="F4930" s="8"/>
    </row>
    <row r="4931" ht="13.5" customHeight="1">
      <c r="A4931" s="8" t="s">
        <v>877</v>
      </c>
      <c r="B4931" s="8">
        <v>52675.0</v>
      </c>
      <c r="C4931" s="8"/>
      <c r="D4931" s="8"/>
      <c r="E4931" s="8"/>
      <c r="F4931" s="8"/>
    </row>
    <row r="4932" ht="13.5" customHeight="1">
      <c r="A4932" s="8" t="s">
        <v>2049</v>
      </c>
      <c r="B4932" s="8">
        <v>53189.0</v>
      </c>
      <c r="C4932" s="8"/>
      <c r="D4932" s="8"/>
      <c r="E4932" s="8"/>
      <c r="F4932" s="8"/>
    </row>
    <row r="4933" ht="13.5" customHeight="1">
      <c r="A4933" s="8" t="s">
        <v>2066</v>
      </c>
      <c r="B4933" s="8">
        <v>54307.0</v>
      </c>
      <c r="C4933" s="8"/>
      <c r="D4933" s="8"/>
      <c r="E4933" s="8"/>
      <c r="F4933" s="8"/>
    </row>
    <row r="4934" ht="13.5" customHeight="1">
      <c r="A4934" s="8" t="s">
        <v>2069</v>
      </c>
      <c r="B4934" s="8">
        <v>54917.0</v>
      </c>
      <c r="C4934" s="8"/>
      <c r="D4934" s="8"/>
      <c r="E4934" s="8"/>
      <c r="F4934" s="8"/>
    </row>
    <row r="4935" ht="13.5" customHeight="1">
      <c r="A4935" s="8" t="s">
        <v>2049</v>
      </c>
      <c r="B4935" s="8">
        <v>57511.0</v>
      </c>
      <c r="C4935" s="8"/>
      <c r="D4935" s="8"/>
      <c r="E4935" s="8"/>
      <c r="F4935" s="8"/>
    </row>
    <row r="4936" ht="13.5" customHeight="1">
      <c r="A4936" s="8" t="s">
        <v>2069</v>
      </c>
      <c r="B4936" s="8">
        <v>57857.0</v>
      </c>
      <c r="C4936" s="8"/>
      <c r="D4936" s="8"/>
      <c r="E4936" s="8"/>
      <c r="F4936" s="8"/>
    </row>
    <row r="4937" ht="13.5" customHeight="1">
      <c r="A4937" s="8" t="s">
        <v>2069</v>
      </c>
      <c r="B4937" s="8">
        <v>57861.0</v>
      </c>
      <c r="C4937" s="8"/>
      <c r="D4937" s="8"/>
      <c r="E4937" s="8"/>
      <c r="F4937" s="8"/>
    </row>
    <row r="4938" ht="13.5" customHeight="1">
      <c r="A4938" s="8" t="s">
        <v>877</v>
      </c>
      <c r="B4938" s="8">
        <v>58247.0</v>
      </c>
      <c r="C4938" s="8"/>
      <c r="D4938" s="8"/>
      <c r="E4938" s="8"/>
      <c r="F4938" s="8"/>
    </row>
    <row r="4939" ht="13.5" customHeight="1">
      <c r="A4939" s="8" t="s">
        <v>2070</v>
      </c>
      <c r="B4939" s="8">
        <v>58470.0</v>
      </c>
      <c r="C4939" s="8"/>
      <c r="D4939" s="8"/>
      <c r="E4939" s="8"/>
      <c r="F4939" s="8"/>
    </row>
    <row r="4940" ht="13.5" customHeight="1">
      <c r="A4940" s="8" t="s">
        <v>2063</v>
      </c>
      <c r="B4940" s="8">
        <v>58759.0</v>
      </c>
      <c r="C4940" s="8"/>
      <c r="D4940" s="8"/>
      <c r="E4940" s="8"/>
      <c r="F4940" s="8"/>
    </row>
    <row r="4941" ht="13.5" customHeight="1">
      <c r="A4941" s="8" t="s">
        <v>1782</v>
      </c>
      <c r="B4941" s="8">
        <v>59780.0</v>
      </c>
      <c r="C4941" s="8"/>
      <c r="D4941" s="8"/>
      <c r="E4941" s="8"/>
      <c r="F4941" s="8"/>
    </row>
    <row r="4942" ht="13.5" customHeight="1">
      <c r="A4942" s="8" t="s">
        <v>2020</v>
      </c>
      <c r="B4942" s="8">
        <v>358.0</v>
      </c>
      <c r="C4942" s="8"/>
      <c r="D4942" s="8"/>
      <c r="E4942" s="8"/>
      <c r="F4942" s="8"/>
    </row>
    <row r="4943" ht="13.5" customHeight="1">
      <c r="A4943" s="8" t="s">
        <v>2074</v>
      </c>
      <c r="B4943" s="8">
        <v>1767.0</v>
      </c>
      <c r="C4943" s="8"/>
      <c r="D4943" s="8"/>
      <c r="E4943" s="8"/>
      <c r="F4943" s="8"/>
    </row>
    <row r="4944" ht="13.5" customHeight="1">
      <c r="A4944" s="8" t="s">
        <v>2075</v>
      </c>
      <c r="B4944" s="8">
        <v>1863.0</v>
      </c>
      <c r="C4944" s="8"/>
      <c r="D4944" s="8"/>
      <c r="E4944" s="8"/>
      <c r="F4944" s="8"/>
    </row>
    <row r="4945" ht="13.5" customHeight="1">
      <c r="A4945" s="8" t="s">
        <v>2076</v>
      </c>
      <c r="B4945" s="8">
        <v>2915.0</v>
      </c>
      <c r="C4945" s="8"/>
      <c r="D4945" s="8"/>
      <c r="E4945" s="8"/>
      <c r="F4945" s="8"/>
    </row>
    <row r="4946" ht="13.5" customHeight="1">
      <c r="A4946" s="8" t="s">
        <v>2075</v>
      </c>
      <c r="B4946" s="8">
        <v>3046.0</v>
      </c>
      <c r="C4946" s="8"/>
      <c r="D4946" s="8"/>
      <c r="E4946" s="8"/>
      <c r="F4946" s="8"/>
    </row>
    <row r="4947" ht="13.5" customHeight="1">
      <c r="A4947" s="8" t="s">
        <v>2042</v>
      </c>
      <c r="B4947" s="8">
        <v>4389.0</v>
      </c>
      <c r="C4947" s="8"/>
      <c r="D4947" s="8"/>
      <c r="E4947" s="8"/>
      <c r="F4947" s="8"/>
    </row>
    <row r="4948" ht="13.5" customHeight="1">
      <c r="A4948" s="8" t="s">
        <v>1927</v>
      </c>
      <c r="B4948" s="8">
        <v>6180.0</v>
      </c>
      <c r="C4948" s="8"/>
      <c r="D4948" s="8"/>
      <c r="E4948" s="8"/>
      <c r="F4948" s="8"/>
    </row>
    <row r="4949" ht="13.5" customHeight="1">
      <c r="A4949" s="8" t="s">
        <v>2020</v>
      </c>
      <c r="B4949" s="8">
        <v>7078.0</v>
      </c>
      <c r="C4949" s="8"/>
      <c r="D4949" s="8"/>
      <c r="E4949" s="8"/>
      <c r="F4949" s="8"/>
    </row>
    <row r="4950" ht="13.5" customHeight="1">
      <c r="A4950" s="8" t="s">
        <v>2077</v>
      </c>
      <c r="B4950" s="8">
        <v>7654.0</v>
      </c>
      <c r="C4950" s="8"/>
      <c r="D4950" s="8"/>
      <c r="E4950" s="8"/>
      <c r="F4950" s="8"/>
    </row>
    <row r="4951" ht="13.5" customHeight="1">
      <c r="A4951" s="8" t="s">
        <v>2078</v>
      </c>
      <c r="B4951" s="8">
        <v>7746.0</v>
      </c>
      <c r="C4951" s="8"/>
      <c r="D4951" s="8"/>
      <c r="E4951" s="8"/>
      <c r="F4951" s="8"/>
    </row>
    <row r="4952" ht="13.5" customHeight="1">
      <c r="A4952" s="8" t="s">
        <v>2079</v>
      </c>
      <c r="B4952" s="8">
        <v>8387.0</v>
      </c>
      <c r="C4952" s="8"/>
      <c r="D4952" s="8"/>
      <c r="E4952" s="8"/>
      <c r="F4952" s="8"/>
    </row>
    <row r="4953" ht="13.5" customHeight="1">
      <c r="A4953" s="8" t="s">
        <v>2077</v>
      </c>
      <c r="B4953" s="8">
        <v>8768.0</v>
      </c>
      <c r="C4953" s="8"/>
      <c r="D4953" s="8"/>
      <c r="E4953" s="8"/>
      <c r="F4953" s="8"/>
    </row>
    <row r="4954" ht="13.5" customHeight="1">
      <c r="A4954" s="8" t="s">
        <v>2075</v>
      </c>
      <c r="B4954" s="8">
        <v>9504.0</v>
      </c>
      <c r="C4954" s="8"/>
      <c r="D4954" s="8"/>
      <c r="E4954" s="8"/>
      <c r="F4954" s="8"/>
    </row>
    <row r="4955" ht="13.5" customHeight="1">
      <c r="A4955" s="8" t="s">
        <v>2075</v>
      </c>
      <c r="B4955" s="8">
        <v>10341.0</v>
      </c>
      <c r="C4955" s="8"/>
      <c r="D4955" s="8"/>
      <c r="E4955" s="8"/>
      <c r="F4955" s="8"/>
    </row>
    <row r="4956" ht="13.5" customHeight="1">
      <c r="A4956" s="8" t="s">
        <v>1927</v>
      </c>
      <c r="B4956" s="8">
        <v>10982.0</v>
      </c>
      <c r="C4956" s="8"/>
      <c r="D4956" s="8"/>
      <c r="E4956" s="8"/>
      <c r="F4956" s="8"/>
    </row>
    <row r="4957" ht="13.5" customHeight="1">
      <c r="A4957" s="8" t="s">
        <v>2077</v>
      </c>
      <c r="B4957" s="8">
        <v>14176.0</v>
      </c>
      <c r="C4957" s="8"/>
      <c r="D4957" s="8"/>
      <c r="E4957" s="8"/>
      <c r="F4957" s="8"/>
    </row>
    <row r="4958" ht="13.5" customHeight="1">
      <c r="A4958" s="8" t="s">
        <v>2075</v>
      </c>
      <c r="B4958" s="8">
        <v>14497.0</v>
      </c>
      <c r="C4958" s="8"/>
      <c r="D4958" s="8"/>
      <c r="E4958" s="8"/>
      <c r="F4958" s="8"/>
    </row>
    <row r="4959" ht="13.5" customHeight="1">
      <c r="A4959" s="8" t="s">
        <v>2076</v>
      </c>
      <c r="B4959" s="8">
        <v>15074.0</v>
      </c>
      <c r="C4959" s="8"/>
      <c r="D4959" s="8"/>
      <c r="E4959" s="8"/>
      <c r="F4959" s="8"/>
    </row>
    <row r="4960" ht="13.5" customHeight="1">
      <c r="A4960" s="8" t="s">
        <v>2077</v>
      </c>
      <c r="B4960" s="8">
        <v>15104.0</v>
      </c>
      <c r="C4960" s="8"/>
      <c r="D4960" s="8"/>
      <c r="E4960" s="8"/>
      <c r="F4960" s="8"/>
    </row>
    <row r="4961" ht="13.5" customHeight="1">
      <c r="A4961" s="8" t="s">
        <v>2077</v>
      </c>
      <c r="B4961" s="8">
        <v>17445.0</v>
      </c>
      <c r="C4961" s="8"/>
      <c r="D4961" s="8"/>
      <c r="E4961" s="8"/>
      <c r="F4961" s="8"/>
    </row>
    <row r="4962" ht="13.5" customHeight="1">
      <c r="A4962" s="8" t="s">
        <v>2079</v>
      </c>
      <c r="B4962" s="8">
        <v>18593.0</v>
      </c>
      <c r="C4962" s="8"/>
      <c r="D4962" s="8"/>
      <c r="E4962" s="8"/>
      <c r="F4962" s="8"/>
    </row>
    <row r="4963" ht="13.5" customHeight="1">
      <c r="A4963" s="8" t="s">
        <v>2079</v>
      </c>
      <c r="B4963" s="8">
        <v>19652.0</v>
      </c>
      <c r="C4963" s="8"/>
      <c r="D4963" s="8"/>
      <c r="E4963" s="8"/>
      <c r="F4963" s="8"/>
    </row>
    <row r="4964" ht="13.5" customHeight="1">
      <c r="A4964" s="8" t="s">
        <v>2078</v>
      </c>
      <c r="B4964" s="8">
        <v>20743.0</v>
      </c>
      <c r="C4964" s="8"/>
      <c r="D4964" s="8"/>
      <c r="E4964" s="8"/>
      <c r="F4964" s="8"/>
    </row>
    <row r="4965" ht="13.5" customHeight="1">
      <c r="A4965" s="8" t="s">
        <v>2078</v>
      </c>
      <c r="B4965" s="8">
        <v>21862.0</v>
      </c>
      <c r="C4965" s="8"/>
      <c r="D4965" s="8"/>
      <c r="E4965" s="8"/>
      <c r="F4965" s="8"/>
    </row>
    <row r="4966" ht="13.5" customHeight="1">
      <c r="A4966" s="8" t="s">
        <v>2020</v>
      </c>
      <c r="B4966" s="8">
        <v>22787.0</v>
      </c>
      <c r="C4966" s="8"/>
      <c r="D4966" s="8"/>
      <c r="E4966" s="8"/>
      <c r="F4966" s="8"/>
    </row>
    <row r="4967" ht="13.5" customHeight="1">
      <c r="A4967" s="8" t="s">
        <v>2076</v>
      </c>
      <c r="B4967" s="8">
        <v>23170.0</v>
      </c>
      <c r="C4967" s="8"/>
      <c r="D4967" s="8"/>
      <c r="E4967" s="8"/>
      <c r="F4967" s="8"/>
    </row>
    <row r="4968" ht="13.5" customHeight="1">
      <c r="A4968" s="8" t="s">
        <v>2077</v>
      </c>
      <c r="B4968" s="8">
        <v>23328.0</v>
      </c>
      <c r="C4968" s="8"/>
      <c r="D4968" s="8"/>
      <c r="E4968" s="8"/>
      <c r="F4968" s="8"/>
    </row>
    <row r="4969" ht="13.5" customHeight="1">
      <c r="A4969" s="8" t="s">
        <v>2074</v>
      </c>
      <c r="B4969" s="8">
        <v>24260.0</v>
      </c>
      <c r="C4969" s="8"/>
      <c r="D4969" s="8"/>
      <c r="E4969" s="8"/>
      <c r="F4969" s="8"/>
    </row>
    <row r="4970" ht="13.5" customHeight="1">
      <c r="A4970" s="8" t="s">
        <v>2075</v>
      </c>
      <c r="B4970" s="8">
        <v>24261.0</v>
      </c>
      <c r="C4970" s="8"/>
      <c r="D4970" s="8"/>
      <c r="E4970" s="8"/>
      <c r="F4970" s="8"/>
    </row>
    <row r="4971" ht="13.5" customHeight="1">
      <c r="A4971" s="8" t="s">
        <v>2077</v>
      </c>
      <c r="B4971" s="8">
        <v>26054.0</v>
      </c>
      <c r="C4971" s="8"/>
      <c r="D4971" s="8"/>
      <c r="E4971" s="8"/>
      <c r="F4971" s="8"/>
    </row>
    <row r="4972" ht="13.5" customHeight="1">
      <c r="A4972" s="8" t="s">
        <v>914</v>
      </c>
      <c r="B4972" s="8">
        <v>27750.0</v>
      </c>
      <c r="C4972" s="8"/>
      <c r="D4972" s="8"/>
      <c r="E4972" s="8"/>
      <c r="F4972" s="8"/>
    </row>
    <row r="4973" ht="13.5" customHeight="1">
      <c r="A4973" s="8" t="s">
        <v>2080</v>
      </c>
      <c r="B4973" s="8">
        <v>27872.0</v>
      </c>
      <c r="C4973" s="8"/>
      <c r="D4973" s="8"/>
      <c r="E4973" s="8"/>
      <c r="F4973" s="8"/>
    </row>
    <row r="4974" ht="13.5" customHeight="1">
      <c r="A4974" s="8" t="s">
        <v>2075</v>
      </c>
      <c r="B4974" s="8">
        <v>31109.0</v>
      </c>
      <c r="C4974" s="8"/>
      <c r="D4974" s="8"/>
      <c r="E4974" s="8"/>
      <c r="F4974" s="8"/>
    </row>
    <row r="4975" ht="13.5" customHeight="1">
      <c r="A4975" s="8" t="s">
        <v>914</v>
      </c>
      <c r="B4975" s="8">
        <v>32165.0</v>
      </c>
      <c r="C4975" s="8"/>
      <c r="D4975" s="8"/>
      <c r="E4975" s="8"/>
      <c r="F4975" s="8"/>
    </row>
    <row r="4976" ht="13.5" customHeight="1">
      <c r="A4976" s="8" t="s">
        <v>1289</v>
      </c>
      <c r="B4976" s="8">
        <v>32325.0</v>
      </c>
      <c r="C4976" s="8"/>
      <c r="D4976" s="8"/>
      <c r="E4976" s="8"/>
      <c r="F4976" s="8"/>
    </row>
    <row r="4977" ht="13.5" customHeight="1">
      <c r="A4977" s="8" t="s">
        <v>2080</v>
      </c>
      <c r="B4977" s="8">
        <v>32931.0</v>
      </c>
      <c r="C4977" s="8"/>
      <c r="D4977" s="8"/>
      <c r="E4977" s="8"/>
      <c r="F4977" s="8"/>
    </row>
    <row r="4978" ht="13.5" customHeight="1">
      <c r="A4978" s="8" t="s">
        <v>2078</v>
      </c>
      <c r="B4978" s="8">
        <v>33189.0</v>
      </c>
      <c r="C4978" s="8"/>
      <c r="D4978" s="8"/>
      <c r="E4978" s="8"/>
      <c r="F4978" s="8"/>
    </row>
    <row r="4979" ht="13.5" customHeight="1">
      <c r="A4979" s="8" t="s">
        <v>317</v>
      </c>
      <c r="B4979" s="8">
        <v>34311.0</v>
      </c>
      <c r="C4979" s="8"/>
      <c r="D4979" s="8"/>
      <c r="E4979" s="8"/>
      <c r="F4979" s="8"/>
    </row>
    <row r="4980" ht="13.5" customHeight="1">
      <c r="A4980" s="8" t="s">
        <v>2075</v>
      </c>
      <c r="B4980" s="8">
        <v>35111.0</v>
      </c>
      <c r="C4980" s="8"/>
      <c r="D4980" s="8"/>
      <c r="E4980" s="8"/>
      <c r="F4980" s="8"/>
    </row>
    <row r="4981" ht="13.5" customHeight="1">
      <c r="A4981" s="8" t="s">
        <v>317</v>
      </c>
      <c r="B4981" s="8">
        <v>35173.0</v>
      </c>
      <c r="C4981" s="8"/>
      <c r="D4981" s="8"/>
      <c r="E4981" s="8"/>
      <c r="F4981" s="8"/>
    </row>
    <row r="4982" ht="13.5" customHeight="1">
      <c r="A4982" s="8" t="s">
        <v>914</v>
      </c>
      <c r="B4982" s="8">
        <v>36773.0</v>
      </c>
      <c r="C4982" s="8"/>
      <c r="D4982" s="8"/>
      <c r="E4982" s="8"/>
      <c r="F4982" s="8"/>
    </row>
    <row r="4983" ht="13.5" customHeight="1">
      <c r="A4983" s="8" t="s">
        <v>2076</v>
      </c>
      <c r="B4983" s="8">
        <v>36997.0</v>
      </c>
      <c r="C4983" s="8"/>
      <c r="D4983" s="8"/>
      <c r="E4983" s="8"/>
      <c r="F4983" s="8"/>
    </row>
    <row r="4984" ht="13.5" customHeight="1">
      <c r="A4984" s="8" t="s">
        <v>2080</v>
      </c>
      <c r="B4984" s="8">
        <v>37700.0</v>
      </c>
      <c r="C4984" s="8"/>
      <c r="D4984" s="8"/>
      <c r="E4984" s="8"/>
      <c r="F4984" s="8"/>
    </row>
    <row r="4985" ht="13.5" customHeight="1">
      <c r="A4985" s="8" t="s">
        <v>1289</v>
      </c>
      <c r="B4985" s="8">
        <v>38529.0</v>
      </c>
      <c r="C4985" s="8"/>
      <c r="D4985" s="8"/>
      <c r="E4985" s="8"/>
      <c r="F4985" s="8"/>
    </row>
    <row r="4986" ht="13.5" customHeight="1">
      <c r="A4986" s="8" t="s">
        <v>1844</v>
      </c>
      <c r="B4986" s="8">
        <v>40162.0</v>
      </c>
      <c r="C4986" s="8"/>
      <c r="D4986" s="8"/>
      <c r="E4986" s="8"/>
      <c r="F4986" s="8"/>
    </row>
    <row r="4987" ht="13.5" customHeight="1">
      <c r="A4987" s="8" t="s">
        <v>2080</v>
      </c>
      <c r="B4987" s="8">
        <v>40612.0</v>
      </c>
      <c r="C4987" s="8"/>
      <c r="D4987" s="8"/>
      <c r="E4987" s="8"/>
      <c r="F4987" s="8"/>
    </row>
    <row r="4988" ht="13.5" customHeight="1">
      <c r="A4988" s="8" t="s">
        <v>2080</v>
      </c>
      <c r="B4988" s="8">
        <v>41987.0</v>
      </c>
      <c r="C4988" s="8"/>
      <c r="D4988" s="8"/>
      <c r="E4988" s="8"/>
      <c r="F4988" s="8"/>
    </row>
    <row r="4989" ht="13.5" customHeight="1">
      <c r="A4989" s="8" t="s">
        <v>1873</v>
      </c>
      <c r="B4989" s="8">
        <v>42083.0</v>
      </c>
      <c r="C4989" s="8"/>
      <c r="D4989" s="8"/>
      <c r="E4989" s="8"/>
      <c r="F4989" s="8"/>
    </row>
    <row r="4990" ht="13.5" customHeight="1">
      <c r="A4990" s="8" t="s">
        <v>2076</v>
      </c>
      <c r="B4990" s="8">
        <v>42151.0</v>
      </c>
      <c r="C4990" s="8"/>
      <c r="D4990" s="8"/>
      <c r="E4990" s="8"/>
      <c r="F4990" s="8"/>
    </row>
    <row r="4991" ht="13.5" customHeight="1">
      <c r="A4991" s="8" t="s">
        <v>1927</v>
      </c>
      <c r="B4991" s="8">
        <v>42658.0</v>
      </c>
      <c r="C4991" s="8"/>
      <c r="D4991" s="8"/>
      <c r="E4991" s="8"/>
      <c r="F4991" s="8"/>
    </row>
    <row r="4992" ht="13.5" customHeight="1">
      <c r="A4992" s="8" t="s">
        <v>2079</v>
      </c>
      <c r="B4992" s="8">
        <v>43911.0</v>
      </c>
      <c r="C4992" s="8"/>
      <c r="D4992" s="8"/>
      <c r="E4992" s="8"/>
      <c r="F4992" s="8"/>
    </row>
    <row r="4993" ht="13.5" customHeight="1">
      <c r="A4993" s="8" t="s">
        <v>2080</v>
      </c>
      <c r="B4993" s="8">
        <v>44005.0</v>
      </c>
      <c r="C4993" s="8"/>
      <c r="D4993" s="8"/>
      <c r="E4993" s="8"/>
      <c r="F4993" s="8"/>
    </row>
    <row r="4994" ht="13.5" customHeight="1">
      <c r="A4994" s="8" t="s">
        <v>1489</v>
      </c>
      <c r="B4994" s="8">
        <v>44486.0</v>
      </c>
      <c r="C4994" s="8"/>
      <c r="D4994" s="8"/>
      <c r="E4994" s="8"/>
      <c r="F4994" s="8"/>
    </row>
    <row r="4995" ht="13.5" customHeight="1">
      <c r="A4995" s="8" t="s">
        <v>2078</v>
      </c>
      <c r="B4995" s="8">
        <v>45284.0</v>
      </c>
      <c r="C4995" s="8"/>
      <c r="D4995" s="8"/>
      <c r="E4995" s="8"/>
      <c r="F4995" s="8"/>
    </row>
    <row r="4996" ht="13.5" customHeight="1">
      <c r="A4996" s="8" t="s">
        <v>2080</v>
      </c>
      <c r="B4996" s="8">
        <v>45668.0</v>
      </c>
      <c r="C4996" s="8"/>
      <c r="D4996" s="8"/>
      <c r="E4996" s="8"/>
      <c r="F4996" s="8"/>
    </row>
    <row r="4997" ht="13.5" customHeight="1">
      <c r="A4997" s="8" t="s">
        <v>2077</v>
      </c>
      <c r="B4997" s="8">
        <v>46023.0</v>
      </c>
      <c r="C4997" s="8"/>
      <c r="D4997" s="8"/>
      <c r="E4997" s="8"/>
      <c r="F4997" s="8"/>
    </row>
    <row r="4998" ht="13.5" customHeight="1">
      <c r="A4998" s="8" t="s">
        <v>914</v>
      </c>
      <c r="B4998" s="8">
        <v>46533.0</v>
      </c>
      <c r="C4998" s="8"/>
      <c r="D4998" s="8"/>
      <c r="E4998" s="8"/>
      <c r="F4998" s="8"/>
    </row>
    <row r="4999" ht="13.5" customHeight="1">
      <c r="A4999" s="8" t="s">
        <v>2076</v>
      </c>
      <c r="B4999" s="8">
        <v>48321.0</v>
      </c>
      <c r="C4999" s="8"/>
      <c r="D4999" s="8"/>
      <c r="E4999" s="8"/>
      <c r="F4999" s="8"/>
    </row>
    <row r="5000" ht="13.5" customHeight="1">
      <c r="A5000" s="8" t="s">
        <v>1844</v>
      </c>
      <c r="B5000" s="8">
        <v>48673.0</v>
      </c>
      <c r="C5000" s="8"/>
      <c r="D5000" s="8"/>
      <c r="E5000" s="8"/>
      <c r="F5000" s="8"/>
    </row>
    <row r="5001" ht="13.5" customHeight="1">
      <c r="A5001" s="8" t="s">
        <v>2078</v>
      </c>
      <c r="B5001" s="8">
        <v>48742.0</v>
      </c>
      <c r="C5001" s="8"/>
      <c r="D5001" s="8"/>
      <c r="E5001" s="8"/>
      <c r="F5001" s="8"/>
    </row>
    <row r="5002" ht="13.5" customHeight="1">
      <c r="A5002" s="8" t="s">
        <v>2081</v>
      </c>
      <c r="B5002" s="8">
        <v>48998.0</v>
      </c>
      <c r="C5002" s="8"/>
      <c r="D5002" s="8"/>
      <c r="E5002" s="8"/>
      <c r="F5002" s="8"/>
    </row>
    <row r="5003" ht="13.5" customHeight="1">
      <c r="A5003" s="8" t="s">
        <v>1289</v>
      </c>
      <c r="B5003" s="8">
        <v>50246.0</v>
      </c>
      <c r="C5003" s="8"/>
      <c r="D5003" s="8"/>
      <c r="E5003" s="8"/>
      <c r="F5003" s="8"/>
    </row>
    <row r="5004" ht="13.5" customHeight="1">
      <c r="A5004" s="8" t="s">
        <v>1489</v>
      </c>
      <c r="B5004" s="8">
        <v>51200.0</v>
      </c>
      <c r="C5004" s="8"/>
      <c r="D5004" s="8"/>
      <c r="E5004" s="8"/>
      <c r="F5004" s="8"/>
    </row>
    <row r="5005" ht="13.5" customHeight="1">
      <c r="A5005" s="8" t="s">
        <v>2076</v>
      </c>
      <c r="B5005" s="8">
        <v>51271.0</v>
      </c>
      <c r="C5005" s="8"/>
      <c r="D5005" s="8"/>
      <c r="E5005" s="8"/>
      <c r="F5005" s="8"/>
    </row>
    <row r="5006" ht="13.5" customHeight="1">
      <c r="A5006" s="8" t="s">
        <v>1489</v>
      </c>
      <c r="B5006" s="8">
        <v>51297.0</v>
      </c>
      <c r="C5006" s="8"/>
      <c r="D5006" s="8"/>
      <c r="E5006" s="8"/>
      <c r="F5006" s="8"/>
    </row>
    <row r="5007" ht="13.5" customHeight="1">
      <c r="A5007" s="8" t="s">
        <v>2079</v>
      </c>
      <c r="B5007" s="8">
        <v>51842.0</v>
      </c>
      <c r="C5007" s="8"/>
      <c r="D5007" s="8"/>
      <c r="E5007" s="8"/>
      <c r="F5007" s="8"/>
    </row>
    <row r="5008" ht="13.5" customHeight="1">
      <c r="A5008" s="8" t="s">
        <v>2081</v>
      </c>
      <c r="B5008" s="8">
        <v>51968.0</v>
      </c>
      <c r="C5008" s="8"/>
      <c r="D5008" s="8"/>
      <c r="E5008" s="8"/>
      <c r="F5008" s="8"/>
    </row>
    <row r="5009" ht="13.5" customHeight="1">
      <c r="A5009" s="8" t="s">
        <v>1920</v>
      </c>
      <c r="B5009" s="8">
        <v>52578.0</v>
      </c>
      <c r="C5009" s="8"/>
      <c r="D5009" s="8"/>
      <c r="E5009" s="8"/>
      <c r="F5009" s="8"/>
    </row>
    <row r="5010" ht="13.5" customHeight="1">
      <c r="A5010" s="8" t="s">
        <v>2081</v>
      </c>
      <c r="B5010" s="8">
        <v>53027.0</v>
      </c>
      <c r="C5010" s="8"/>
      <c r="D5010" s="8"/>
      <c r="E5010" s="8"/>
      <c r="F5010" s="8"/>
    </row>
    <row r="5011" ht="13.5" customHeight="1">
      <c r="A5011" s="8" t="s">
        <v>2077</v>
      </c>
      <c r="B5011" s="8">
        <v>54214.0</v>
      </c>
      <c r="C5011" s="8"/>
      <c r="D5011" s="8"/>
      <c r="E5011" s="8"/>
      <c r="F5011" s="8"/>
    </row>
    <row r="5012" ht="13.5" customHeight="1">
      <c r="A5012" s="8" t="s">
        <v>1920</v>
      </c>
      <c r="B5012" s="8">
        <v>54342.0</v>
      </c>
      <c r="C5012" s="8"/>
      <c r="D5012" s="8"/>
      <c r="E5012" s="8"/>
      <c r="F5012" s="8"/>
    </row>
    <row r="5013" ht="13.5" customHeight="1">
      <c r="A5013" s="8" t="s">
        <v>2079</v>
      </c>
      <c r="B5013" s="8">
        <v>54656.0</v>
      </c>
      <c r="C5013" s="8"/>
      <c r="D5013" s="8"/>
      <c r="E5013" s="8"/>
      <c r="F5013" s="8"/>
    </row>
    <row r="5014" ht="13.5" customHeight="1">
      <c r="A5014" s="8" t="s">
        <v>2080</v>
      </c>
      <c r="B5014" s="8">
        <v>54949.0</v>
      </c>
      <c r="C5014" s="8"/>
      <c r="D5014" s="8"/>
      <c r="E5014" s="8"/>
      <c r="F5014" s="8"/>
    </row>
    <row r="5015" ht="13.5" customHeight="1">
      <c r="A5015" s="8" t="s">
        <v>1289</v>
      </c>
      <c r="B5015" s="8">
        <v>55813.0</v>
      </c>
      <c r="C5015" s="8"/>
      <c r="D5015" s="8"/>
      <c r="E5015" s="8"/>
      <c r="F5015" s="8"/>
    </row>
    <row r="5016" ht="13.5" customHeight="1">
      <c r="A5016" s="8" t="s">
        <v>1289</v>
      </c>
      <c r="B5016" s="8">
        <v>56834.0</v>
      </c>
      <c r="C5016" s="8"/>
      <c r="D5016" s="8"/>
      <c r="E5016" s="8"/>
      <c r="F5016" s="8"/>
    </row>
    <row r="5017" ht="13.5" customHeight="1">
      <c r="A5017" s="8" t="s">
        <v>1920</v>
      </c>
      <c r="B5017" s="8">
        <v>57380.0</v>
      </c>
      <c r="C5017" s="8"/>
      <c r="D5017" s="8"/>
      <c r="E5017" s="8"/>
      <c r="F5017" s="8"/>
    </row>
    <row r="5018" ht="13.5" customHeight="1">
      <c r="A5018" s="8" t="s">
        <v>1489</v>
      </c>
      <c r="B5018" s="8">
        <v>58722.0</v>
      </c>
      <c r="C5018" s="8"/>
      <c r="D5018" s="8"/>
      <c r="E5018" s="8"/>
      <c r="F5018" s="8"/>
    </row>
    <row r="5019" ht="13.5" customHeight="1">
      <c r="A5019" s="8" t="s">
        <v>2079</v>
      </c>
      <c r="B5019" s="8">
        <v>58981.0</v>
      </c>
      <c r="C5019" s="8"/>
      <c r="D5019" s="8"/>
      <c r="E5019" s="8"/>
      <c r="F5019" s="8"/>
    </row>
    <row r="5020" ht="13.5" customHeight="1">
      <c r="A5020" s="8" t="s">
        <v>2080</v>
      </c>
      <c r="B5020" s="8">
        <v>59686.0</v>
      </c>
      <c r="C5020" s="8"/>
      <c r="D5020" s="8"/>
      <c r="E5020" s="8"/>
      <c r="F5020" s="8"/>
    </row>
    <row r="5021" ht="13.5" customHeight="1">
      <c r="A5021" s="8" t="s">
        <v>1705</v>
      </c>
      <c r="B5021" s="8">
        <v>6791.0</v>
      </c>
      <c r="C5021" s="8"/>
      <c r="D5021" s="8"/>
      <c r="E5021" s="8"/>
      <c r="F5021" s="8"/>
    </row>
    <row r="5022" ht="13.5" customHeight="1">
      <c r="A5022" s="8" t="s">
        <v>1185</v>
      </c>
      <c r="B5022" s="8">
        <v>9895.0</v>
      </c>
      <c r="C5022" s="8"/>
      <c r="D5022" s="8"/>
      <c r="E5022" s="8"/>
      <c r="F5022" s="8"/>
    </row>
    <row r="5023" ht="13.5" customHeight="1">
      <c r="A5023" s="8" t="s">
        <v>2082</v>
      </c>
      <c r="B5023" s="8">
        <v>11846.0</v>
      </c>
      <c r="C5023" s="8"/>
      <c r="D5023" s="8"/>
      <c r="E5023" s="8"/>
      <c r="F5023" s="8"/>
    </row>
    <row r="5024" ht="13.5" customHeight="1">
      <c r="A5024" s="8" t="s">
        <v>1705</v>
      </c>
      <c r="B5024" s="8">
        <v>12450.0</v>
      </c>
      <c r="C5024" s="8"/>
      <c r="D5024" s="8"/>
      <c r="E5024" s="8"/>
      <c r="F5024" s="8"/>
    </row>
    <row r="5025" ht="13.5" customHeight="1">
      <c r="A5025" s="8" t="s">
        <v>2082</v>
      </c>
      <c r="B5025" s="8">
        <v>16518.0</v>
      </c>
      <c r="C5025" s="8"/>
      <c r="D5025" s="8"/>
      <c r="E5025" s="8"/>
      <c r="F5025" s="8"/>
    </row>
    <row r="5026" ht="13.5" customHeight="1">
      <c r="A5026" s="8" t="s">
        <v>1185</v>
      </c>
      <c r="B5026" s="8">
        <v>17860.0</v>
      </c>
      <c r="C5026" s="8"/>
      <c r="D5026" s="8"/>
      <c r="E5026" s="8"/>
      <c r="F5026" s="8"/>
    </row>
    <row r="5027" ht="13.5" customHeight="1">
      <c r="A5027" s="8" t="s">
        <v>2082</v>
      </c>
      <c r="B5027" s="8">
        <v>17952.0</v>
      </c>
      <c r="C5027" s="8"/>
      <c r="D5027" s="8"/>
      <c r="E5027" s="8"/>
      <c r="F5027" s="8"/>
    </row>
    <row r="5028" ht="13.5" customHeight="1">
      <c r="A5028" s="8" t="s">
        <v>1185</v>
      </c>
      <c r="B5028" s="8">
        <v>18596.0</v>
      </c>
      <c r="C5028" s="8"/>
      <c r="D5028" s="8"/>
      <c r="E5028" s="8"/>
      <c r="F5028" s="8"/>
    </row>
    <row r="5029" ht="13.5" customHeight="1">
      <c r="A5029" s="8" t="s">
        <v>1705</v>
      </c>
      <c r="B5029" s="8">
        <v>21410.0</v>
      </c>
      <c r="C5029" s="8"/>
      <c r="D5029" s="8"/>
      <c r="E5029" s="8"/>
      <c r="F5029" s="8"/>
    </row>
    <row r="5030" ht="13.5" customHeight="1">
      <c r="A5030" s="8" t="s">
        <v>2083</v>
      </c>
      <c r="B5030" s="8">
        <v>22563.0</v>
      </c>
      <c r="C5030" s="8"/>
      <c r="D5030" s="8"/>
      <c r="E5030" s="8"/>
      <c r="F5030" s="8"/>
    </row>
    <row r="5031" ht="13.5" customHeight="1">
      <c r="A5031" s="8" t="s">
        <v>2083</v>
      </c>
      <c r="B5031" s="8">
        <v>26688.0</v>
      </c>
      <c r="C5031" s="8"/>
      <c r="D5031" s="8"/>
      <c r="E5031" s="8"/>
      <c r="F5031" s="8"/>
    </row>
    <row r="5032" ht="13.5" customHeight="1">
      <c r="A5032" s="8" t="s">
        <v>2082</v>
      </c>
      <c r="B5032" s="8">
        <v>26881.0</v>
      </c>
      <c r="C5032" s="8"/>
      <c r="D5032" s="8"/>
      <c r="E5032" s="8"/>
      <c r="F5032" s="8"/>
    </row>
    <row r="5033" ht="13.5" customHeight="1">
      <c r="A5033" s="8" t="s">
        <v>1185</v>
      </c>
      <c r="B5033" s="8">
        <v>26887.0</v>
      </c>
      <c r="C5033" s="8"/>
      <c r="D5033" s="8"/>
      <c r="E5033" s="8"/>
      <c r="F5033" s="8"/>
    </row>
    <row r="5034" ht="13.5" customHeight="1">
      <c r="A5034" s="8" t="s">
        <v>2082</v>
      </c>
      <c r="B5034" s="8">
        <v>29761.0</v>
      </c>
      <c r="C5034" s="8"/>
      <c r="D5034" s="8"/>
      <c r="E5034" s="8"/>
      <c r="F5034" s="8"/>
    </row>
    <row r="5035" ht="13.5" customHeight="1">
      <c r="A5035" s="8" t="s">
        <v>2084</v>
      </c>
      <c r="B5035" s="8">
        <v>31810.0</v>
      </c>
      <c r="C5035" s="8"/>
      <c r="D5035" s="8"/>
      <c r="E5035" s="8"/>
      <c r="F5035" s="8"/>
    </row>
    <row r="5036" ht="13.5" customHeight="1">
      <c r="A5036" s="8" t="s">
        <v>1675</v>
      </c>
      <c r="B5036" s="8">
        <v>36548.0</v>
      </c>
      <c r="C5036" s="8"/>
      <c r="D5036" s="8"/>
      <c r="E5036" s="8"/>
      <c r="F5036" s="8"/>
    </row>
    <row r="5037" ht="13.5" customHeight="1">
      <c r="A5037" s="8" t="s">
        <v>1675</v>
      </c>
      <c r="B5037" s="8">
        <v>39585.0</v>
      </c>
      <c r="C5037" s="8"/>
      <c r="D5037" s="8"/>
      <c r="E5037" s="8"/>
      <c r="F5037" s="8"/>
    </row>
    <row r="5038" ht="13.5" customHeight="1">
      <c r="A5038" s="8" t="s">
        <v>1185</v>
      </c>
      <c r="B5038" s="8">
        <v>41793.0</v>
      </c>
      <c r="C5038" s="8"/>
      <c r="D5038" s="8"/>
      <c r="E5038" s="8"/>
      <c r="F5038" s="8"/>
    </row>
    <row r="5039" ht="13.5" customHeight="1">
      <c r="A5039" s="8" t="s">
        <v>1185</v>
      </c>
      <c r="B5039" s="8">
        <v>42949.0</v>
      </c>
      <c r="C5039" s="8"/>
      <c r="D5039" s="8"/>
      <c r="E5039" s="8"/>
      <c r="F5039" s="8"/>
    </row>
    <row r="5040" ht="13.5" customHeight="1">
      <c r="A5040" s="8" t="s">
        <v>2083</v>
      </c>
      <c r="B5040" s="8">
        <v>43044.0</v>
      </c>
      <c r="C5040" s="8"/>
      <c r="D5040" s="8"/>
      <c r="E5040" s="8"/>
      <c r="F5040" s="8"/>
    </row>
    <row r="5041" ht="13.5" customHeight="1">
      <c r="A5041" s="8" t="s">
        <v>2083</v>
      </c>
      <c r="B5041" s="8">
        <v>46048.0</v>
      </c>
      <c r="C5041" s="8"/>
      <c r="D5041" s="8"/>
      <c r="E5041" s="8"/>
      <c r="F5041" s="8"/>
    </row>
    <row r="5042" ht="13.5" customHeight="1">
      <c r="A5042" s="8" t="s">
        <v>2084</v>
      </c>
      <c r="B5042" s="8">
        <v>48354.0</v>
      </c>
      <c r="C5042" s="8"/>
      <c r="D5042" s="8"/>
      <c r="E5042" s="8"/>
      <c r="F5042" s="8"/>
    </row>
    <row r="5043" ht="13.5" customHeight="1">
      <c r="A5043" s="8" t="s">
        <v>2082</v>
      </c>
      <c r="B5043" s="8">
        <v>48416.0</v>
      </c>
      <c r="C5043" s="8"/>
      <c r="D5043" s="8"/>
      <c r="E5043" s="8"/>
      <c r="F5043" s="8"/>
    </row>
    <row r="5044" ht="13.5" customHeight="1">
      <c r="A5044" s="8" t="s">
        <v>2084</v>
      </c>
      <c r="B5044" s="8">
        <v>49798.0</v>
      </c>
      <c r="C5044" s="8"/>
      <c r="D5044" s="8"/>
      <c r="E5044" s="8"/>
      <c r="F5044" s="8"/>
    </row>
    <row r="5045" ht="13.5" customHeight="1">
      <c r="A5045" s="8" t="s">
        <v>2082</v>
      </c>
      <c r="B5045" s="8">
        <v>50470.0</v>
      </c>
      <c r="C5045" s="8"/>
      <c r="D5045" s="8"/>
      <c r="E5045" s="8"/>
      <c r="F5045" s="8"/>
    </row>
    <row r="5046" ht="13.5" customHeight="1">
      <c r="A5046" s="8" t="s">
        <v>1611</v>
      </c>
      <c r="B5046" s="8">
        <v>52900.0</v>
      </c>
      <c r="C5046" s="8"/>
      <c r="D5046" s="8"/>
      <c r="E5046" s="8"/>
      <c r="F5046" s="8"/>
    </row>
    <row r="5047" ht="13.5" customHeight="1">
      <c r="A5047" s="8" t="s">
        <v>1611</v>
      </c>
      <c r="B5047" s="8">
        <v>57572.0</v>
      </c>
      <c r="C5047" s="8"/>
      <c r="D5047" s="8"/>
      <c r="E5047" s="8"/>
      <c r="F5047" s="8"/>
    </row>
    <row r="5048" ht="13.5" customHeight="1">
      <c r="A5048" s="8" t="s">
        <v>1096</v>
      </c>
      <c r="B5048" s="8">
        <v>57766.0</v>
      </c>
      <c r="C5048" s="8"/>
      <c r="D5048" s="8"/>
      <c r="E5048" s="8"/>
      <c r="F5048" s="8"/>
    </row>
    <row r="5049" ht="13.5" customHeight="1">
      <c r="A5049" s="8" t="s">
        <v>1096</v>
      </c>
      <c r="B5049" s="8">
        <v>58566.0</v>
      </c>
      <c r="C5049" s="8"/>
      <c r="D5049" s="8"/>
      <c r="E5049" s="8"/>
      <c r="F5049" s="8"/>
    </row>
    <row r="5050" ht="13.5" customHeight="1">
      <c r="A5050" s="8" t="s">
        <v>1096</v>
      </c>
      <c r="B5050" s="8">
        <v>58658.0</v>
      </c>
      <c r="C5050" s="8"/>
      <c r="D5050" s="8"/>
      <c r="E5050" s="8"/>
      <c r="F5050" s="8"/>
    </row>
    <row r="5051" ht="13.5" customHeight="1">
      <c r="A5051" s="8" t="s">
        <v>1611</v>
      </c>
      <c r="B5051" s="8">
        <v>59139.0</v>
      </c>
      <c r="C5051" s="8"/>
      <c r="D5051" s="8"/>
      <c r="E5051" s="8"/>
      <c r="F5051" s="8"/>
    </row>
    <row r="5052" ht="13.5" customHeight="1">
      <c r="A5052" s="8" t="s">
        <v>1675</v>
      </c>
      <c r="B5052" s="8">
        <v>59942.0</v>
      </c>
      <c r="C5052" s="8"/>
      <c r="D5052" s="8"/>
      <c r="E5052" s="8"/>
      <c r="F5052" s="8"/>
    </row>
    <row r="5053" ht="13.5" customHeight="1">
      <c r="A5053" s="8" t="s">
        <v>965</v>
      </c>
      <c r="B5053" s="8">
        <v>6850.0</v>
      </c>
      <c r="C5053" s="8"/>
      <c r="D5053" s="8"/>
      <c r="E5053" s="8"/>
      <c r="F5053" s="8"/>
    </row>
    <row r="5054" ht="13.5" customHeight="1">
      <c r="A5054" s="8" t="s">
        <v>965</v>
      </c>
      <c r="B5054" s="8">
        <v>7488.0</v>
      </c>
      <c r="C5054" s="8"/>
      <c r="D5054" s="8"/>
      <c r="E5054" s="8"/>
      <c r="F5054" s="8"/>
    </row>
    <row r="5055" ht="13.5" customHeight="1">
      <c r="A5055" s="8" t="s">
        <v>965</v>
      </c>
      <c r="B5055" s="8">
        <v>7552.0</v>
      </c>
      <c r="C5055" s="8"/>
      <c r="D5055" s="8"/>
      <c r="E5055" s="8"/>
      <c r="F5055" s="8"/>
    </row>
    <row r="5056" ht="13.5" customHeight="1">
      <c r="A5056" s="8" t="s">
        <v>1043</v>
      </c>
      <c r="B5056" s="8">
        <v>7585.0</v>
      </c>
      <c r="C5056" s="8"/>
      <c r="D5056" s="8"/>
      <c r="E5056" s="8"/>
      <c r="F5056" s="8"/>
    </row>
    <row r="5057" ht="13.5" customHeight="1">
      <c r="A5057" s="8" t="s">
        <v>1043</v>
      </c>
      <c r="B5057" s="8">
        <v>8289.0</v>
      </c>
      <c r="C5057" s="8"/>
      <c r="D5057" s="8"/>
      <c r="E5057" s="8"/>
      <c r="F5057" s="8"/>
    </row>
    <row r="5058" ht="13.5" customHeight="1">
      <c r="A5058" s="8" t="s">
        <v>1902</v>
      </c>
      <c r="B5058" s="8">
        <v>8679.0</v>
      </c>
      <c r="C5058" s="8"/>
      <c r="D5058" s="8"/>
      <c r="E5058" s="8"/>
      <c r="F5058" s="8"/>
    </row>
    <row r="5059" ht="13.5" customHeight="1">
      <c r="A5059" s="8" t="s">
        <v>965</v>
      </c>
      <c r="B5059" s="8">
        <v>12481.0</v>
      </c>
      <c r="C5059" s="8"/>
      <c r="D5059" s="8"/>
      <c r="E5059" s="8"/>
      <c r="F5059" s="8"/>
    </row>
    <row r="5060" ht="13.5" customHeight="1">
      <c r="A5060" s="8" t="s">
        <v>965</v>
      </c>
      <c r="B5060" s="8">
        <v>20128.0</v>
      </c>
      <c r="C5060" s="8"/>
      <c r="D5060" s="8"/>
      <c r="E5060" s="8"/>
      <c r="F5060" s="8"/>
    </row>
    <row r="5061" ht="13.5" customHeight="1">
      <c r="A5061" s="8" t="s">
        <v>1902</v>
      </c>
      <c r="B5061" s="8">
        <v>24804.0</v>
      </c>
      <c r="C5061" s="8"/>
      <c r="D5061" s="8"/>
      <c r="E5061" s="8"/>
      <c r="F5061" s="8"/>
    </row>
    <row r="5062" ht="13.5" customHeight="1">
      <c r="A5062" s="8" t="s">
        <v>912</v>
      </c>
      <c r="B5062" s="8">
        <v>28357.0</v>
      </c>
      <c r="C5062" s="8"/>
      <c r="D5062" s="8"/>
      <c r="E5062" s="8"/>
      <c r="F5062" s="8"/>
    </row>
    <row r="5063" ht="13.5" customHeight="1">
      <c r="A5063" s="8" t="s">
        <v>1163</v>
      </c>
      <c r="B5063" s="8">
        <v>31043.0</v>
      </c>
      <c r="C5063" s="8"/>
      <c r="D5063" s="8"/>
      <c r="E5063" s="8"/>
      <c r="F5063" s="8"/>
    </row>
    <row r="5064" ht="13.5" customHeight="1">
      <c r="A5064" s="8" t="s">
        <v>912</v>
      </c>
      <c r="B5064" s="8">
        <v>32355.0</v>
      </c>
      <c r="C5064" s="8"/>
      <c r="D5064" s="8"/>
      <c r="E5064" s="8"/>
      <c r="F5064" s="8"/>
    </row>
    <row r="5065" ht="13.5" customHeight="1">
      <c r="A5065" s="8" t="s">
        <v>965</v>
      </c>
      <c r="B5065" s="8">
        <v>33700.0</v>
      </c>
      <c r="C5065" s="8"/>
      <c r="D5065" s="8"/>
      <c r="E5065" s="8"/>
      <c r="F5065" s="8"/>
    </row>
    <row r="5066" ht="13.5" customHeight="1">
      <c r="A5066" s="8" t="s">
        <v>965</v>
      </c>
      <c r="B5066" s="8">
        <v>35811.0</v>
      </c>
      <c r="C5066" s="8"/>
      <c r="D5066" s="8"/>
      <c r="E5066" s="8"/>
      <c r="F5066" s="8"/>
    </row>
    <row r="5067" ht="13.5" customHeight="1">
      <c r="A5067" s="8" t="s">
        <v>2087</v>
      </c>
      <c r="B5067" s="8">
        <v>38598.0</v>
      </c>
      <c r="C5067" s="8"/>
      <c r="D5067" s="8"/>
      <c r="E5067" s="8"/>
      <c r="F5067" s="8"/>
    </row>
    <row r="5068" ht="13.5" customHeight="1">
      <c r="A5068" s="8" t="s">
        <v>912</v>
      </c>
      <c r="B5068" s="8">
        <v>40678.0</v>
      </c>
      <c r="C5068" s="8"/>
      <c r="D5068" s="8"/>
      <c r="E5068" s="8"/>
      <c r="F5068" s="8"/>
    </row>
    <row r="5069" ht="13.5" customHeight="1">
      <c r="A5069" s="8" t="s">
        <v>2074</v>
      </c>
      <c r="B5069" s="8">
        <v>41154.0</v>
      </c>
      <c r="C5069" s="8"/>
      <c r="D5069" s="8"/>
      <c r="E5069" s="8"/>
      <c r="F5069" s="8"/>
    </row>
    <row r="5070" ht="13.5" customHeight="1">
      <c r="A5070" s="8" t="s">
        <v>2087</v>
      </c>
      <c r="B5070" s="8">
        <v>43909.0</v>
      </c>
      <c r="C5070" s="8"/>
      <c r="D5070" s="8"/>
      <c r="E5070" s="8"/>
      <c r="F5070" s="8"/>
    </row>
    <row r="5071" ht="13.5" customHeight="1">
      <c r="A5071" s="8" t="s">
        <v>1163</v>
      </c>
      <c r="B5071" s="8">
        <v>45346.0</v>
      </c>
      <c r="C5071" s="8"/>
      <c r="D5071" s="8"/>
      <c r="E5071" s="8"/>
      <c r="F5071" s="8"/>
    </row>
    <row r="5072" ht="13.5" customHeight="1">
      <c r="A5072" s="8" t="s">
        <v>1950</v>
      </c>
      <c r="B5072" s="8">
        <v>46336.0</v>
      </c>
      <c r="C5072" s="8"/>
      <c r="D5072" s="8"/>
      <c r="E5072" s="8"/>
      <c r="F5072" s="8"/>
    </row>
    <row r="5073" ht="13.5" customHeight="1">
      <c r="A5073" s="8" t="s">
        <v>1902</v>
      </c>
      <c r="B5073" s="8">
        <v>52320.0</v>
      </c>
      <c r="C5073" s="8"/>
      <c r="D5073" s="8"/>
      <c r="E5073" s="8"/>
      <c r="F5073" s="8"/>
    </row>
    <row r="5074" ht="13.5" customHeight="1">
      <c r="A5074" s="8" t="s">
        <v>1163</v>
      </c>
      <c r="B5074" s="8">
        <v>52357.0</v>
      </c>
      <c r="C5074" s="8"/>
      <c r="D5074" s="8"/>
      <c r="E5074" s="8"/>
      <c r="F5074" s="8"/>
    </row>
    <row r="5075" ht="13.5" customHeight="1">
      <c r="A5075" s="8" t="s">
        <v>912</v>
      </c>
      <c r="B5075" s="8">
        <v>53573.0</v>
      </c>
      <c r="C5075" s="8"/>
      <c r="D5075" s="8"/>
      <c r="E5075" s="8"/>
      <c r="F5075" s="8"/>
    </row>
    <row r="5076" ht="13.5" customHeight="1">
      <c r="A5076" s="8" t="s">
        <v>1950</v>
      </c>
      <c r="B5076" s="8">
        <v>56420.0</v>
      </c>
      <c r="C5076" s="8"/>
      <c r="D5076" s="8"/>
      <c r="E5076" s="8"/>
      <c r="F5076" s="8"/>
    </row>
    <row r="5077" ht="13.5" customHeight="1">
      <c r="A5077" s="8" t="s">
        <v>1950</v>
      </c>
      <c r="B5077" s="8">
        <v>57412.0</v>
      </c>
      <c r="C5077" s="8"/>
      <c r="D5077" s="8"/>
      <c r="E5077" s="8"/>
      <c r="F5077" s="8"/>
    </row>
    <row r="5078" ht="13.5" customHeight="1">
      <c r="A5078" s="8" t="s">
        <v>1718</v>
      </c>
      <c r="B5078" s="8">
        <v>66.0</v>
      </c>
      <c r="C5078" s="8"/>
      <c r="D5078" s="8"/>
      <c r="E5078" s="8"/>
      <c r="F5078" s="8"/>
    </row>
    <row r="5079" ht="13.5" customHeight="1">
      <c r="A5079" s="8" t="s">
        <v>2088</v>
      </c>
      <c r="B5079" s="8">
        <v>1762.0</v>
      </c>
      <c r="C5079" s="8"/>
      <c r="D5079" s="8"/>
      <c r="E5079" s="8"/>
      <c r="F5079" s="8"/>
    </row>
    <row r="5080" ht="13.5" customHeight="1">
      <c r="A5080" s="8" t="s">
        <v>2089</v>
      </c>
      <c r="B5080" s="8">
        <v>6150.0</v>
      </c>
      <c r="C5080" s="8"/>
      <c r="D5080" s="8"/>
      <c r="E5080" s="8"/>
      <c r="F5080" s="8"/>
    </row>
    <row r="5081" ht="13.5" customHeight="1">
      <c r="A5081" s="8" t="s">
        <v>2090</v>
      </c>
      <c r="B5081" s="8">
        <v>6310.0</v>
      </c>
      <c r="C5081" s="8"/>
      <c r="D5081" s="8"/>
      <c r="E5081" s="8"/>
      <c r="F5081" s="8"/>
    </row>
    <row r="5082" ht="13.5" customHeight="1">
      <c r="A5082" s="8" t="s">
        <v>2091</v>
      </c>
      <c r="B5082" s="8">
        <v>9664.0</v>
      </c>
      <c r="C5082" s="8"/>
      <c r="D5082" s="8"/>
      <c r="E5082" s="8"/>
      <c r="F5082" s="8"/>
    </row>
    <row r="5083" ht="13.5" customHeight="1">
      <c r="A5083" s="8" t="s">
        <v>2088</v>
      </c>
      <c r="B5083" s="8">
        <v>11168.0</v>
      </c>
      <c r="C5083" s="8"/>
      <c r="D5083" s="8"/>
      <c r="E5083" s="8"/>
      <c r="F5083" s="8"/>
    </row>
    <row r="5084" ht="13.5" customHeight="1">
      <c r="A5084" s="8" t="s">
        <v>1757</v>
      </c>
      <c r="B5084" s="8">
        <v>12417.0</v>
      </c>
      <c r="C5084" s="8"/>
      <c r="D5084" s="8"/>
      <c r="E5084" s="8"/>
      <c r="F5084" s="8"/>
    </row>
    <row r="5085" ht="13.5" customHeight="1">
      <c r="A5085" s="8" t="s">
        <v>2091</v>
      </c>
      <c r="B5085" s="8">
        <v>13607.0</v>
      </c>
      <c r="C5085" s="8"/>
      <c r="D5085" s="8"/>
      <c r="E5085" s="8"/>
      <c r="F5085" s="8"/>
    </row>
    <row r="5086" ht="13.5" customHeight="1">
      <c r="A5086" s="8" t="s">
        <v>2066</v>
      </c>
      <c r="B5086" s="8">
        <v>14597.0</v>
      </c>
      <c r="C5086" s="8"/>
      <c r="D5086" s="8"/>
      <c r="E5086" s="8"/>
      <c r="F5086" s="8"/>
    </row>
    <row r="5087" ht="13.5" customHeight="1">
      <c r="A5087" s="8" t="s">
        <v>2091</v>
      </c>
      <c r="B5087" s="8">
        <v>15015.0</v>
      </c>
      <c r="C5087" s="8"/>
      <c r="D5087" s="8"/>
      <c r="E5087" s="8"/>
      <c r="F5087" s="8"/>
    </row>
    <row r="5088" ht="13.5" customHeight="1">
      <c r="A5088" s="8" t="s">
        <v>1920</v>
      </c>
      <c r="B5088" s="8">
        <v>17539.0</v>
      </c>
      <c r="C5088" s="8"/>
      <c r="D5088" s="8"/>
      <c r="E5088" s="8"/>
      <c r="F5088" s="8"/>
    </row>
    <row r="5089" ht="13.5" customHeight="1">
      <c r="A5089" s="8" t="s">
        <v>2091</v>
      </c>
      <c r="B5089" s="8">
        <v>19559.0</v>
      </c>
      <c r="C5089" s="8"/>
      <c r="D5089" s="8"/>
      <c r="E5089" s="8"/>
      <c r="F5089" s="8"/>
    </row>
    <row r="5090" ht="13.5" customHeight="1">
      <c r="A5090" s="8" t="s">
        <v>2091</v>
      </c>
      <c r="B5090" s="8">
        <v>21188.0</v>
      </c>
      <c r="C5090" s="8"/>
      <c r="D5090" s="8"/>
      <c r="E5090" s="8"/>
      <c r="F5090" s="8"/>
    </row>
    <row r="5091" ht="13.5" customHeight="1">
      <c r="A5091" s="8" t="s">
        <v>2088</v>
      </c>
      <c r="B5091" s="8">
        <v>21318.0</v>
      </c>
      <c r="C5091" s="8"/>
      <c r="D5091" s="8"/>
      <c r="E5091" s="8"/>
      <c r="F5091" s="8"/>
    </row>
    <row r="5092" ht="13.5" customHeight="1">
      <c r="A5092" s="8" t="s">
        <v>1920</v>
      </c>
      <c r="B5092" s="8">
        <v>21792.0</v>
      </c>
      <c r="C5092" s="8"/>
      <c r="D5092" s="8"/>
      <c r="E5092" s="8"/>
      <c r="F5092" s="8"/>
    </row>
    <row r="5093" ht="13.5" customHeight="1">
      <c r="A5093" s="8" t="s">
        <v>1920</v>
      </c>
      <c r="B5093" s="8">
        <v>21831.0</v>
      </c>
      <c r="C5093" s="8"/>
      <c r="D5093" s="8"/>
      <c r="E5093" s="8"/>
      <c r="F5093" s="8"/>
    </row>
    <row r="5094" ht="13.5" customHeight="1">
      <c r="A5094" s="8" t="s">
        <v>2089</v>
      </c>
      <c r="B5094" s="8">
        <v>22818.0</v>
      </c>
      <c r="C5094" s="8"/>
      <c r="D5094" s="8"/>
      <c r="E5094" s="8"/>
      <c r="F5094" s="8"/>
    </row>
    <row r="5095" ht="13.5" customHeight="1">
      <c r="A5095" s="8" t="s">
        <v>2088</v>
      </c>
      <c r="B5095" s="8">
        <v>24801.0</v>
      </c>
      <c r="C5095" s="8"/>
      <c r="D5095" s="8"/>
      <c r="E5095" s="8"/>
      <c r="F5095" s="8"/>
    </row>
    <row r="5096" ht="13.5" customHeight="1">
      <c r="A5096" s="8" t="s">
        <v>2091</v>
      </c>
      <c r="B5096" s="8">
        <v>27780.0</v>
      </c>
      <c r="C5096" s="8"/>
      <c r="D5096" s="8"/>
      <c r="E5096" s="8"/>
      <c r="F5096" s="8"/>
    </row>
    <row r="5097" ht="13.5" customHeight="1">
      <c r="A5097" s="8" t="s">
        <v>2088</v>
      </c>
      <c r="B5097" s="8">
        <v>27843.0</v>
      </c>
      <c r="C5097" s="8"/>
      <c r="D5097" s="8"/>
      <c r="E5097" s="8"/>
      <c r="F5097" s="8"/>
    </row>
    <row r="5098" ht="13.5" customHeight="1">
      <c r="A5098" s="8" t="s">
        <v>2089</v>
      </c>
      <c r="B5098" s="8">
        <v>28773.0</v>
      </c>
      <c r="C5098" s="8"/>
      <c r="D5098" s="8"/>
      <c r="E5098" s="8"/>
      <c r="F5098" s="8"/>
    </row>
    <row r="5099" ht="13.5" customHeight="1">
      <c r="A5099" s="8" t="s">
        <v>1815</v>
      </c>
      <c r="B5099" s="8">
        <v>30786.0</v>
      </c>
      <c r="C5099" s="8"/>
      <c r="D5099" s="8"/>
      <c r="E5099" s="8"/>
      <c r="F5099" s="8"/>
    </row>
    <row r="5100" ht="13.5" customHeight="1">
      <c r="A5100" s="8" t="s">
        <v>2066</v>
      </c>
      <c r="B5100" s="8">
        <v>31809.0</v>
      </c>
      <c r="C5100" s="8"/>
      <c r="D5100" s="8"/>
      <c r="E5100" s="8"/>
      <c r="F5100" s="8"/>
    </row>
    <row r="5101" ht="13.5" customHeight="1">
      <c r="A5101" s="8" t="s">
        <v>2088</v>
      </c>
      <c r="B5101" s="8">
        <v>31878.0</v>
      </c>
      <c r="C5101" s="8"/>
      <c r="D5101" s="8"/>
      <c r="E5101" s="8"/>
      <c r="F5101" s="8"/>
    </row>
    <row r="5102" ht="13.5" customHeight="1">
      <c r="A5102" s="8" t="s">
        <v>2066</v>
      </c>
      <c r="B5102" s="8">
        <v>34976.0</v>
      </c>
      <c r="C5102" s="8"/>
      <c r="D5102" s="8"/>
      <c r="E5102" s="8"/>
      <c r="F5102" s="8"/>
    </row>
    <row r="5103" ht="13.5" customHeight="1">
      <c r="A5103" s="8" t="s">
        <v>1815</v>
      </c>
      <c r="B5103" s="8">
        <v>34979.0</v>
      </c>
      <c r="C5103" s="8"/>
      <c r="D5103" s="8"/>
      <c r="E5103" s="8"/>
      <c r="F5103" s="8"/>
    </row>
    <row r="5104" ht="13.5" customHeight="1">
      <c r="A5104" s="8" t="s">
        <v>2089</v>
      </c>
      <c r="B5104" s="8">
        <v>36608.0</v>
      </c>
      <c r="C5104" s="8"/>
      <c r="D5104" s="8"/>
      <c r="E5104" s="8"/>
      <c r="F5104" s="8"/>
    </row>
    <row r="5105" ht="13.5" customHeight="1">
      <c r="A5105" s="8" t="s">
        <v>2089</v>
      </c>
      <c r="B5105" s="8">
        <v>36994.0</v>
      </c>
      <c r="C5105" s="8"/>
      <c r="D5105" s="8"/>
      <c r="E5105" s="8"/>
      <c r="F5105" s="8"/>
    </row>
    <row r="5106" ht="13.5" customHeight="1">
      <c r="A5106" s="8" t="s">
        <v>2089</v>
      </c>
      <c r="B5106" s="8">
        <v>38944.0</v>
      </c>
      <c r="C5106" s="8"/>
      <c r="D5106" s="8"/>
      <c r="E5106" s="8"/>
      <c r="F5106" s="8"/>
    </row>
    <row r="5107" ht="13.5" customHeight="1">
      <c r="A5107" s="8" t="s">
        <v>1815</v>
      </c>
      <c r="B5107" s="8">
        <v>39075.0</v>
      </c>
      <c r="C5107" s="8"/>
      <c r="D5107" s="8"/>
      <c r="E5107" s="8"/>
      <c r="F5107" s="8"/>
    </row>
    <row r="5108" ht="13.5" customHeight="1">
      <c r="A5108" s="8" t="s">
        <v>2089</v>
      </c>
      <c r="B5108" s="8">
        <v>39425.0</v>
      </c>
      <c r="C5108" s="8"/>
      <c r="D5108" s="8"/>
      <c r="E5108" s="8"/>
      <c r="F5108" s="8"/>
    </row>
    <row r="5109" ht="13.5" customHeight="1">
      <c r="A5109" s="8" t="s">
        <v>2090</v>
      </c>
      <c r="B5109" s="8">
        <v>41921.0</v>
      </c>
      <c r="C5109" s="8"/>
      <c r="D5109" s="8"/>
      <c r="E5109" s="8"/>
      <c r="F5109" s="8"/>
    </row>
    <row r="5110" ht="13.5" customHeight="1">
      <c r="A5110" s="8" t="s">
        <v>1815</v>
      </c>
      <c r="B5110" s="8">
        <v>42945.0</v>
      </c>
      <c r="C5110" s="8"/>
      <c r="D5110" s="8"/>
      <c r="E5110" s="8"/>
      <c r="F5110" s="8"/>
    </row>
    <row r="5111" ht="13.5" customHeight="1">
      <c r="A5111" s="8" t="s">
        <v>2091</v>
      </c>
      <c r="B5111" s="8">
        <v>43104.0</v>
      </c>
      <c r="C5111" s="8"/>
      <c r="D5111" s="8"/>
      <c r="E5111" s="8"/>
      <c r="F5111" s="8"/>
    </row>
    <row r="5112" ht="13.5" customHeight="1">
      <c r="A5112" s="8" t="s">
        <v>2091</v>
      </c>
      <c r="B5112" s="8">
        <v>43301.0</v>
      </c>
      <c r="C5112" s="8"/>
      <c r="D5112" s="8"/>
      <c r="E5112" s="8"/>
      <c r="F5112" s="8"/>
    </row>
    <row r="5113" ht="13.5" customHeight="1">
      <c r="A5113" s="8" t="s">
        <v>2092</v>
      </c>
      <c r="B5113" s="8">
        <v>44995.0</v>
      </c>
      <c r="C5113" s="8"/>
      <c r="D5113" s="8"/>
      <c r="E5113" s="8"/>
      <c r="F5113" s="8"/>
    </row>
    <row r="5114" ht="13.5" customHeight="1">
      <c r="A5114" s="8" t="s">
        <v>2091</v>
      </c>
      <c r="B5114" s="8">
        <v>45989.0</v>
      </c>
      <c r="C5114" s="8"/>
      <c r="D5114" s="8"/>
      <c r="E5114" s="8"/>
      <c r="F5114" s="8"/>
    </row>
    <row r="5115" ht="13.5" customHeight="1">
      <c r="A5115" s="8" t="s">
        <v>914</v>
      </c>
      <c r="B5115" s="8">
        <v>49767.0</v>
      </c>
      <c r="C5115" s="8"/>
      <c r="D5115" s="8"/>
      <c r="E5115" s="8"/>
      <c r="F5115" s="8"/>
    </row>
    <row r="5116" ht="13.5" customHeight="1">
      <c r="A5116" s="8" t="s">
        <v>2090</v>
      </c>
      <c r="B5116" s="8">
        <v>51239.0</v>
      </c>
      <c r="C5116" s="8"/>
      <c r="D5116" s="8"/>
      <c r="E5116" s="8"/>
      <c r="F5116" s="8"/>
    </row>
    <row r="5117" ht="13.5" customHeight="1">
      <c r="A5117" s="8" t="s">
        <v>2089</v>
      </c>
      <c r="B5117" s="8">
        <v>51269.0</v>
      </c>
      <c r="C5117" s="8"/>
      <c r="D5117" s="8"/>
      <c r="E5117" s="8"/>
      <c r="F5117" s="8"/>
    </row>
    <row r="5118" ht="13.5" customHeight="1">
      <c r="A5118" s="8" t="s">
        <v>2066</v>
      </c>
      <c r="B5118" s="8">
        <v>54084.0</v>
      </c>
      <c r="C5118" s="8"/>
      <c r="D5118" s="8"/>
      <c r="E5118" s="8"/>
      <c r="F5118" s="8"/>
    </row>
    <row r="5119" ht="13.5" customHeight="1">
      <c r="A5119" s="8" t="s">
        <v>1815</v>
      </c>
      <c r="B5119" s="8">
        <v>55014.0</v>
      </c>
      <c r="C5119" s="8"/>
      <c r="D5119" s="8"/>
      <c r="E5119" s="8"/>
      <c r="F5119" s="8"/>
    </row>
    <row r="5120" ht="13.5" customHeight="1">
      <c r="A5120" s="8" t="s">
        <v>2066</v>
      </c>
      <c r="B5120" s="8">
        <v>55845.0</v>
      </c>
      <c r="C5120" s="8"/>
      <c r="D5120" s="8"/>
      <c r="E5120" s="8"/>
      <c r="F5120" s="8"/>
    </row>
    <row r="5121" ht="13.5" customHeight="1">
      <c r="A5121" s="8" t="s">
        <v>1364</v>
      </c>
      <c r="B5121" s="8">
        <v>55846.0</v>
      </c>
      <c r="C5121" s="8"/>
      <c r="D5121" s="8"/>
      <c r="E5121" s="8"/>
      <c r="F5121" s="8"/>
    </row>
    <row r="5122" ht="13.5" customHeight="1">
      <c r="A5122" s="8" t="s">
        <v>2091</v>
      </c>
      <c r="B5122" s="8">
        <v>57063.0</v>
      </c>
      <c r="C5122" s="8"/>
      <c r="D5122" s="8"/>
      <c r="E5122" s="8"/>
      <c r="F5122" s="8"/>
    </row>
    <row r="5123" ht="13.5" customHeight="1">
      <c r="A5123" s="8" t="s">
        <v>914</v>
      </c>
      <c r="B5123" s="8">
        <v>57093.0</v>
      </c>
      <c r="C5123" s="8"/>
      <c r="D5123" s="8"/>
      <c r="E5123" s="8"/>
      <c r="F5123" s="8"/>
    </row>
    <row r="5124" ht="13.5" customHeight="1">
      <c r="A5124" s="8" t="s">
        <v>1364</v>
      </c>
      <c r="B5124" s="8">
        <v>59329.0</v>
      </c>
      <c r="C5124" s="8"/>
      <c r="D5124" s="8"/>
      <c r="E5124" s="8"/>
      <c r="F5124" s="8"/>
    </row>
    <row r="5125" ht="13.5" customHeight="1">
      <c r="A5125" s="8" t="s">
        <v>2093</v>
      </c>
      <c r="B5125" s="8">
        <v>36.0</v>
      </c>
      <c r="C5125" s="8"/>
      <c r="D5125" s="8"/>
      <c r="E5125" s="8"/>
      <c r="F5125" s="8"/>
    </row>
    <row r="5126" ht="13.5" customHeight="1">
      <c r="A5126" s="8" t="s">
        <v>1433</v>
      </c>
      <c r="B5126" s="8">
        <v>194.0</v>
      </c>
      <c r="C5126" s="8"/>
      <c r="D5126" s="8"/>
      <c r="E5126" s="8"/>
      <c r="F5126" s="8"/>
    </row>
    <row r="5127" ht="13.5" customHeight="1">
      <c r="A5127" s="8" t="s">
        <v>2094</v>
      </c>
      <c r="B5127" s="8">
        <v>384.0</v>
      </c>
      <c r="C5127" s="8"/>
      <c r="D5127" s="8"/>
      <c r="E5127" s="8"/>
      <c r="F5127" s="8"/>
    </row>
    <row r="5128" ht="13.5" customHeight="1">
      <c r="A5128" s="8" t="s">
        <v>2095</v>
      </c>
      <c r="B5128" s="8">
        <v>774.0</v>
      </c>
      <c r="C5128" s="8"/>
      <c r="D5128" s="8"/>
      <c r="E5128" s="8"/>
      <c r="F5128" s="8"/>
    </row>
    <row r="5129" ht="13.5" customHeight="1">
      <c r="A5129" s="8" t="s">
        <v>1090</v>
      </c>
      <c r="B5129" s="8">
        <v>1027.0</v>
      </c>
      <c r="C5129" s="8"/>
      <c r="D5129" s="8"/>
      <c r="E5129" s="8"/>
      <c r="F5129" s="8"/>
    </row>
    <row r="5130" ht="13.5" customHeight="1">
      <c r="A5130" s="8" t="s">
        <v>1473</v>
      </c>
      <c r="B5130" s="8">
        <v>1060.0</v>
      </c>
      <c r="C5130" s="8"/>
      <c r="D5130" s="8"/>
      <c r="E5130" s="8"/>
      <c r="F5130" s="8"/>
    </row>
    <row r="5131" ht="13.5" customHeight="1">
      <c r="A5131" s="8" t="s">
        <v>1473</v>
      </c>
      <c r="B5131" s="8">
        <v>1280.0</v>
      </c>
      <c r="C5131" s="8"/>
      <c r="D5131" s="8"/>
      <c r="E5131" s="8"/>
      <c r="F5131" s="8"/>
    </row>
    <row r="5132" ht="13.5" customHeight="1">
      <c r="A5132" s="8" t="s">
        <v>1090</v>
      </c>
      <c r="B5132" s="8">
        <v>1764.0</v>
      </c>
      <c r="C5132" s="8"/>
      <c r="D5132" s="8"/>
      <c r="E5132" s="8"/>
      <c r="F5132" s="8"/>
    </row>
    <row r="5133" ht="13.5" customHeight="1">
      <c r="A5133" s="8" t="s">
        <v>2096</v>
      </c>
      <c r="B5133" s="8">
        <v>1824.0</v>
      </c>
      <c r="C5133" s="8"/>
      <c r="D5133" s="8"/>
      <c r="E5133" s="8"/>
      <c r="F5133" s="8"/>
    </row>
    <row r="5134" ht="13.5" customHeight="1">
      <c r="A5134" s="8" t="s">
        <v>1433</v>
      </c>
      <c r="B5134" s="8">
        <v>2503.0</v>
      </c>
      <c r="C5134" s="8"/>
      <c r="D5134" s="8"/>
      <c r="E5134" s="8"/>
      <c r="F5134" s="8"/>
    </row>
    <row r="5135" ht="13.5" customHeight="1">
      <c r="A5135" s="8" t="s">
        <v>1473</v>
      </c>
      <c r="B5135" s="8">
        <v>4069.0</v>
      </c>
      <c r="C5135" s="8"/>
      <c r="D5135" s="8"/>
      <c r="E5135" s="8"/>
      <c r="F5135" s="8"/>
    </row>
    <row r="5136" ht="13.5" customHeight="1">
      <c r="A5136" s="8" t="s">
        <v>1791</v>
      </c>
      <c r="B5136" s="8">
        <v>4645.0</v>
      </c>
      <c r="C5136" s="8"/>
      <c r="D5136" s="8"/>
      <c r="E5136" s="8"/>
      <c r="F5136" s="8"/>
    </row>
    <row r="5137" ht="13.5" customHeight="1">
      <c r="A5137" s="8" t="s">
        <v>2095</v>
      </c>
      <c r="B5137" s="8">
        <v>5858.0</v>
      </c>
      <c r="C5137" s="8"/>
      <c r="D5137" s="8"/>
      <c r="E5137" s="8"/>
      <c r="F5137" s="8"/>
    </row>
    <row r="5138" ht="13.5" customHeight="1">
      <c r="A5138" s="8" t="s">
        <v>2097</v>
      </c>
      <c r="B5138" s="8">
        <v>6304.0</v>
      </c>
      <c r="C5138" s="8"/>
      <c r="D5138" s="8"/>
      <c r="E5138" s="8"/>
      <c r="F5138" s="8"/>
    </row>
    <row r="5139" ht="13.5" customHeight="1">
      <c r="A5139" s="8" t="s">
        <v>1791</v>
      </c>
      <c r="B5139" s="8">
        <v>6661.0</v>
      </c>
      <c r="C5139" s="8"/>
      <c r="D5139" s="8"/>
      <c r="E5139" s="8"/>
      <c r="F5139" s="8"/>
    </row>
    <row r="5140" ht="13.5" customHeight="1">
      <c r="A5140" s="8" t="s">
        <v>2098</v>
      </c>
      <c r="B5140" s="8">
        <v>6757.0</v>
      </c>
      <c r="C5140" s="8"/>
      <c r="D5140" s="8"/>
      <c r="E5140" s="8"/>
      <c r="F5140" s="8"/>
    </row>
    <row r="5141" ht="13.5" customHeight="1">
      <c r="A5141" s="8" t="s">
        <v>2099</v>
      </c>
      <c r="B5141" s="8">
        <v>7904.0</v>
      </c>
      <c r="C5141" s="8"/>
      <c r="D5141" s="8"/>
      <c r="E5141" s="8"/>
      <c r="F5141" s="8"/>
    </row>
    <row r="5142" ht="13.5" customHeight="1">
      <c r="A5142" s="8" t="s">
        <v>2100</v>
      </c>
      <c r="B5142" s="8">
        <v>7909.0</v>
      </c>
      <c r="C5142" s="8"/>
      <c r="D5142" s="8"/>
      <c r="E5142" s="8"/>
      <c r="F5142" s="8"/>
    </row>
    <row r="5143" ht="13.5" customHeight="1">
      <c r="A5143" s="8" t="s">
        <v>2099</v>
      </c>
      <c r="B5143" s="8">
        <v>8614.0</v>
      </c>
      <c r="C5143" s="8"/>
      <c r="D5143" s="8"/>
      <c r="E5143" s="8"/>
      <c r="F5143" s="8"/>
    </row>
    <row r="5144" ht="13.5" customHeight="1">
      <c r="A5144" s="8" t="s">
        <v>2101</v>
      </c>
      <c r="B5144" s="8">
        <v>9249.0</v>
      </c>
      <c r="C5144" s="8"/>
      <c r="D5144" s="8"/>
      <c r="E5144" s="8"/>
      <c r="F5144" s="8"/>
    </row>
    <row r="5145" ht="13.5" customHeight="1">
      <c r="A5145" s="8" t="s">
        <v>2096</v>
      </c>
      <c r="B5145" s="8">
        <v>9639.0</v>
      </c>
      <c r="C5145" s="8"/>
      <c r="D5145" s="8"/>
      <c r="E5145" s="8"/>
      <c r="F5145" s="8"/>
    </row>
    <row r="5146" ht="13.5" customHeight="1">
      <c r="A5146" s="8" t="s">
        <v>1473</v>
      </c>
      <c r="B5146" s="8">
        <v>9696.0</v>
      </c>
      <c r="C5146" s="8"/>
      <c r="D5146" s="8"/>
      <c r="E5146" s="8"/>
      <c r="F5146" s="8"/>
    </row>
    <row r="5147" ht="13.5" customHeight="1">
      <c r="A5147" s="8" t="s">
        <v>2097</v>
      </c>
      <c r="B5147" s="8">
        <v>9888.0</v>
      </c>
      <c r="C5147" s="8"/>
      <c r="D5147" s="8"/>
      <c r="E5147" s="8"/>
      <c r="F5147" s="8"/>
    </row>
    <row r="5148" ht="13.5" customHeight="1">
      <c r="A5148" s="8" t="s">
        <v>2101</v>
      </c>
      <c r="B5148" s="8">
        <v>10913.0</v>
      </c>
      <c r="C5148" s="8"/>
      <c r="D5148" s="8"/>
      <c r="E5148" s="8"/>
      <c r="F5148" s="8"/>
    </row>
    <row r="5149" ht="13.5" customHeight="1">
      <c r="A5149" s="8" t="s">
        <v>2102</v>
      </c>
      <c r="B5149" s="8">
        <v>10981.0</v>
      </c>
      <c r="C5149" s="8"/>
      <c r="D5149" s="8"/>
      <c r="E5149" s="8"/>
      <c r="F5149" s="8"/>
    </row>
    <row r="5150" ht="13.5" customHeight="1">
      <c r="A5150" s="8" t="s">
        <v>2101</v>
      </c>
      <c r="B5150" s="8">
        <v>12707.0</v>
      </c>
      <c r="C5150" s="8"/>
      <c r="D5150" s="8"/>
      <c r="E5150" s="8"/>
      <c r="F5150" s="8"/>
    </row>
    <row r="5151" ht="13.5" customHeight="1">
      <c r="A5151" s="8" t="s">
        <v>2095</v>
      </c>
      <c r="B5151" s="8">
        <v>13799.0</v>
      </c>
      <c r="C5151" s="8"/>
      <c r="D5151" s="8"/>
      <c r="E5151" s="8"/>
      <c r="F5151" s="8"/>
    </row>
    <row r="5152" ht="13.5" customHeight="1">
      <c r="A5152" s="8" t="s">
        <v>2100</v>
      </c>
      <c r="B5152" s="8">
        <v>13959.0</v>
      </c>
      <c r="C5152" s="8"/>
      <c r="D5152" s="8"/>
      <c r="E5152" s="8"/>
      <c r="F5152" s="8"/>
    </row>
    <row r="5153" ht="13.5" customHeight="1">
      <c r="A5153" s="8" t="s">
        <v>2099</v>
      </c>
      <c r="B5153" s="8">
        <v>14016.0</v>
      </c>
      <c r="C5153" s="8"/>
      <c r="D5153" s="8"/>
      <c r="E5153" s="8"/>
      <c r="F5153" s="8"/>
    </row>
    <row r="5154" ht="13.5" customHeight="1">
      <c r="A5154" s="8" t="s">
        <v>2096</v>
      </c>
      <c r="B5154" s="8">
        <v>14563.0</v>
      </c>
      <c r="C5154" s="8"/>
      <c r="D5154" s="8"/>
      <c r="E5154" s="8"/>
      <c r="F5154" s="8"/>
    </row>
    <row r="5155" ht="13.5" customHeight="1">
      <c r="A5155" s="8" t="s">
        <v>2095</v>
      </c>
      <c r="B5155" s="8">
        <v>15428.0</v>
      </c>
      <c r="C5155" s="8"/>
      <c r="D5155" s="8"/>
      <c r="E5155" s="8"/>
      <c r="F5155" s="8"/>
    </row>
    <row r="5156" ht="13.5" customHeight="1">
      <c r="A5156" s="8" t="s">
        <v>2100</v>
      </c>
      <c r="B5156" s="8">
        <v>16772.0</v>
      </c>
      <c r="C5156" s="8"/>
      <c r="D5156" s="8"/>
      <c r="E5156" s="8"/>
      <c r="F5156" s="8"/>
    </row>
    <row r="5157" ht="13.5" customHeight="1">
      <c r="A5157" s="8" t="s">
        <v>2023</v>
      </c>
      <c r="B5157" s="8">
        <v>18119.0</v>
      </c>
      <c r="C5157" s="8"/>
      <c r="D5157" s="8"/>
      <c r="E5157" s="8"/>
      <c r="F5157" s="8"/>
    </row>
    <row r="5158" ht="13.5" customHeight="1">
      <c r="A5158" s="8" t="s">
        <v>2103</v>
      </c>
      <c r="B5158" s="8">
        <v>18368.0</v>
      </c>
      <c r="C5158" s="8"/>
      <c r="D5158" s="8"/>
      <c r="E5158" s="8"/>
      <c r="F5158" s="8"/>
    </row>
    <row r="5159" ht="13.5" customHeight="1">
      <c r="A5159" s="8" t="s">
        <v>2095</v>
      </c>
      <c r="B5159" s="8">
        <v>19424.0</v>
      </c>
      <c r="C5159" s="8"/>
      <c r="D5159" s="8"/>
      <c r="E5159" s="8"/>
      <c r="F5159" s="8"/>
    </row>
    <row r="5160" ht="13.5" customHeight="1">
      <c r="A5160" s="8" t="s">
        <v>2104</v>
      </c>
      <c r="B5160" s="8">
        <v>19425.0</v>
      </c>
      <c r="C5160" s="8"/>
      <c r="D5160" s="8"/>
      <c r="E5160" s="8"/>
      <c r="F5160" s="8"/>
    </row>
    <row r="5161" ht="13.5" customHeight="1">
      <c r="A5161" s="8" t="s">
        <v>2100</v>
      </c>
      <c r="B5161" s="8">
        <v>19812.0</v>
      </c>
      <c r="C5161" s="8"/>
      <c r="D5161" s="8"/>
      <c r="E5161" s="8"/>
      <c r="F5161" s="8"/>
    </row>
    <row r="5162" ht="13.5" customHeight="1">
      <c r="A5162" s="8" t="s">
        <v>2103</v>
      </c>
      <c r="B5162" s="8">
        <v>21510.0</v>
      </c>
      <c r="C5162" s="8"/>
      <c r="D5162" s="8"/>
      <c r="E5162" s="8"/>
      <c r="F5162" s="8"/>
    </row>
    <row r="5163" ht="13.5" customHeight="1">
      <c r="A5163" s="8" t="s">
        <v>2105</v>
      </c>
      <c r="B5163" s="8">
        <v>21763.0</v>
      </c>
      <c r="C5163" s="8"/>
      <c r="D5163" s="8"/>
      <c r="E5163" s="8"/>
      <c r="F5163" s="8"/>
    </row>
    <row r="5164" ht="13.5" customHeight="1">
      <c r="A5164" s="8" t="s">
        <v>2106</v>
      </c>
      <c r="B5164" s="8">
        <v>22212.0</v>
      </c>
      <c r="C5164" s="8"/>
      <c r="D5164" s="8"/>
      <c r="E5164" s="8"/>
      <c r="F5164" s="8"/>
    </row>
    <row r="5165" ht="13.5" customHeight="1">
      <c r="A5165" s="8" t="s">
        <v>2097</v>
      </c>
      <c r="B5165" s="8">
        <v>23046.0</v>
      </c>
      <c r="C5165" s="8"/>
      <c r="D5165" s="8"/>
      <c r="E5165" s="8"/>
      <c r="F5165" s="8"/>
    </row>
    <row r="5166" ht="13.5" customHeight="1">
      <c r="A5166" s="8" t="s">
        <v>2100</v>
      </c>
      <c r="B5166" s="8">
        <v>23172.0</v>
      </c>
      <c r="C5166" s="8"/>
      <c r="D5166" s="8"/>
      <c r="E5166" s="8"/>
      <c r="F5166" s="8"/>
    </row>
    <row r="5167" ht="13.5" customHeight="1">
      <c r="A5167" s="8" t="s">
        <v>2106</v>
      </c>
      <c r="B5167" s="8">
        <v>23585.0</v>
      </c>
      <c r="C5167" s="8"/>
      <c r="D5167" s="8"/>
      <c r="E5167" s="8"/>
      <c r="F5167" s="8"/>
    </row>
    <row r="5168" ht="13.5" customHeight="1">
      <c r="A5168" s="8" t="s">
        <v>2103</v>
      </c>
      <c r="B5168" s="8">
        <v>23906.0</v>
      </c>
      <c r="C5168" s="8"/>
      <c r="D5168" s="8"/>
      <c r="E5168" s="8"/>
      <c r="F5168" s="8"/>
    </row>
    <row r="5169" ht="13.5" customHeight="1">
      <c r="A5169" s="8" t="s">
        <v>2096</v>
      </c>
      <c r="B5169" s="8">
        <v>24583.0</v>
      </c>
      <c r="C5169" s="8"/>
      <c r="D5169" s="8"/>
      <c r="E5169" s="8"/>
      <c r="F5169" s="8"/>
    </row>
    <row r="5170" ht="13.5" customHeight="1">
      <c r="A5170" s="8" t="s">
        <v>2095</v>
      </c>
      <c r="B5170" s="8">
        <v>25191.0</v>
      </c>
      <c r="C5170" s="8"/>
      <c r="D5170" s="8"/>
      <c r="E5170" s="8"/>
      <c r="F5170" s="8"/>
    </row>
    <row r="5171" ht="13.5" customHeight="1">
      <c r="A5171" s="8" t="s">
        <v>2103</v>
      </c>
      <c r="B5171" s="8">
        <v>25603.0</v>
      </c>
      <c r="C5171" s="8"/>
      <c r="D5171" s="8"/>
      <c r="E5171" s="8"/>
      <c r="F5171" s="8"/>
    </row>
    <row r="5172" ht="13.5" customHeight="1">
      <c r="A5172" s="8" t="s">
        <v>2098</v>
      </c>
      <c r="B5172" s="8">
        <v>25861.0</v>
      </c>
      <c r="C5172" s="8"/>
      <c r="D5172" s="8"/>
      <c r="E5172" s="8"/>
      <c r="F5172" s="8"/>
    </row>
    <row r="5173" ht="13.5" customHeight="1">
      <c r="A5173" s="8" t="s">
        <v>2099</v>
      </c>
      <c r="B5173" s="8">
        <v>26979.0</v>
      </c>
      <c r="C5173" s="8"/>
      <c r="D5173" s="8"/>
      <c r="E5173" s="8"/>
      <c r="F5173" s="8"/>
    </row>
    <row r="5174" ht="13.5" customHeight="1">
      <c r="A5174" s="8" t="s">
        <v>2102</v>
      </c>
      <c r="B5174" s="8">
        <v>28097.0</v>
      </c>
      <c r="C5174" s="8"/>
      <c r="D5174" s="8"/>
      <c r="E5174" s="8"/>
      <c r="F5174" s="8"/>
    </row>
    <row r="5175" ht="13.5" customHeight="1">
      <c r="A5175" s="8" t="s">
        <v>2098</v>
      </c>
      <c r="B5175" s="8">
        <v>28262.0</v>
      </c>
      <c r="C5175" s="8"/>
      <c r="D5175" s="8"/>
      <c r="E5175" s="8"/>
      <c r="F5175" s="8"/>
    </row>
    <row r="5176" ht="13.5" customHeight="1">
      <c r="A5176" s="8" t="s">
        <v>2023</v>
      </c>
      <c r="B5176" s="8">
        <v>28519.0</v>
      </c>
      <c r="C5176" s="8"/>
      <c r="D5176" s="8"/>
      <c r="E5176" s="8"/>
      <c r="F5176" s="8"/>
    </row>
    <row r="5177" ht="13.5" customHeight="1">
      <c r="A5177" s="8" t="s">
        <v>1196</v>
      </c>
      <c r="B5177" s="8">
        <v>29187.0</v>
      </c>
      <c r="C5177" s="8"/>
      <c r="D5177" s="8"/>
      <c r="E5177" s="8"/>
      <c r="F5177" s="8"/>
    </row>
    <row r="5178" ht="13.5" customHeight="1">
      <c r="A5178" s="8" t="s">
        <v>2096</v>
      </c>
      <c r="B5178" s="8">
        <v>29317.0</v>
      </c>
      <c r="C5178" s="8"/>
      <c r="D5178" s="8"/>
      <c r="E5178" s="8"/>
      <c r="F5178" s="8"/>
    </row>
    <row r="5179" ht="13.5" customHeight="1">
      <c r="A5179" s="8" t="s">
        <v>2097</v>
      </c>
      <c r="B5179" s="8">
        <v>29988.0</v>
      </c>
      <c r="C5179" s="8"/>
      <c r="D5179" s="8"/>
      <c r="E5179" s="8"/>
      <c r="F5179" s="8"/>
    </row>
    <row r="5180" ht="13.5" customHeight="1">
      <c r="A5180" s="8" t="s">
        <v>2106</v>
      </c>
      <c r="B5180" s="8">
        <v>30051.0</v>
      </c>
      <c r="C5180" s="8"/>
      <c r="D5180" s="8"/>
      <c r="E5180" s="8"/>
      <c r="F5180" s="8"/>
    </row>
    <row r="5181" ht="13.5" customHeight="1">
      <c r="A5181" s="8" t="s">
        <v>2095</v>
      </c>
      <c r="B5181" s="8">
        <v>30211.0</v>
      </c>
      <c r="C5181" s="8"/>
      <c r="D5181" s="8"/>
      <c r="E5181" s="8"/>
      <c r="F5181" s="8"/>
    </row>
    <row r="5182" ht="13.5" customHeight="1">
      <c r="A5182" s="8" t="s">
        <v>2099</v>
      </c>
      <c r="B5182" s="8">
        <v>30401.0</v>
      </c>
      <c r="C5182" s="8"/>
      <c r="D5182" s="8"/>
      <c r="E5182" s="8"/>
      <c r="F5182" s="8"/>
    </row>
    <row r="5183" ht="13.5" customHeight="1">
      <c r="A5183" s="8" t="s">
        <v>2102</v>
      </c>
      <c r="B5183" s="8">
        <v>30757.0</v>
      </c>
      <c r="C5183" s="8"/>
      <c r="D5183" s="8"/>
      <c r="E5183" s="8"/>
      <c r="F5183" s="8"/>
    </row>
    <row r="5184" ht="13.5" customHeight="1">
      <c r="A5184" s="8" t="s">
        <v>2107</v>
      </c>
      <c r="B5184" s="8">
        <v>31237.0</v>
      </c>
      <c r="C5184" s="8"/>
      <c r="D5184" s="8"/>
      <c r="E5184" s="8"/>
      <c r="F5184" s="8"/>
    </row>
    <row r="5185" ht="13.5" customHeight="1">
      <c r="A5185" s="8" t="s">
        <v>2098</v>
      </c>
      <c r="B5185" s="8">
        <v>32192.0</v>
      </c>
      <c r="C5185" s="8"/>
      <c r="D5185" s="8"/>
      <c r="E5185" s="8"/>
      <c r="F5185" s="8"/>
    </row>
    <row r="5186" ht="13.5" customHeight="1">
      <c r="A5186" s="8" t="s">
        <v>2107</v>
      </c>
      <c r="B5186" s="8">
        <v>33568.0</v>
      </c>
      <c r="C5186" s="8"/>
      <c r="D5186" s="8"/>
      <c r="E5186" s="8"/>
      <c r="F5186" s="8"/>
    </row>
    <row r="5187" ht="13.5" customHeight="1">
      <c r="A5187" s="8" t="s">
        <v>2098</v>
      </c>
      <c r="B5187" s="8">
        <v>33634.0</v>
      </c>
      <c r="C5187" s="8"/>
      <c r="D5187" s="8"/>
      <c r="E5187" s="8"/>
      <c r="F5187" s="8"/>
    </row>
    <row r="5188" ht="13.5" customHeight="1">
      <c r="A5188" s="8" t="s">
        <v>2106</v>
      </c>
      <c r="B5188" s="8">
        <v>33925.0</v>
      </c>
      <c r="C5188" s="8"/>
      <c r="D5188" s="8"/>
      <c r="E5188" s="8"/>
      <c r="F5188" s="8"/>
    </row>
    <row r="5189" ht="13.5" customHeight="1">
      <c r="A5189" s="8" t="s">
        <v>2094</v>
      </c>
      <c r="B5189" s="8">
        <v>34338.0</v>
      </c>
      <c r="C5189" s="8"/>
      <c r="D5189" s="8"/>
      <c r="E5189" s="8"/>
      <c r="F5189" s="8"/>
    </row>
    <row r="5190" ht="13.5" customHeight="1">
      <c r="A5190" s="8" t="s">
        <v>2107</v>
      </c>
      <c r="B5190" s="8">
        <v>34374.0</v>
      </c>
      <c r="C5190" s="8"/>
      <c r="D5190" s="8"/>
      <c r="E5190" s="8"/>
      <c r="F5190" s="8"/>
    </row>
    <row r="5191" ht="13.5" customHeight="1">
      <c r="A5191" s="8" t="s">
        <v>1842</v>
      </c>
      <c r="B5191" s="8">
        <v>34565.0</v>
      </c>
      <c r="C5191" s="8"/>
      <c r="D5191" s="8"/>
      <c r="E5191" s="8"/>
      <c r="F5191" s="8"/>
    </row>
    <row r="5192" ht="13.5" customHeight="1">
      <c r="A5192" s="8" t="s">
        <v>2106</v>
      </c>
      <c r="B5192" s="8">
        <v>34948.0</v>
      </c>
      <c r="C5192" s="8"/>
      <c r="D5192" s="8"/>
      <c r="E5192" s="8"/>
      <c r="F5192" s="8"/>
    </row>
    <row r="5193" ht="13.5" customHeight="1">
      <c r="A5193" s="8" t="s">
        <v>1196</v>
      </c>
      <c r="B5193" s="8">
        <v>35652.0</v>
      </c>
      <c r="C5193" s="8"/>
      <c r="D5193" s="8"/>
      <c r="E5193" s="8"/>
      <c r="F5193" s="8"/>
    </row>
    <row r="5194" ht="13.5" customHeight="1">
      <c r="A5194" s="8" t="s">
        <v>2100</v>
      </c>
      <c r="B5194" s="8">
        <v>36038.0</v>
      </c>
      <c r="C5194" s="8"/>
      <c r="D5194" s="8"/>
      <c r="E5194" s="8"/>
      <c r="F5194" s="8"/>
    </row>
    <row r="5195" ht="13.5" customHeight="1">
      <c r="A5195" s="8" t="s">
        <v>2098</v>
      </c>
      <c r="B5195" s="8">
        <v>36934.0</v>
      </c>
      <c r="C5195" s="8"/>
      <c r="D5195" s="8"/>
      <c r="E5195" s="8"/>
      <c r="F5195" s="8"/>
    </row>
    <row r="5196" ht="13.5" customHeight="1">
      <c r="A5196" s="8" t="s">
        <v>2097</v>
      </c>
      <c r="B5196" s="8">
        <v>37542.0</v>
      </c>
      <c r="C5196" s="8"/>
      <c r="D5196" s="8"/>
      <c r="E5196" s="8"/>
      <c r="F5196" s="8"/>
    </row>
    <row r="5197" ht="13.5" customHeight="1">
      <c r="A5197" s="8" t="s">
        <v>2095</v>
      </c>
      <c r="B5197" s="8">
        <v>38178.0</v>
      </c>
      <c r="C5197" s="8"/>
      <c r="D5197" s="8"/>
      <c r="E5197" s="8"/>
      <c r="F5197" s="8"/>
    </row>
    <row r="5198" ht="13.5" customHeight="1">
      <c r="A5198" s="8" t="s">
        <v>2099</v>
      </c>
      <c r="B5198" s="8">
        <v>38279.0</v>
      </c>
      <c r="C5198" s="8"/>
      <c r="D5198" s="8"/>
      <c r="E5198" s="8"/>
      <c r="F5198" s="8"/>
    </row>
    <row r="5199" ht="13.5" customHeight="1">
      <c r="A5199" s="8" t="s">
        <v>2023</v>
      </c>
      <c r="B5199" s="8">
        <v>38787.0</v>
      </c>
      <c r="C5199" s="8"/>
      <c r="D5199" s="8"/>
      <c r="E5199" s="8"/>
      <c r="F5199" s="8"/>
    </row>
    <row r="5200" ht="13.5" customHeight="1">
      <c r="A5200" s="8" t="s">
        <v>2103</v>
      </c>
      <c r="B5200" s="8">
        <v>38791.0</v>
      </c>
      <c r="C5200" s="8"/>
      <c r="D5200" s="8"/>
      <c r="E5200" s="8"/>
      <c r="F5200" s="8"/>
    </row>
    <row r="5201" ht="13.5" customHeight="1">
      <c r="A5201" s="8" t="s">
        <v>1842</v>
      </c>
      <c r="B5201" s="8">
        <v>38817.0</v>
      </c>
      <c r="C5201" s="8"/>
      <c r="D5201" s="8"/>
      <c r="E5201" s="8"/>
      <c r="F5201" s="8"/>
    </row>
    <row r="5202" ht="13.5" customHeight="1">
      <c r="A5202" s="8" t="s">
        <v>2023</v>
      </c>
      <c r="B5202" s="8">
        <v>38887.0</v>
      </c>
      <c r="C5202" s="8"/>
      <c r="D5202" s="8"/>
      <c r="E5202" s="8"/>
      <c r="F5202" s="8"/>
    </row>
    <row r="5203" ht="13.5" customHeight="1">
      <c r="A5203" s="8" t="s">
        <v>2103</v>
      </c>
      <c r="B5203" s="8">
        <v>38914.0</v>
      </c>
      <c r="C5203" s="8"/>
      <c r="D5203" s="8"/>
      <c r="E5203" s="8"/>
      <c r="F5203" s="8"/>
    </row>
    <row r="5204" ht="13.5" customHeight="1">
      <c r="A5204" s="8" t="s">
        <v>2097</v>
      </c>
      <c r="B5204" s="8">
        <v>39072.0</v>
      </c>
      <c r="C5204" s="8"/>
      <c r="D5204" s="8"/>
      <c r="E5204" s="8"/>
      <c r="F5204" s="8"/>
    </row>
    <row r="5205" ht="13.5" customHeight="1">
      <c r="A5205" s="8" t="s">
        <v>1842</v>
      </c>
      <c r="B5205" s="8">
        <v>39652.0</v>
      </c>
      <c r="C5205" s="8"/>
      <c r="D5205" s="8"/>
      <c r="E5205" s="8"/>
      <c r="F5205" s="8"/>
    </row>
    <row r="5206" ht="13.5" customHeight="1">
      <c r="A5206" s="8" t="s">
        <v>2097</v>
      </c>
      <c r="B5206" s="8">
        <v>39750.0</v>
      </c>
      <c r="C5206" s="8"/>
      <c r="D5206" s="8"/>
      <c r="E5206" s="8"/>
      <c r="F5206" s="8"/>
    </row>
    <row r="5207" ht="13.5" customHeight="1">
      <c r="A5207" s="8" t="s">
        <v>2097</v>
      </c>
      <c r="B5207" s="8">
        <v>40006.0</v>
      </c>
      <c r="C5207" s="8"/>
      <c r="D5207" s="8"/>
      <c r="E5207" s="8"/>
      <c r="F5207" s="8"/>
    </row>
    <row r="5208" ht="13.5" customHeight="1">
      <c r="A5208" s="8" t="s">
        <v>2104</v>
      </c>
      <c r="B5208" s="8">
        <v>40770.0</v>
      </c>
      <c r="C5208" s="8"/>
      <c r="D5208" s="8"/>
      <c r="E5208" s="8"/>
      <c r="F5208" s="8"/>
    </row>
    <row r="5209" ht="13.5" customHeight="1">
      <c r="A5209" s="8" t="s">
        <v>556</v>
      </c>
      <c r="B5209" s="8">
        <v>40933.0</v>
      </c>
      <c r="C5209" s="8"/>
      <c r="D5209" s="8"/>
      <c r="E5209" s="8"/>
      <c r="F5209" s="8"/>
    </row>
    <row r="5210" ht="13.5" customHeight="1">
      <c r="A5210" s="8" t="s">
        <v>2106</v>
      </c>
      <c r="B5210" s="8">
        <v>42370.0</v>
      </c>
      <c r="C5210" s="8"/>
      <c r="D5210" s="8"/>
      <c r="E5210" s="8"/>
      <c r="F5210" s="8"/>
    </row>
    <row r="5211" ht="13.5" customHeight="1">
      <c r="A5211" s="8" t="s">
        <v>2096</v>
      </c>
      <c r="B5211" s="8">
        <v>42436.0</v>
      </c>
      <c r="C5211" s="8"/>
      <c r="D5211" s="8"/>
      <c r="E5211" s="8"/>
      <c r="F5211" s="8"/>
    </row>
    <row r="5212" ht="13.5" customHeight="1">
      <c r="A5212" s="8" t="s">
        <v>2094</v>
      </c>
      <c r="B5212" s="8">
        <v>42855.0</v>
      </c>
      <c r="C5212" s="8"/>
      <c r="D5212" s="8"/>
      <c r="E5212" s="8"/>
      <c r="F5212" s="8"/>
    </row>
    <row r="5213" ht="13.5" customHeight="1">
      <c r="A5213" s="8" t="s">
        <v>2099</v>
      </c>
      <c r="B5213" s="8">
        <v>43686.0</v>
      </c>
      <c r="C5213" s="8"/>
      <c r="D5213" s="8"/>
      <c r="E5213" s="8"/>
      <c r="F5213" s="8"/>
    </row>
    <row r="5214" ht="13.5" customHeight="1">
      <c r="A5214" s="8" t="s">
        <v>2100</v>
      </c>
      <c r="B5214" s="8">
        <v>44295.0</v>
      </c>
      <c r="C5214" s="8"/>
      <c r="D5214" s="8"/>
      <c r="E5214" s="8"/>
      <c r="F5214" s="8"/>
    </row>
    <row r="5215" ht="13.5" customHeight="1">
      <c r="A5215" s="8" t="s">
        <v>2094</v>
      </c>
      <c r="B5215" s="8">
        <v>44869.0</v>
      </c>
      <c r="C5215" s="8"/>
      <c r="D5215" s="8"/>
      <c r="E5215" s="8"/>
      <c r="F5215" s="8"/>
    </row>
    <row r="5216" ht="13.5" customHeight="1">
      <c r="A5216" s="8" t="s">
        <v>2094</v>
      </c>
      <c r="B5216" s="8">
        <v>45511.0</v>
      </c>
      <c r="C5216" s="8"/>
      <c r="D5216" s="8"/>
      <c r="E5216" s="8"/>
      <c r="F5216" s="8"/>
    </row>
    <row r="5217" ht="13.5" customHeight="1">
      <c r="A5217" s="8" t="s">
        <v>2097</v>
      </c>
      <c r="B5217" s="8">
        <v>46469.0</v>
      </c>
      <c r="C5217" s="8"/>
      <c r="D5217" s="8"/>
      <c r="E5217" s="8"/>
      <c r="F5217" s="8"/>
    </row>
    <row r="5218" ht="13.5" customHeight="1">
      <c r="A5218" s="8" t="s">
        <v>1106</v>
      </c>
      <c r="B5218" s="8">
        <v>47207.0</v>
      </c>
      <c r="C5218" s="8"/>
      <c r="D5218" s="8"/>
      <c r="E5218" s="8"/>
      <c r="F5218" s="8"/>
    </row>
    <row r="5219" ht="13.5" customHeight="1">
      <c r="A5219" s="8" t="s">
        <v>2104</v>
      </c>
      <c r="B5219" s="8">
        <v>48801.0</v>
      </c>
      <c r="C5219" s="8"/>
      <c r="D5219" s="8"/>
      <c r="E5219" s="8"/>
      <c r="F5219" s="8"/>
    </row>
    <row r="5220" ht="13.5" customHeight="1">
      <c r="A5220" s="8" t="s">
        <v>2102</v>
      </c>
      <c r="B5220" s="8">
        <v>49954.0</v>
      </c>
      <c r="C5220" s="8"/>
      <c r="D5220" s="8"/>
      <c r="E5220" s="8"/>
      <c r="F5220" s="8"/>
    </row>
    <row r="5221" ht="13.5" customHeight="1">
      <c r="A5221" s="8" t="s">
        <v>2101</v>
      </c>
      <c r="B5221" s="8">
        <v>50563.0</v>
      </c>
      <c r="C5221" s="8"/>
      <c r="D5221" s="8"/>
      <c r="E5221" s="8"/>
      <c r="F5221" s="8"/>
    </row>
    <row r="5222" ht="13.5" customHeight="1">
      <c r="A5222" s="8" t="s">
        <v>2023</v>
      </c>
      <c r="B5222" s="8">
        <v>50882.0</v>
      </c>
      <c r="C5222" s="8"/>
      <c r="D5222" s="8"/>
      <c r="E5222" s="8"/>
      <c r="F5222" s="8"/>
    </row>
    <row r="5223" ht="13.5" customHeight="1">
      <c r="A5223" s="8" t="s">
        <v>2105</v>
      </c>
      <c r="B5223" s="8">
        <v>51553.0</v>
      </c>
      <c r="C5223" s="8"/>
      <c r="D5223" s="8"/>
      <c r="E5223" s="8"/>
      <c r="F5223" s="8"/>
    </row>
    <row r="5224" ht="13.5" customHeight="1">
      <c r="A5224" s="8" t="s">
        <v>2097</v>
      </c>
      <c r="B5224" s="8">
        <v>52199.0</v>
      </c>
      <c r="C5224" s="8"/>
      <c r="D5224" s="8"/>
      <c r="E5224" s="8"/>
      <c r="F5224" s="8"/>
    </row>
    <row r="5225" ht="13.5" customHeight="1">
      <c r="A5225" s="8" t="s">
        <v>1106</v>
      </c>
      <c r="B5225" s="8">
        <v>52293.0</v>
      </c>
      <c r="C5225" s="8"/>
      <c r="D5225" s="8"/>
      <c r="E5225" s="8"/>
      <c r="F5225" s="8"/>
    </row>
    <row r="5226" ht="13.5" customHeight="1">
      <c r="A5226" s="8" t="s">
        <v>2106</v>
      </c>
      <c r="B5226" s="8">
        <v>52839.0</v>
      </c>
      <c r="C5226" s="8"/>
      <c r="D5226" s="8"/>
      <c r="E5226" s="8"/>
      <c r="F5226" s="8"/>
    </row>
    <row r="5227" ht="13.5" customHeight="1">
      <c r="A5227" s="8" t="s">
        <v>556</v>
      </c>
      <c r="B5227" s="8">
        <v>53443.0</v>
      </c>
      <c r="C5227" s="8"/>
      <c r="D5227" s="8"/>
      <c r="E5227" s="8"/>
      <c r="F5227" s="8"/>
    </row>
    <row r="5228" ht="13.5" customHeight="1">
      <c r="A5228" s="8" t="s">
        <v>2095</v>
      </c>
      <c r="B5228" s="8">
        <v>53767.0</v>
      </c>
      <c r="C5228" s="8"/>
      <c r="D5228" s="8"/>
      <c r="E5228" s="8"/>
      <c r="F5228" s="8"/>
    </row>
    <row r="5229" ht="13.5" customHeight="1">
      <c r="A5229" s="8" t="s">
        <v>2104</v>
      </c>
      <c r="B5229" s="8">
        <v>54787.0</v>
      </c>
      <c r="C5229" s="8"/>
      <c r="D5229" s="8"/>
      <c r="E5229" s="8"/>
      <c r="F5229" s="8"/>
    </row>
    <row r="5230" ht="13.5" customHeight="1">
      <c r="A5230" s="8" t="s">
        <v>2101</v>
      </c>
      <c r="B5230" s="8">
        <v>55011.0</v>
      </c>
      <c r="C5230" s="8"/>
      <c r="D5230" s="8"/>
      <c r="E5230" s="8"/>
      <c r="F5230" s="8"/>
    </row>
    <row r="5231" ht="13.5" customHeight="1">
      <c r="A5231" s="8" t="s">
        <v>2096</v>
      </c>
      <c r="B5231" s="8">
        <v>55490.0</v>
      </c>
      <c r="C5231" s="8"/>
      <c r="D5231" s="8"/>
      <c r="E5231" s="8"/>
      <c r="F5231" s="8"/>
    </row>
    <row r="5232" ht="13.5" customHeight="1">
      <c r="A5232" s="8" t="s">
        <v>2096</v>
      </c>
      <c r="B5232" s="8">
        <v>56069.0</v>
      </c>
      <c r="C5232" s="8"/>
      <c r="D5232" s="8"/>
      <c r="E5232" s="8"/>
      <c r="F5232" s="8"/>
    </row>
    <row r="5233" ht="13.5" customHeight="1">
      <c r="A5233" s="8" t="s">
        <v>2102</v>
      </c>
      <c r="B5233" s="8">
        <v>56163.0</v>
      </c>
      <c r="C5233" s="8"/>
      <c r="D5233" s="8"/>
      <c r="E5233" s="8"/>
      <c r="F5233" s="8"/>
    </row>
    <row r="5234" ht="13.5" customHeight="1">
      <c r="A5234" s="8" t="s">
        <v>2102</v>
      </c>
      <c r="B5234" s="8">
        <v>56929.0</v>
      </c>
      <c r="C5234" s="8"/>
      <c r="D5234" s="8"/>
      <c r="E5234" s="8"/>
      <c r="F5234" s="8"/>
    </row>
    <row r="5235" ht="13.5" customHeight="1">
      <c r="A5235" s="8" t="s">
        <v>2095</v>
      </c>
      <c r="B5235" s="8">
        <v>57378.0</v>
      </c>
      <c r="C5235" s="8"/>
      <c r="D5235" s="8"/>
      <c r="E5235" s="8"/>
      <c r="F5235" s="8"/>
    </row>
    <row r="5236" ht="13.5" customHeight="1">
      <c r="A5236" s="8" t="s">
        <v>2100</v>
      </c>
      <c r="B5236" s="8">
        <v>58914.0</v>
      </c>
      <c r="C5236" s="8"/>
      <c r="D5236" s="8"/>
      <c r="E5236" s="8"/>
      <c r="F5236" s="8"/>
    </row>
    <row r="5237" ht="13.5" customHeight="1">
      <c r="A5237" s="8" t="s">
        <v>556</v>
      </c>
      <c r="B5237" s="8">
        <v>59586.0</v>
      </c>
      <c r="C5237" s="8"/>
      <c r="D5237" s="8"/>
      <c r="E5237" s="8"/>
      <c r="F5237" s="8"/>
    </row>
    <row r="5238" ht="13.5" customHeight="1">
      <c r="A5238" s="8" t="s">
        <v>1187</v>
      </c>
      <c r="B5238" s="8">
        <v>359.0</v>
      </c>
      <c r="C5238" s="8"/>
      <c r="D5238" s="8"/>
      <c r="E5238" s="8"/>
      <c r="F5238" s="8"/>
    </row>
    <row r="5239" ht="13.5" customHeight="1">
      <c r="A5239" s="8" t="s">
        <v>2110</v>
      </c>
      <c r="B5239" s="8">
        <v>832.0</v>
      </c>
      <c r="C5239" s="8"/>
      <c r="D5239" s="8"/>
      <c r="E5239" s="8"/>
      <c r="F5239" s="8"/>
    </row>
    <row r="5240" ht="13.5" customHeight="1">
      <c r="A5240" s="8" t="s">
        <v>2111</v>
      </c>
      <c r="B5240" s="8">
        <v>1383.0</v>
      </c>
      <c r="C5240" s="8"/>
      <c r="D5240" s="8"/>
      <c r="E5240" s="8"/>
      <c r="F5240" s="8"/>
    </row>
    <row r="5241" ht="13.5" customHeight="1">
      <c r="A5241" s="8" t="s">
        <v>1187</v>
      </c>
      <c r="B5241" s="8">
        <v>2433.0</v>
      </c>
      <c r="C5241" s="8"/>
      <c r="D5241" s="8"/>
      <c r="E5241" s="8"/>
      <c r="F5241" s="8"/>
    </row>
    <row r="5242" ht="13.5" customHeight="1">
      <c r="A5242" s="8" t="s">
        <v>2110</v>
      </c>
      <c r="B5242" s="8">
        <v>2659.0</v>
      </c>
      <c r="C5242" s="8"/>
      <c r="D5242" s="8"/>
      <c r="E5242" s="8"/>
      <c r="F5242" s="8"/>
    </row>
    <row r="5243" ht="13.5" customHeight="1">
      <c r="A5243" s="8" t="s">
        <v>1145</v>
      </c>
      <c r="B5243" s="8">
        <v>3172.0</v>
      </c>
      <c r="C5243" s="8"/>
      <c r="D5243" s="8"/>
      <c r="E5243" s="8"/>
      <c r="F5243" s="8"/>
    </row>
    <row r="5244" ht="13.5" customHeight="1">
      <c r="A5244" s="8" t="s">
        <v>2112</v>
      </c>
      <c r="B5244" s="8">
        <v>4199.0</v>
      </c>
      <c r="C5244" s="8"/>
      <c r="D5244" s="8"/>
      <c r="E5244" s="8"/>
      <c r="F5244" s="8"/>
    </row>
    <row r="5245" ht="13.5" customHeight="1">
      <c r="A5245" s="8" t="s">
        <v>808</v>
      </c>
      <c r="B5245" s="8">
        <v>5347.0</v>
      </c>
      <c r="C5245" s="8"/>
      <c r="D5245" s="8"/>
      <c r="E5245" s="8"/>
      <c r="F5245" s="8"/>
    </row>
    <row r="5246" ht="13.5" customHeight="1">
      <c r="A5246" s="8" t="s">
        <v>862</v>
      </c>
      <c r="B5246" s="8">
        <v>5764.0</v>
      </c>
      <c r="C5246" s="8"/>
      <c r="D5246" s="8"/>
      <c r="E5246" s="8"/>
      <c r="F5246" s="8"/>
    </row>
    <row r="5247" ht="13.5" customHeight="1">
      <c r="A5247" s="8" t="s">
        <v>1145</v>
      </c>
      <c r="B5247" s="8">
        <v>5860.0</v>
      </c>
      <c r="C5247" s="8"/>
      <c r="D5247" s="8"/>
      <c r="E5247" s="8"/>
      <c r="F5247" s="8"/>
    </row>
    <row r="5248" ht="13.5" customHeight="1">
      <c r="A5248" s="8" t="s">
        <v>1145</v>
      </c>
      <c r="B5248" s="8">
        <v>6117.0</v>
      </c>
      <c r="C5248" s="8"/>
      <c r="D5248" s="8"/>
      <c r="E5248" s="8"/>
      <c r="F5248" s="8"/>
    </row>
    <row r="5249" ht="13.5" customHeight="1">
      <c r="A5249" s="8" t="s">
        <v>2005</v>
      </c>
      <c r="B5249" s="8">
        <v>7077.0</v>
      </c>
      <c r="C5249" s="8"/>
      <c r="D5249" s="8"/>
      <c r="E5249" s="8"/>
      <c r="F5249" s="8"/>
    </row>
    <row r="5250" ht="13.5" customHeight="1">
      <c r="A5250" s="8" t="s">
        <v>1187</v>
      </c>
      <c r="B5250" s="8">
        <v>7142.0</v>
      </c>
      <c r="C5250" s="8"/>
      <c r="D5250" s="8"/>
      <c r="E5250" s="8"/>
      <c r="F5250" s="8"/>
    </row>
    <row r="5251" ht="13.5" customHeight="1">
      <c r="A5251" s="8" t="s">
        <v>1157</v>
      </c>
      <c r="B5251" s="8">
        <v>7398.0</v>
      </c>
      <c r="C5251" s="8"/>
      <c r="D5251" s="8"/>
      <c r="E5251" s="8"/>
      <c r="F5251" s="8"/>
    </row>
    <row r="5252" ht="13.5" customHeight="1">
      <c r="A5252" s="8" t="s">
        <v>2005</v>
      </c>
      <c r="B5252" s="8">
        <v>7431.0</v>
      </c>
      <c r="C5252" s="8"/>
      <c r="D5252" s="8"/>
      <c r="E5252" s="8"/>
      <c r="F5252" s="8"/>
    </row>
    <row r="5253" ht="13.5" customHeight="1">
      <c r="A5253" s="8" t="s">
        <v>1157</v>
      </c>
      <c r="B5253" s="8">
        <v>8005.0</v>
      </c>
      <c r="C5253" s="8"/>
      <c r="D5253" s="8"/>
      <c r="E5253" s="8"/>
      <c r="F5253" s="8"/>
    </row>
    <row r="5254" ht="13.5" customHeight="1">
      <c r="A5254" s="8" t="s">
        <v>1187</v>
      </c>
      <c r="B5254" s="8">
        <v>8165.0</v>
      </c>
      <c r="C5254" s="8"/>
      <c r="D5254" s="8"/>
      <c r="E5254" s="8"/>
      <c r="F5254" s="8"/>
    </row>
    <row r="5255" ht="13.5" customHeight="1">
      <c r="A5255" s="8" t="s">
        <v>2005</v>
      </c>
      <c r="B5255" s="8">
        <v>8902.0</v>
      </c>
      <c r="C5255" s="8"/>
      <c r="D5255" s="8"/>
      <c r="E5255" s="8"/>
      <c r="F5255" s="8"/>
    </row>
    <row r="5256" ht="13.5" customHeight="1">
      <c r="A5256" s="8" t="s">
        <v>862</v>
      </c>
      <c r="B5256" s="8">
        <v>9187.0</v>
      </c>
      <c r="C5256" s="8"/>
      <c r="D5256" s="8"/>
      <c r="E5256" s="8"/>
      <c r="F5256" s="8"/>
    </row>
    <row r="5257" ht="13.5" customHeight="1">
      <c r="A5257" s="8" t="s">
        <v>1973</v>
      </c>
      <c r="B5257" s="8">
        <v>9219.0</v>
      </c>
      <c r="C5257" s="8"/>
      <c r="D5257" s="8"/>
      <c r="E5257" s="8"/>
      <c r="F5257" s="8"/>
    </row>
    <row r="5258" ht="13.5" customHeight="1">
      <c r="A5258" s="8" t="s">
        <v>2113</v>
      </c>
      <c r="B5258" s="8">
        <v>9762.0</v>
      </c>
      <c r="C5258" s="8"/>
      <c r="D5258" s="8"/>
      <c r="E5258" s="8"/>
      <c r="F5258" s="8"/>
    </row>
    <row r="5259" ht="13.5" customHeight="1">
      <c r="A5259" s="8" t="s">
        <v>798</v>
      </c>
      <c r="B5259" s="8">
        <v>10663.0</v>
      </c>
      <c r="C5259" s="8"/>
      <c r="D5259" s="8"/>
      <c r="E5259" s="8"/>
      <c r="F5259" s="8"/>
    </row>
    <row r="5260" ht="13.5" customHeight="1">
      <c r="A5260" s="8" t="s">
        <v>2110</v>
      </c>
      <c r="B5260" s="8">
        <v>10917.0</v>
      </c>
      <c r="C5260" s="8"/>
      <c r="D5260" s="8"/>
      <c r="E5260" s="8"/>
      <c r="F5260" s="8"/>
    </row>
    <row r="5261" ht="13.5" customHeight="1">
      <c r="A5261" s="8" t="s">
        <v>2114</v>
      </c>
      <c r="B5261" s="8">
        <v>11648.0</v>
      </c>
      <c r="C5261" s="8"/>
      <c r="D5261" s="8"/>
      <c r="E5261" s="8"/>
      <c r="F5261" s="8"/>
    </row>
    <row r="5262" ht="13.5" customHeight="1">
      <c r="A5262" s="8" t="s">
        <v>2115</v>
      </c>
      <c r="B5262" s="8">
        <v>11972.0</v>
      </c>
      <c r="C5262" s="8"/>
      <c r="D5262" s="8"/>
      <c r="E5262" s="8"/>
      <c r="F5262" s="8"/>
    </row>
    <row r="5263" ht="13.5" customHeight="1">
      <c r="A5263" s="8" t="s">
        <v>1145</v>
      </c>
      <c r="B5263" s="8">
        <v>12641.0</v>
      </c>
      <c r="C5263" s="8"/>
      <c r="D5263" s="8"/>
      <c r="E5263" s="8"/>
      <c r="F5263" s="8"/>
    </row>
    <row r="5264" ht="13.5" customHeight="1">
      <c r="A5264" s="8" t="s">
        <v>1145</v>
      </c>
      <c r="B5264" s="8">
        <v>14018.0</v>
      </c>
      <c r="C5264" s="8"/>
      <c r="D5264" s="8"/>
      <c r="E5264" s="8"/>
      <c r="F5264" s="8"/>
    </row>
    <row r="5265" ht="13.5" customHeight="1">
      <c r="A5265" s="8" t="s">
        <v>1187</v>
      </c>
      <c r="B5265" s="8">
        <v>14916.0</v>
      </c>
      <c r="C5265" s="8"/>
      <c r="D5265" s="8"/>
      <c r="E5265" s="8"/>
      <c r="F5265" s="8"/>
    </row>
    <row r="5266" ht="13.5" customHeight="1">
      <c r="A5266" s="8" t="s">
        <v>1187</v>
      </c>
      <c r="B5266" s="8">
        <v>15300.0</v>
      </c>
      <c r="C5266" s="8"/>
      <c r="D5266" s="8"/>
      <c r="E5266" s="8"/>
      <c r="F5266" s="8"/>
    </row>
    <row r="5267" ht="13.5" customHeight="1">
      <c r="A5267" s="8" t="s">
        <v>2113</v>
      </c>
      <c r="B5267" s="8">
        <v>15425.0</v>
      </c>
      <c r="C5267" s="8"/>
      <c r="D5267" s="8"/>
      <c r="E5267" s="8"/>
      <c r="F5267" s="8"/>
    </row>
    <row r="5268" ht="13.5" customHeight="1">
      <c r="A5268" s="8" t="s">
        <v>2111</v>
      </c>
      <c r="B5268" s="8">
        <v>16390.0</v>
      </c>
      <c r="C5268" s="8"/>
      <c r="D5268" s="8"/>
      <c r="E5268" s="8"/>
      <c r="F5268" s="8"/>
    </row>
    <row r="5269" ht="13.5" customHeight="1">
      <c r="A5269" s="8" t="s">
        <v>2110</v>
      </c>
      <c r="B5269" s="8">
        <v>16805.0</v>
      </c>
      <c r="C5269" s="8"/>
      <c r="D5269" s="8"/>
      <c r="E5269" s="8"/>
      <c r="F5269" s="8"/>
    </row>
    <row r="5270" ht="13.5" customHeight="1">
      <c r="A5270" s="8" t="s">
        <v>1187</v>
      </c>
      <c r="B5270" s="8">
        <v>17155.0</v>
      </c>
      <c r="C5270" s="8"/>
      <c r="D5270" s="8"/>
      <c r="E5270" s="8"/>
      <c r="F5270" s="8"/>
    </row>
    <row r="5271" ht="13.5" customHeight="1">
      <c r="A5271" s="8" t="s">
        <v>2113</v>
      </c>
      <c r="B5271" s="8">
        <v>18496.0</v>
      </c>
      <c r="C5271" s="8"/>
      <c r="D5271" s="8"/>
      <c r="E5271" s="8"/>
      <c r="F5271" s="8"/>
    </row>
    <row r="5272" ht="13.5" customHeight="1">
      <c r="A5272" s="8" t="s">
        <v>798</v>
      </c>
      <c r="B5272" s="8">
        <v>18688.0</v>
      </c>
      <c r="C5272" s="8"/>
      <c r="D5272" s="8"/>
      <c r="E5272" s="8"/>
      <c r="F5272" s="8"/>
    </row>
    <row r="5273" ht="13.5" customHeight="1">
      <c r="A5273" s="8" t="s">
        <v>2115</v>
      </c>
      <c r="B5273" s="8">
        <v>19140.0</v>
      </c>
      <c r="C5273" s="8"/>
      <c r="D5273" s="8"/>
      <c r="E5273" s="8"/>
      <c r="F5273" s="8"/>
    </row>
    <row r="5274" ht="13.5" customHeight="1">
      <c r="A5274" s="8" t="s">
        <v>2111</v>
      </c>
      <c r="B5274" s="8">
        <v>19175.0</v>
      </c>
      <c r="C5274" s="8"/>
      <c r="D5274" s="8"/>
      <c r="E5274" s="8"/>
      <c r="F5274" s="8"/>
    </row>
    <row r="5275" ht="13.5" customHeight="1">
      <c r="A5275" s="8" t="s">
        <v>2110</v>
      </c>
      <c r="B5275" s="8">
        <v>19457.0</v>
      </c>
      <c r="C5275" s="8"/>
      <c r="D5275" s="8"/>
      <c r="E5275" s="8"/>
      <c r="F5275" s="8"/>
    </row>
    <row r="5276" ht="13.5" customHeight="1">
      <c r="A5276" s="8" t="s">
        <v>1180</v>
      </c>
      <c r="B5276" s="8">
        <v>19745.0</v>
      </c>
      <c r="C5276" s="8"/>
      <c r="D5276" s="8"/>
      <c r="E5276" s="8"/>
      <c r="F5276" s="8"/>
    </row>
    <row r="5277" ht="13.5" customHeight="1">
      <c r="A5277" s="8" t="s">
        <v>2111</v>
      </c>
      <c r="B5277" s="8">
        <v>20741.0</v>
      </c>
      <c r="C5277" s="8"/>
      <c r="D5277" s="8"/>
      <c r="E5277" s="8"/>
      <c r="F5277" s="8"/>
    </row>
    <row r="5278" ht="13.5" customHeight="1">
      <c r="A5278" s="8" t="s">
        <v>798</v>
      </c>
      <c r="B5278" s="8">
        <v>23746.0</v>
      </c>
      <c r="C5278" s="8"/>
      <c r="D5278" s="8"/>
      <c r="E5278" s="8"/>
      <c r="F5278" s="8"/>
    </row>
    <row r="5279" ht="13.5" customHeight="1">
      <c r="A5279" s="8" t="s">
        <v>1145</v>
      </c>
      <c r="B5279" s="8">
        <v>24705.0</v>
      </c>
      <c r="C5279" s="8"/>
      <c r="D5279" s="8"/>
      <c r="E5279" s="8"/>
      <c r="F5279" s="8"/>
    </row>
    <row r="5280" ht="13.5" customHeight="1">
      <c r="A5280" s="8" t="s">
        <v>2116</v>
      </c>
      <c r="B5280" s="8">
        <v>25028.0</v>
      </c>
      <c r="C5280" s="8"/>
      <c r="D5280" s="8"/>
      <c r="E5280" s="8"/>
      <c r="F5280" s="8"/>
    </row>
    <row r="5281" ht="13.5" customHeight="1">
      <c r="A5281" s="8" t="s">
        <v>798</v>
      </c>
      <c r="B5281" s="8">
        <v>25063.0</v>
      </c>
      <c r="C5281" s="8"/>
      <c r="D5281" s="8"/>
      <c r="E5281" s="8"/>
      <c r="F5281" s="8"/>
    </row>
    <row r="5282" ht="13.5" customHeight="1">
      <c r="A5282" s="8" t="s">
        <v>2117</v>
      </c>
      <c r="B5282" s="8">
        <v>25412.0</v>
      </c>
      <c r="C5282" s="8"/>
      <c r="D5282" s="8"/>
      <c r="E5282" s="8"/>
      <c r="F5282" s="8"/>
    </row>
    <row r="5283" ht="13.5" customHeight="1">
      <c r="A5283" s="8" t="s">
        <v>2113</v>
      </c>
      <c r="B5283" s="8">
        <v>26627.0</v>
      </c>
      <c r="C5283" s="8"/>
      <c r="D5283" s="8"/>
      <c r="E5283" s="8"/>
      <c r="F5283" s="8"/>
    </row>
    <row r="5284" ht="13.5" customHeight="1">
      <c r="A5284" s="8" t="s">
        <v>2112</v>
      </c>
      <c r="B5284" s="8">
        <v>26947.0</v>
      </c>
      <c r="C5284" s="8"/>
      <c r="D5284" s="8"/>
      <c r="E5284" s="8"/>
      <c r="F5284" s="8"/>
    </row>
    <row r="5285" ht="13.5" customHeight="1">
      <c r="A5285" s="8" t="s">
        <v>1187</v>
      </c>
      <c r="B5285" s="8">
        <v>27138.0</v>
      </c>
      <c r="C5285" s="8"/>
      <c r="D5285" s="8"/>
      <c r="E5285" s="8"/>
      <c r="F5285" s="8"/>
    </row>
    <row r="5286" ht="13.5" customHeight="1">
      <c r="A5286" s="8" t="s">
        <v>2112</v>
      </c>
      <c r="B5286" s="8">
        <v>27939.0</v>
      </c>
      <c r="C5286" s="8"/>
      <c r="D5286" s="8"/>
      <c r="E5286" s="8"/>
      <c r="F5286" s="8"/>
    </row>
    <row r="5287" ht="13.5" customHeight="1">
      <c r="A5287" s="8" t="s">
        <v>1145</v>
      </c>
      <c r="B5287" s="8">
        <v>28544.0</v>
      </c>
      <c r="C5287" s="8"/>
      <c r="D5287" s="8"/>
      <c r="E5287" s="8"/>
      <c r="F5287" s="8"/>
    </row>
    <row r="5288" ht="13.5" customHeight="1">
      <c r="A5288" s="8" t="s">
        <v>798</v>
      </c>
      <c r="B5288" s="8">
        <v>30403.0</v>
      </c>
      <c r="C5288" s="8"/>
      <c r="D5288" s="8"/>
      <c r="E5288" s="8"/>
      <c r="F5288" s="8"/>
    </row>
    <row r="5289" ht="13.5" customHeight="1">
      <c r="A5289" s="8" t="s">
        <v>1180</v>
      </c>
      <c r="B5289" s="8">
        <v>31844.0</v>
      </c>
      <c r="C5289" s="8"/>
      <c r="D5289" s="8"/>
      <c r="E5289" s="8"/>
      <c r="F5289" s="8"/>
    </row>
    <row r="5290" ht="13.5" customHeight="1">
      <c r="A5290" s="8" t="s">
        <v>2115</v>
      </c>
      <c r="B5290" s="8">
        <v>32449.0</v>
      </c>
      <c r="C5290" s="8"/>
      <c r="D5290" s="8"/>
      <c r="E5290" s="8"/>
      <c r="F5290" s="8"/>
    </row>
    <row r="5291" ht="13.5" customHeight="1">
      <c r="A5291" s="8" t="s">
        <v>2113</v>
      </c>
      <c r="B5291" s="8">
        <v>32800.0</v>
      </c>
      <c r="C5291" s="8"/>
      <c r="D5291" s="8"/>
      <c r="E5291" s="8"/>
      <c r="F5291" s="8"/>
    </row>
    <row r="5292" ht="13.5" customHeight="1">
      <c r="A5292" s="8" t="s">
        <v>2117</v>
      </c>
      <c r="B5292" s="8">
        <v>33824.0</v>
      </c>
      <c r="C5292" s="8"/>
      <c r="D5292" s="8"/>
      <c r="E5292" s="8"/>
      <c r="F5292" s="8"/>
    </row>
    <row r="5293" ht="13.5" customHeight="1">
      <c r="A5293" s="8" t="s">
        <v>2114</v>
      </c>
      <c r="B5293" s="8">
        <v>34179.0</v>
      </c>
      <c r="C5293" s="8"/>
      <c r="D5293" s="8"/>
      <c r="E5293" s="8"/>
      <c r="F5293" s="8"/>
    </row>
    <row r="5294" ht="13.5" customHeight="1">
      <c r="A5294" s="8" t="s">
        <v>1291</v>
      </c>
      <c r="B5294" s="8">
        <v>34245.0</v>
      </c>
      <c r="C5294" s="8"/>
      <c r="D5294" s="8"/>
      <c r="E5294" s="8"/>
      <c r="F5294" s="8"/>
    </row>
    <row r="5295" ht="13.5" customHeight="1">
      <c r="A5295" s="8" t="s">
        <v>1187</v>
      </c>
      <c r="B5295" s="8">
        <v>35046.0</v>
      </c>
      <c r="C5295" s="8"/>
      <c r="D5295" s="8"/>
      <c r="E5295" s="8"/>
      <c r="F5295" s="8"/>
    </row>
    <row r="5296" ht="13.5" customHeight="1">
      <c r="A5296" s="8" t="s">
        <v>1187</v>
      </c>
      <c r="B5296" s="8">
        <v>35684.0</v>
      </c>
      <c r="C5296" s="8"/>
      <c r="D5296" s="8"/>
      <c r="E5296" s="8"/>
      <c r="F5296" s="8"/>
    </row>
    <row r="5297" ht="13.5" customHeight="1">
      <c r="A5297" s="8" t="s">
        <v>2115</v>
      </c>
      <c r="B5297" s="8">
        <v>36101.0</v>
      </c>
      <c r="C5297" s="8"/>
      <c r="D5297" s="8"/>
      <c r="E5297" s="8"/>
      <c r="F5297" s="8"/>
    </row>
    <row r="5298" ht="13.5" customHeight="1">
      <c r="A5298" s="8" t="s">
        <v>2114</v>
      </c>
      <c r="B5298" s="8">
        <v>36387.0</v>
      </c>
      <c r="C5298" s="8"/>
      <c r="D5298" s="8"/>
      <c r="E5298" s="8"/>
      <c r="F5298" s="8"/>
    </row>
    <row r="5299" ht="13.5" customHeight="1">
      <c r="A5299" s="8" t="s">
        <v>2111</v>
      </c>
      <c r="B5299" s="8">
        <v>36455.0</v>
      </c>
      <c r="C5299" s="8"/>
      <c r="D5299" s="8"/>
      <c r="E5299" s="8"/>
      <c r="F5299" s="8"/>
    </row>
    <row r="5300" ht="13.5" customHeight="1">
      <c r="A5300" s="8" t="s">
        <v>1145</v>
      </c>
      <c r="B5300" s="8">
        <v>36673.0</v>
      </c>
      <c r="C5300" s="8"/>
      <c r="D5300" s="8"/>
      <c r="E5300" s="8"/>
      <c r="F5300" s="8"/>
    </row>
    <row r="5301" ht="13.5" customHeight="1">
      <c r="A5301" s="8" t="s">
        <v>1145</v>
      </c>
      <c r="B5301" s="8">
        <v>36704.0</v>
      </c>
      <c r="C5301" s="8"/>
      <c r="D5301" s="8"/>
      <c r="E5301" s="8"/>
      <c r="F5301" s="8"/>
    </row>
    <row r="5302" ht="13.5" customHeight="1">
      <c r="A5302" s="8" t="s">
        <v>2111</v>
      </c>
      <c r="B5302" s="8">
        <v>37218.0</v>
      </c>
      <c r="C5302" s="8"/>
      <c r="D5302" s="8"/>
      <c r="E5302" s="8"/>
      <c r="F5302" s="8"/>
    </row>
    <row r="5303" ht="13.5" customHeight="1">
      <c r="A5303" s="8" t="s">
        <v>1973</v>
      </c>
      <c r="B5303" s="8">
        <v>38311.0</v>
      </c>
      <c r="C5303" s="8"/>
      <c r="D5303" s="8"/>
      <c r="E5303" s="8"/>
      <c r="F5303" s="8"/>
    </row>
    <row r="5304" ht="13.5" customHeight="1">
      <c r="A5304" s="8" t="s">
        <v>798</v>
      </c>
      <c r="B5304" s="8">
        <v>38438.0</v>
      </c>
      <c r="C5304" s="8"/>
      <c r="D5304" s="8"/>
      <c r="E5304" s="8"/>
      <c r="F5304" s="8"/>
    </row>
    <row r="5305" ht="13.5" customHeight="1">
      <c r="A5305" s="8" t="s">
        <v>2113</v>
      </c>
      <c r="B5305" s="8">
        <v>40007.0</v>
      </c>
      <c r="C5305" s="8"/>
      <c r="D5305" s="8"/>
      <c r="E5305" s="8"/>
      <c r="F5305" s="8"/>
    </row>
    <row r="5306" ht="13.5" customHeight="1">
      <c r="A5306" s="8" t="s">
        <v>1973</v>
      </c>
      <c r="B5306" s="8">
        <v>40065.0</v>
      </c>
      <c r="C5306" s="8"/>
      <c r="D5306" s="8"/>
      <c r="E5306" s="8"/>
      <c r="F5306" s="8"/>
    </row>
    <row r="5307" ht="13.5" customHeight="1">
      <c r="A5307" s="8" t="s">
        <v>2110</v>
      </c>
      <c r="B5307" s="8">
        <v>40102.0</v>
      </c>
      <c r="C5307" s="8"/>
      <c r="D5307" s="8"/>
      <c r="E5307" s="8"/>
      <c r="F5307" s="8"/>
    </row>
    <row r="5308" ht="13.5" customHeight="1">
      <c r="A5308" s="8" t="s">
        <v>798</v>
      </c>
      <c r="B5308" s="8">
        <v>40357.0</v>
      </c>
      <c r="C5308" s="8"/>
      <c r="D5308" s="8"/>
      <c r="E5308" s="8"/>
      <c r="F5308" s="8"/>
    </row>
    <row r="5309" ht="13.5" customHeight="1">
      <c r="A5309" s="8" t="s">
        <v>1958</v>
      </c>
      <c r="B5309" s="8">
        <v>41123.0</v>
      </c>
      <c r="C5309" s="8"/>
      <c r="D5309" s="8"/>
      <c r="E5309" s="8"/>
      <c r="F5309" s="8"/>
    </row>
    <row r="5310" ht="13.5" customHeight="1">
      <c r="A5310" s="8" t="s">
        <v>2113</v>
      </c>
      <c r="B5310" s="8">
        <v>41794.0</v>
      </c>
      <c r="C5310" s="8"/>
      <c r="D5310" s="8"/>
      <c r="E5310" s="8"/>
      <c r="F5310" s="8"/>
    </row>
    <row r="5311" ht="13.5" customHeight="1">
      <c r="A5311" s="8" t="s">
        <v>2111</v>
      </c>
      <c r="B5311" s="8">
        <v>42725.0</v>
      </c>
      <c r="C5311" s="8"/>
      <c r="D5311" s="8"/>
      <c r="E5311" s="8"/>
      <c r="F5311" s="8"/>
    </row>
    <row r="5312" ht="13.5" customHeight="1">
      <c r="A5312" s="8" t="s">
        <v>2113</v>
      </c>
      <c r="B5312" s="8">
        <v>43296.0</v>
      </c>
      <c r="C5312" s="8"/>
      <c r="D5312" s="8"/>
      <c r="E5312" s="8"/>
      <c r="F5312" s="8"/>
    </row>
    <row r="5313" ht="13.5" customHeight="1">
      <c r="A5313" s="8" t="s">
        <v>1291</v>
      </c>
      <c r="B5313" s="8">
        <v>44294.0</v>
      </c>
      <c r="C5313" s="8"/>
      <c r="D5313" s="8"/>
      <c r="E5313" s="8"/>
      <c r="F5313" s="8"/>
    </row>
    <row r="5314" ht="13.5" customHeight="1">
      <c r="A5314" s="8" t="s">
        <v>2115</v>
      </c>
      <c r="B5314" s="8">
        <v>44391.0</v>
      </c>
      <c r="C5314" s="8"/>
      <c r="D5314" s="8"/>
      <c r="E5314" s="8"/>
      <c r="F5314" s="8"/>
    </row>
    <row r="5315" ht="13.5" customHeight="1">
      <c r="A5315" s="8" t="s">
        <v>2114</v>
      </c>
      <c r="B5315" s="8">
        <v>47456.0</v>
      </c>
      <c r="C5315" s="8"/>
      <c r="D5315" s="8"/>
      <c r="E5315" s="8"/>
      <c r="F5315" s="8"/>
    </row>
    <row r="5316" ht="13.5" customHeight="1">
      <c r="A5316" s="8" t="s">
        <v>2111</v>
      </c>
      <c r="B5316" s="8">
        <v>47778.0</v>
      </c>
      <c r="C5316" s="8"/>
      <c r="D5316" s="8"/>
      <c r="E5316" s="8"/>
      <c r="F5316" s="8"/>
    </row>
    <row r="5317" ht="13.5" customHeight="1">
      <c r="A5317" s="8" t="s">
        <v>2111</v>
      </c>
      <c r="B5317" s="8">
        <v>47974.0</v>
      </c>
      <c r="C5317" s="8"/>
      <c r="D5317" s="8"/>
      <c r="E5317" s="8"/>
      <c r="F5317" s="8"/>
    </row>
    <row r="5318" ht="13.5" customHeight="1">
      <c r="A5318" s="8" t="s">
        <v>2111</v>
      </c>
      <c r="B5318" s="8">
        <v>48486.0</v>
      </c>
      <c r="C5318" s="8"/>
      <c r="D5318" s="8"/>
      <c r="E5318" s="8"/>
      <c r="F5318" s="8"/>
    </row>
    <row r="5319" ht="13.5" customHeight="1">
      <c r="A5319" s="8" t="s">
        <v>1157</v>
      </c>
      <c r="B5319" s="8">
        <v>48775.0</v>
      </c>
      <c r="C5319" s="8"/>
      <c r="D5319" s="8"/>
      <c r="E5319" s="8"/>
      <c r="F5319" s="8"/>
    </row>
    <row r="5320" ht="13.5" customHeight="1">
      <c r="A5320" s="8" t="s">
        <v>2115</v>
      </c>
      <c r="B5320" s="8">
        <v>49218.0</v>
      </c>
      <c r="C5320" s="8"/>
      <c r="D5320" s="8"/>
      <c r="E5320" s="8"/>
      <c r="F5320" s="8"/>
    </row>
    <row r="5321" ht="13.5" customHeight="1">
      <c r="A5321" s="8" t="s">
        <v>2114</v>
      </c>
      <c r="B5321" s="8">
        <v>49442.0</v>
      </c>
      <c r="C5321" s="8"/>
      <c r="D5321" s="8"/>
      <c r="E5321" s="8"/>
      <c r="F5321" s="8"/>
    </row>
    <row r="5322" ht="13.5" customHeight="1">
      <c r="A5322" s="8" t="s">
        <v>2111</v>
      </c>
      <c r="B5322" s="8">
        <v>50625.0</v>
      </c>
      <c r="C5322" s="8"/>
      <c r="D5322" s="8"/>
      <c r="E5322" s="8"/>
      <c r="F5322" s="8"/>
    </row>
    <row r="5323" ht="13.5" customHeight="1">
      <c r="A5323" s="8" t="s">
        <v>2113</v>
      </c>
      <c r="B5323" s="8">
        <v>50849.0</v>
      </c>
      <c r="C5323" s="8"/>
      <c r="D5323" s="8"/>
      <c r="E5323" s="8"/>
      <c r="F5323" s="8"/>
    </row>
    <row r="5324" ht="13.5" customHeight="1">
      <c r="A5324" s="8" t="s">
        <v>1157</v>
      </c>
      <c r="B5324" s="8">
        <v>51557.0</v>
      </c>
      <c r="C5324" s="8"/>
      <c r="D5324" s="8"/>
      <c r="E5324" s="8"/>
      <c r="F5324" s="8"/>
    </row>
    <row r="5325" ht="13.5" customHeight="1">
      <c r="A5325" s="8" t="s">
        <v>2115</v>
      </c>
      <c r="B5325" s="8">
        <v>52870.0</v>
      </c>
      <c r="C5325" s="8"/>
      <c r="D5325" s="8"/>
      <c r="E5325" s="8"/>
      <c r="F5325" s="8"/>
    </row>
    <row r="5326" ht="13.5" customHeight="1">
      <c r="A5326" s="8" t="s">
        <v>2113</v>
      </c>
      <c r="B5326" s="8">
        <v>52897.0</v>
      </c>
      <c r="C5326" s="8"/>
      <c r="D5326" s="8"/>
      <c r="E5326" s="8"/>
      <c r="F5326" s="8"/>
    </row>
    <row r="5327" ht="13.5" customHeight="1">
      <c r="A5327" s="8" t="s">
        <v>808</v>
      </c>
      <c r="B5327" s="8">
        <v>53798.0</v>
      </c>
      <c r="C5327" s="8"/>
      <c r="D5327" s="8"/>
      <c r="E5327" s="8"/>
      <c r="F5327" s="8"/>
    </row>
    <row r="5328" ht="13.5" customHeight="1">
      <c r="A5328" s="8" t="s">
        <v>2110</v>
      </c>
      <c r="B5328" s="8">
        <v>54051.0</v>
      </c>
      <c r="C5328" s="8"/>
      <c r="D5328" s="8"/>
      <c r="E5328" s="8"/>
      <c r="F5328" s="8"/>
    </row>
    <row r="5329" ht="13.5" customHeight="1">
      <c r="A5329" s="8" t="s">
        <v>1958</v>
      </c>
      <c r="B5329" s="8">
        <v>54116.0</v>
      </c>
      <c r="C5329" s="8"/>
      <c r="D5329" s="8"/>
      <c r="E5329" s="8"/>
      <c r="F5329" s="8"/>
    </row>
    <row r="5330" ht="13.5" customHeight="1">
      <c r="A5330" s="8" t="s">
        <v>2113</v>
      </c>
      <c r="B5330" s="8">
        <v>55459.0</v>
      </c>
      <c r="C5330" s="8"/>
      <c r="D5330" s="8"/>
      <c r="E5330" s="8"/>
      <c r="F5330" s="8"/>
    </row>
    <row r="5331" ht="13.5" customHeight="1">
      <c r="A5331" s="8" t="s">
        <v>1291</v>
      </c>
      <c r="B5331" s="8">
        <v>57121.0</v>
      </c>
      <c r="C5331" s="8"/>
      <c r="D5331" s="8"/>
      <c r="E5331" s="8"/>
      <c r="F5331" s="8"/>
    </row>
    <row r="5332" ht="13.5" customHeight="1">
      <c r="A5332" s="8" t="s">
        <v>808</v>
      </c>
      <c r="B5332" s="8">
        <v>58657.0</v>
      </c>
      <c r="C5332" s="8"/>
      <c r="D5332" s="8"/>
      <c r="E5332" s="8"/>
      <c r="F5332" s="8"/>
    </row>
    <row r="5333" ht="13.5" customHeight="1">
      <c r="A5333" s="8" t="s">
        <v>2111</v>
      </c>
      <c r="B5333" s="8">
        <v>59170.0</v>
      </c>
      <c r="C5333" s="8"/>
      <c r="D5333" s="8"/>
      <c r="E5333" s="8"/>
      <c r="F5333" s="8"/>
    </row>
    <row r="5334" ht="13.5" customHeight="1">
      <c r="A5334" s="8" t="s">
        <v>1145</v>
      </c>
      <c r="B5334" s="8">
        <v>59297.0</v>
      </c>
      <c r="C5334" s="8"/>
      <c r="D5334" s="8"/>
      <c r="E5334" s="8"/>
      <c r="F5334" s="8"/>
    </row>
    <row r="5335" ht="13.5" customHeight="1">
      <c r="A5335" s="8" t="s">
        <v>2118</v>
      </c>
      <c r="B5335" s="8">
        <v>6.0</v>
      </c>
      <c r="C5335" s="8"/>
      <c r="D5335" s="8"/>
      <c r="E5335" s="8"/>
      <c r="F5335" s="8"/>
    </row>
    <row r="5336" ht="13.5" customHeight="1">
      <c r="A5336" s="8" t="s">
        <v>1701</v>
      </c>
      <c r="B5336" s="8">
        <v>420.0</v>
      </c>
      <c r="C5336" s="8"/>
      <c r="D5336" s="8"/>
      <c r="E5336" s="8"/>
      <c r="F5336" s="8"/>
    </row>
    <row r="5337" ht="13.5" customHeight="1">
      <c r="A5337" s="8" t="s">
        <v>2119</v>
      </c>
      <c r="B5337" s="8">
        <v>1857.0</v>
      </c>
      <c r="C5337" s="8"/>
      <c r="D5337" s="8"/>
      <c r="E5337" s="8"/>
      <c r="F5337" s="8"/>
    </row>
    <row r="5338" ht="13.5" customHeight="1">
      <c r="A5338" s="8" t="s">
        <v>2120</v>
      </c>
      <c r="B5338" s="8">
        <v>2247.0</v>
      </c>
      <c r="C5338" s="8"/>
      <c r="D5338" s="8"/>
      <c r="E5338" s="8"/>
      <c r="F5338" s="8"/>
    </row>
    <row r="5339" ht="13.5" customHeight="1">
      <c r="A5339" s="8" t="s">
        <v>2121</v>
      </c>
      <c r="B5339" s="8">
        <v>2882.0</v>
      </c>
      <c r="C5339" s="8"/>
      <c r="D5339" s="8"/>
      <c r="E5339" s="8"/>
      <c r="F5339" s="8"/>
    </row>
    <row r="5340" ht="13.5" customHeight="1">
      <c r="A5340" s="8" t="s">
        <v>2122</v>
      </c>
      <c r="B5340" s="8">
        <v>3297.0</v>
      </c>
      <c r="C5340" s="8"/>
      <c r="D5340" s="8"/>
      <c r="E5340" s="8"/>
      <c r="F5340" s="8"/>
    </row>
    <row r="5341" ht="13.5" customHeight="1">
      <c r="A5341" s="8" t="s">
        <v>1701</v>
      </c>
      <c r="B5341" s="8">
        <v>3655.0</v>
      </c>
      <c r="C5341" s="8"/>
      <c r="D5341" s="8"/>
      <c r="E5341" s="8"/>
      <c r="F5341" s="8"/>
    </row>
    <row r="5342" ht="13.5" customHeight="1">
      <c r="A5342" s="8" t="s">
        <v>2123</v>
      </c>
      <c r="B5342" s="8">
        <v>3746.0</v>
      </c>
      <c r="C5342" s="8"/>
      <c r="D5342" s="8"/>
      <c r="E5342" s="8"/>
      <c r="F5342" s="8"/>
    </row>
    <row r="5343" ht="13.5" customHeight="1">
      <c r="A5343" s="8" t="s">
        <v>2124</v>
      </c>
      <c r="B5343" s="8">
        <v>3845.0</v>
      </c>
      <c r="C5343" s="8"/>
      <c r="D5343" s="8"/>
      <c r="E5343" s="8"/>
      <c r="F5343" s="8"/>
    </row>
    <row r="5344" ht="13.5" customHeight="1">
      <c r="A5344" s="8" t="s">
        <v>2121</v>
      </c>
      <c r="B5344" s="8">
        <v>4514.0</v>
      </c>
      <c r="C5344" s="8"/>
      <c r="D5344" s="8"/>
      <c r="E5344" s="8"/>
      <c r="F5344" s="8"/>
    </row>
    <row r="5345" ht="13.5" customHeight="1">
      <c r="A5345" s="8" t="s">
        <v>2123</v>
      </c>
      <c r="B5345" s="8">
        <v>4672.0</v>
      </c>
      <c r="C5345" s="8"/>
      <c r="D5345" s="8"/>
      <c r="E5345" s="8"/>
      <c r="F5345" s="8"/>
    </row>
    <row r="5346" ht="13.5" customHeight="1">
      <c r="A5346" s="8" t="s">
        <v>154</v>
      </c>
      <c r="B5346" s="8">
        <v>4705.0</v>
      </c>
      <c r="C5346" s="8"/>
      <c r="D5346" s="8"/>
      <c r="E5346" s="8"/>
      <c r="F5346" s="8"/>
    </row>
    <row r="5347" ht="13.5" customHeight="1">
      <c r="A5347" s="8" t="s">
        <v>1701</v>
      </c>
      <c r="B5347" s="8">
        <v>4805.0</v>
      </c>
      <c r="C5347" s="8"/>
      <c r="D5347" s="8"/>
      <c r="E5347" s="8"/>
      <c r="F5347" s="8"/>
    </row>
    <row r="5348" ht="13.5" customHeight="1">
      <c r="A5348" s="8" t="s">
        <v>2125</v>
      </c>
      <c r="B5348" s="8">
        <v>5222.0</v>
      </c>
      <c r="C5348" s="8"/>
      <c r="D5348" s="8"/>
      <c r="E5348" s="8"/>
      <c r="F5348" s="8"/>
    </row>
    <row r="5349" ht="13.5" customHeight="1">
      <c r="A5349" s="8" t="s">
        <v>2009</v>
      </c>
      <c r="B5349" s="8">
        <v>5441.0</v>
      </c>
      <c r="C5349" s="8"/>
      <c r="D5349" s="8"/>
      <c r="E5349" s="8"/>
      <c r="F5349" s="8"/>
    </row>
    <row r="5350" ht="13.5" customHeight="1">
      <c r="A5350" s="8" t="s">
        <v>1701</v>
      </c>
      <c r="B5350" s="8">
        <v>6500.0</v>
      </c>
      <c r="C5350" s="8"/>
      <c r="D5350" s="8"/>
      <c r="E5350" s="8"/>
      <c r="F5350" s="8"/>
    </row>
    <row r="5351" ht="13.5" customHeight="1">
      <c r="A5351" s="8" t="s">
        <v>2009</v>
      </c>
      <c r="B5351" s="8">
        <v>6562.0</v>
      </c>
      <c r="C5351" s="8"/>
      <c r="D5351" s="8"/>
      <c r="E5351" s="8"/>
      <c r="F5351" s="8"/>
    </row>
    <row r="5352" ht="13.5" customHeight="1">
      <c r="A5352" s="8" t="s">
        <v>2118</v>
      </c>
      <c r="B5352" s="8">
        <v>7203.0</v>
      </c>
      <c r="C5352" s="8"/>
      <c r="D5352" s="8"/>
      <c r="E5352" s="8"/>
      <c r="F5352" s="8"/>
    </row>
    <row r="5353" ht="13.5" customHeight="1">
      <c r="A5353" s="8" t="s">
        <v>1701</v>
      </c>
      <c r="B5353" s="8">
        <v>7553.0</v>
      </c>
      <c r="C5353" s="8"/>
      <c r="D5353" s="8"/>
      <c r="E5353" s="8"/>
      <c r="F5353" s="8"/>
    </row>
    <row r="5354" ht="13.5" customHeight="1">
      <c r="A5354" s="8" t="s">
        <v>830</v>
      </c>
      <c r="B5354" s="8">
        <v>7680.0</v>
      </c>
      <c r="C5354" s="8"/>
      <c r="D5354" s="8"/>
      <c r="E5354" s="8"/>
      <c r="F5354" s="8"/>
    </row>
    <row r="5355" ht="13.5" customHeight="1">
      <c r="A5355" s="8" t="s">
        <v>1701</v>
      </c>
      <c r="B5355" s="8">
        <v>7719.0</v>
      </c>
      <c r="C5355" s="8"/>
      <c r="D5355" s="8"/>
      <c r="E5355" s="8"/>
      <c r="F5355" s="8"/>
    </row>
    <row r="5356" ht="13.5" customHeight="1">
      <c r="A5356" s="8" t="s">
        <v>830</v>
      </c>
      <c r="B5356" s="8">
        <v>8167.0</v>
      </c>
      <c r="C5356" s="8"/>
      <c r="D5356" s="8"/>
      <c r="E5356" s="8"/>
      <c r="F5356" s="8"/>
    </row>
    <row r="5357" ht="13.5" customHeight="1">
      <c r="A5357" s="8" t="s">
        <v>2009</v>
      </c>
      <c r="B5357" s="8">
        <v>8353.0</v>
      </c>
      <c r="C5357" s="8"/>
      <c r="D5357" s="8"/>
      <c r="E5357" s="8"/>
      <c r="F5357" s="8"/>
    </row>
    <row r="5358" ht="13.5" customHeight="1">
      <c r="A5358" s="8" t="s">
        <v>2119</v>
      </c>
      <c r="B5358" s="8">
        <v>8609.0</v>
      </c>
      <c r="C5358" s="8"/>
      <c r="D5358" s="8"/>
      <c r="E5358" s="8"/>
      <c r="F5358" s="8"/>
    </row>
    <row r="5359" ht="13.5" customHeight="1">
      <c r="A5359" s="8" t="s">
        <v>1701</v>
      </c>
      <c r="B5359" s="8">
        <v>8997.0</v>
      </c>
      <c r="C5359" s="8"/>
      <c r="D5359" s="8"/>
      <c r="E5359" s="8"/>
      <c r="F5359" s="8"/>
    </row>
    <row r="5360" ht="13.5" customHeight="1">
      <c r="A5360" s="8" t="s">
        <v>1792</v>
      </c>
      <c r="B5360" s="8">
        <v>9089.0</v>
      </c>
      <c r="C5360" s="8"/>
      <c r="D5360" s="8"/>
      <c r="E5360" s="8"/>
      <c r="F5360" s="8"/>
    </row>
    <row r="5361" ht="13.5" customHeight="1">
      <c r="A5361" s="8" t="s">
        <v>2126</v>
      </c>
      <c r="B5361" s="8">
        <v>9221.0</v>
      </c>
      <c r="C5361" s="8"/>
      <c r="D5361" s="8"/>
      <c r="E5361" s="8"/>
      <c r="F5361" s="8"/>
    </row>
    <row r="5362" ht="13.5" customHeight="1">
      <c r="A5362" s="8" t="s">
        <v>2125</v>
      </c>
      <c r="B5362" s="8">
        <v>9286.0</v>
      </c>
      <c r="C5362" s="8"/>
      <c r="D5362" s="8"/>
      <c r="E5362" s="8"/>
      <c r="F5362" s="8"/>
    </row>
    <row r="5363" ht="13.5" customHeight="1">
      <c r="A5363" s="8" t="s">
        <v>2118</v>
      </c>
      <c r="B5363" s="8">
        <v>9476.0</v>
      </c>
      <c r="C5363" s="8"/>
      <c r="D5363" s="8"/>
      <c r="E5363" s="8"/>
      <c r="F5363" s="8"/>
    </row>
    <row r="5364" ht="13.5" customHeight="1">
      <c r="A5364" s="8" t="s">
        <v>1408</v>
      </c>
      <c r="B5364" s="8">
        <v>9632.0</v>
      </c>
      <c r="C5364" s="8"/>
      <c r="D5364" s="8"/>
      <c r="E5364" s="8"/>
      <c r="F5364" s="8"/>
    </row>
    <row r="5365" ht="13.5" customHeight="1">
      <c r="A5365" s="8" t="s">
        <v>2123</v>
      </c>
      <c r="B5365" s="8">
        <v>9796.0</v>
      </c>
      <c r="C5365" s="8"/>
      <c r="D5365" s="8"/>
      <c r="E5365" s="8"/>
      <c r="F5365" s="8"/>
    </row>
    <row r="5366" ht="13.5" customHeight="1">
      <c r="A5366" s="8" t="s">
        <v>1956</v>
      </c>
      <c r="B5366" s="8">
        <v>9955.0</v>
      </c>
      <c r="C5366" s="8"/>
      <c r="D5366" s="8"/>
      <c r="E5366" s="8"/>
      <c r="F5366" s="8"/>
    </row>
    <row r="5367" ht="13.5" customHeight="1">
      <c r="A5367" s="8" t="s">
        <v>2122</v>
      </c>
      <c r="B5367" s="8">
        <v>9985.0</v>
      </c>
      <c r="C5367" s="8"/>
      <c r="D5367" s="8"/>
      <c r="E5367" s="8"/>
      <c r="F5367" s="8"/>
    </row>
    <row r="5368" ht="13.5" customHeight="1">
      <c r="A5368" s="8" t="s">
        <v>2125</v>
      </c>
      <c r="B5368" s="8">
        <v>10212.0</v>
      </c>
      <c r="C5368" s="8"/>
      <c r="D5368" s="8"/>
      <c r="E5368" s="8"/>
      <c r="F5368" s="8"/>
    </row>
    <row r="5369" ht="13.5" customHeight="1">
      <c r="A5369" s="8" t="s">
        <v>2122</v>
      </c>
      <c r="B5369" s="8">
        <v>10439.0</v>
      </c>
      <c r="C5369" s="8"/>
      <c r="D5369" s="8"/>
      <c r="E5369" s="8"/>
      <c r="F5369" s="8"/>
    </row>
    <row r="5370" ht="13.5" customHeight="1">
      <c r="A5370" s="8" t="s">
        <v>2009</v>
      </c>
      <c r="B5370" s="8">
        <v>10464.0</v>
      </c>
      <c r="C5370" s="8"/>
      <c r="D5370" s="8"/>
      <c r="E5370" s="8"/>
      <c r="F5370" s="8"/>
    </row>
    <row r="5371" ht="13.5" customHeight="1">
      <c r="A5371" s="8" t="s">
        <v>2127</v>
      </c>
      <c r="B5371" s="8">
        <v>10820.0</v>
      </c>
      <c r="C5371" s="8"/>
      <c r="D5371" s="8"/>
      <c r="E5371" s="8"/>
      <c r="F5371" s="8"/>
    </row>
    <row r="5372" ht="13.5" customHeight="1">
      <c r="A5372" s="8" t="s">
        <v>2118</v>
      </c>
      <c r="B5372" s="8">
        <v>11013.0</v>
      </c>
      <c r="C5372" s="8"/>
      <c r="D5372" s="8"/>
      <c r="E5372" s="8"/>
      <c r="F5372" s="8"/>
    </row>
    <row r="5373" ht="13.5" customHeight="1">
      <c r="A5373" s="8" t="s">
        <v>2003</v>
      </c>
      <c r="B5373" s="8">
        <v>11169.0</v>
      </c>
      <c r="C5373" s="8"/>
      <c r="D5373" s="8"/>
      <c r="E5373" s="8"/>
      <c r="F5373" s="8"/>
    </row>
    <row r="5374" ht="13.5" customHeight="1">
      <c r="A5374" s="8" t="s">
        <v>1403</v>
      </c>
      <c r="B5374" s="8">
        <v>11651.0</v>
      </c>
      <c r="C5374" s="8"/>
      <c r="D5374" s="8"/>
      <c r="E5374" s="8"/>
      <c r="F5374" s="8"/>
    </row>
    <row r="5375" ht="13.5" customHeight="1">
      <c r="A5375" s="8" t="s">
        <v>2121</v>
      </c>
      <c r="B5375" s="8">
        <v>11840.0</v>
      </c>
      <c r="C5375" s="8"/>
      <c r="D5375" s="8"/>
      <c r="E5375" s="8"/>
      <c r="F5375" s="8"/>
    </row>
    <row r="5376" ht="13.5" customHeight="1">
      <c r="A5376" s="8" t="s">
        <v>2124</v>
      </c>
      <c r="B5376" s="8">
        <v>11909.0</v>
      </c>
      <c r="C5376" s="8"/>
      <c r="D5376" s="8"/>
      <c r="E5376" s="8"/>
      <c r="F5376" s="8"/>
    </row>
    <row r="5377" ht="13.5" customHeight="1">
      <c r="A5377" s="8" t="s">
        <v>2126</v>
      </c>
      <c r="B5377" s="8">
        <v>11910.0</v>
      </c>
      <c r="C5377" s="8"/>
      <c r="D5377" s="8"/>
      <c r="E5377" s="8"/>
      <c r="F5377" s="8"/>
    </row>
    <row r="5378" ht="13.5" customHeight="1">
      <c r="A5378" s="8" t="s">
        <v>2124</v>
      </c>
      <c r="B5378" s="8">
        <v>11943.0</v>
      </c>
      <c r="C5378" s="8"/>
      <c r="D5378" s="8"/>
      <c r="E5378" s="8"/>
      <c r="F5378" s="8"/>
    </row>
    <row r="5379" ht="13.5" customHeight="1">
      <c r="A5379" s="8" t="s">
        <v>2121</v>
      </c>
      <c r="B5379" s="8">
        <v>12356.0</v>
      </c>
      <c r="C5379" s="8"/>
      <c r="D5379" s="8"/>
      <c r="E5379" s="8"/>
      <c r="F5379" s="8"/>
    </row>
    <row r="5380" ht="13.5" customHeight="1">
      <c r="A5380" s="8" t="s">
        <v>1792</v>
      </c>
      <c r="B5380" s="8">
        <v>12581.0</v>
      </c>
      <c r="C5380" s="8"/>
      <c r="D5380" s="8"/>
      <c r="E5380" s="8"/>
      <c r="F5380" s="8"/>
    </row>
    <row r="5381" ht="13.5" customHeight="1">
      <c r="A5381" s="8" t="s">
        <v>1699</v>
      </c>
      <c r="B5381" s="8">
        <v>13031.0</v>
      </c>
      <c r="C5381" s="8"/>
      <c r="D5381" s="8"/>
      <c r="E5381" s="8"/>
      <c r="F5381" s="8"/>
    </row>
    <row r="5382" ht="13.5" customHeight="1">
      <c r="A5382" s="8" t="s">
        <v>2122</v>
      </c>
      <c r="B5382" s="8">
        <v>13126.0</v>
      </c>
      <c r="C5382" s="8"/>
      <c r="D5382" s="8"/>
      <c r="E5382" s="8"/>
      <c r="F5382" s="8"/>
    </row>
    <row r="5383" ht="13.5" customHeight="1">
      <c r="A5383" s="8" t="s">
        <v>2119</v>
      </c>
      <c r="B5383" s="8">
        <v>13282.0</v>
      </c>
      <c r="C5383" s="8"/>
      <c r="D5383" s="8"/>
      <c r="E5383" s="8"/>
      <c r="F5383" s="8"/>
    </row>
    <row r="5384" ht="13.5" customHeight="1">
      <c r="A5384" s="8" t="s">
        <v>2126</v>
      </c>
      <c r="B5384" s="8">
        <v>13825.0</v>
      </c>
      <c r="C5384" s="8"/>
      <c r="D5384" s="8"/>
      <c r="E5384" s="8"/>
      <c r="F5384" s="8"/>
    </row>
    <row r="5385" ht="13.5" customHeight="1">
      <c r="A5385" s="8" t="s">
        <v>2127</v>
      </c>
      <c r="B5385" s="8">
        <v>14212.0</v>
      </c>
      <c r="C5385" s="8"/>
      <c r="D5385" s="8"/>
      <c r="E5385" s="8"/>
      <c r="F5385" s="8"/>
    </row>
    <row r="5386" ht="13.5" customHeight="1">
      <c r="A5386" s="8" t="s">
        <v>1699</v>
      </c>
      <c r="B5386" s="8">
        <v>14789.0</v>
      </c>
      <c r="C5386" s="8"/>
      <c r="D5386" s="8"/>
      <c r="E5386" s="8"/>
      <c r="F5386" s="8"/>
    </row>
    <row r="5387" ht="13.5" customHeight="1">
      <c r="A5387" s="8" t="s">
        <v>830</v>
      </c>
      <c r="B5387" s="8">
        <v>15782.0</v>
      </c>
      <c r="C5387" s="8"/>
      <c r="D5387" s="8"/>
      <c r="E5387" s="8"/>
      <c r="F5387" s="8"/>
    </row>
    <row r="5388" ht="13.5" customHeight="1">
      <c r="A5388" s="8" t="s">
        <v>2120</v>
      </c>
      <c r="B5388" s="8">
        <v>16132.0</v>
      </c>
      <c r="C5388" s="8"/>
      <c r="D5388" s="8"/>
      <c r="E5388" s="8"/>
      <c r="F5388" s="8"/>
    </row>
    <row r="5389" ht="13.5" customHeight="1">
      <c r="A5389" s="8" t="s">
        <v>2120</v>
      </c>
      <c r="B5389" s="8">
        <v>17251.0</v>
      </c>
      <c r="C5389" s="8"/>
      <c r="D5389" s="8"/>
      <c r="E5389" s="8"/>
      <c r="F5389" s="8"/>
    </row>
    <row r="5390" ht="13.5" customHeight="1">
      <c r="A5390" s="8" t="s">
        <v>2119</v>
      </c>
      <c r="B5390" s="8">
        <v>17253.0</v>
      </c>
      <c r="C5390" s="8"/>
      <c r="D5390" s="8"/>
      <c r="E5390" s="8"/>
      <c r="F5390" s="8"/>
    </row>
    <row r="5391" ht="13.5" customHeight="1">
      <c r="A5391" s="8" t="s">
        <v>2128</v>
      </c>
      <c r="B5391" s="8">
        <v>17287.0</v>
      </c>
      <c r="C5391" s="8"/>
      <c r="D5391" s="8"/>
      <c r="E5391" s="8"/>
      <c r="F5391" s="8"/>
    </row>
    <row r="5392" ht="13.5" customHeight="1">
      <c r="A5392" s="8" t="s">
        <v>2124</v>
      </c>
      <c r="B5392" s="8">
        <v>18279.0</v>
      </c>
      <c r="C5392" s="8"/>
      <c r="D5392" s="8"/>
      <c r="E5392" s="8"/>
      <c r="F5392" s="8"/>
    </row>
    <row r="5393" ht="13.5" customHeight="1">
      <c r="A5393" s="8" t="s">
        <v>1699</v>
      </c>
      <c r="B5393" s="8">
        <v>18503.0</v>
      </c>
      <c r="C5393" s="8"/>
      <c r="D5393" s="8"/>
      <c r="E5393" s="8"/>
      <c r="F5393" s="8"/>
    </row>
    <row r="5394" ht="13.5" customHeight="1">
      <c r="A5394" s="8" t="s">
        <v>1792</v>
      </c>
      <c r="B5394" s="8">
        <v>18689.0</v>
      </c>
      <c r="C5394" s="8"/>
      <c r="D5394" s="8"/>
      <c r="E5394" s="8"/>
      <c r="F5394" s="8"/>
    </row>
    <row r="5395" ht="13.5" customHeight="1">
      <c r="A5395" s="8" t="s">
        <v>1956</v>
      </c>
      <c r="B5395" s="8">
        <v>18758.0</v>
      </c>
      <c r="C5395" s="8"/>
      <c r="D5395" s="8"/>
      <c r="E5395" s="8"/>
      <c r="F5395" s="8"/>
    </row>
    <row r="5396" ht="13.5" customHeight="1">
      <c r="A5396" s="8" t="s">
        <v>1302</v>
      </c>
      <c r="B5396" s="8">
        <v>19521.0</v>
      </c>
      <c r="C5396" s="8"/>
      <c r="D5396" s="8"/>
      <c r="E5396" s="8"/>
      <c r="F5396" s="8"/>
    </row>
    <row r="5397" ht="13.5" customHeight="1">
      <c r="A5397" s="8" t="s">
        <v>126</v>
      </c>
      <c r="B5397" s="8">
        <v>20513.0</v>
      </c>
      <c r="C5397" s="8"/>
      <c r="D5397" s="8"/>
      <c r="E5397" s="8"/>
      <c r="F5397" s="8"/>
    </row>
    <row r="5398" ht="13.5" customHeight="1">
      <c r="A5398" s="8" t="s">
        <v>830</v>
      </c>
      <c r="B5398" s="8">
        <v>21253.0</v>
      </c>
      <c r="C5398" s="8"/>
      <c r="D5398" s="8"/>
      <c r="E5398" s="8"/>
      <c r="F5398" s="8"/>
    </row>
    <row r="5399" ht="13.5" customHeight="1">
      <c r="A5399" s="8" t="s">
        <v>1956</v>
      </c>
      <c r="B5399" s="8">
        <v>21735.0</v>
      </c>
      <c r="C5399" s="8"/>
      <c r="D5399" s="8"/>
      <c r="E5399" s="8"/>
      <c r="F5399" s="8"/>
    </row>
    <row r="5400" ht="13.5" customHeight="1">
      <c r="A5400" s="8" t="s">
        <v>2003</v>
      </c>
      <c r="B5400" s="8">
        <v>22375.0</v>
      </c>
      <c r="C5400" s="8"/>
      <c r="D5400" s="8"/>
      <c r="E5400" s="8"/>
      <c r="F5400" s="8"/>
    </row>
    <row r="5401" ht="13.5" customHeight="1">
      <c r="A5401" s="8" t="s">
        <v>1408</v>
      </c>
      <c r="B5401" s="8">
        <v>22817.0</v>
      </c>
      <c r="C5401" s="8"/>
      <c r="D5401" s="8"/>
      <c r="E5401" s="8"/>
      <c r="F5401" s="8"/>
    </row>
    <row r="5402" ht="13.5" customHeight="1">
      <c r="A5402" s="8" t="s">
        <v>2121</v>
      </c>
      <c r="B5402" s="8">
        <v>23842.0</v>
      </c>
      <c r="C5402" s="8"/>
      <c r="D5402" s="8"/>
      <c r="E5402" s="8"/>
      <c r="F5402" s="8"/>
    </row>
    <row r="5403" ht="13.5" customHeight="1">
      <c r="A5403" s="8" t="s">
        <v>2126</v>
      </c>
      <c r="B5403" s="8">
        <v>23911.0</v>
      </c>
      <c r="C5403" s="8"/>
      <c r="D5403" s="8"/>
      <c r="E5403" s="8"/>
      <c r="F5403" s="8"/>
    </row>
    <row r="5404" ht="13.5" customHeight="1">
      <c r="A5404" s="8" t="s">
        <v>2122</v>
      </c>
      <c r="B5404" s="8">
        <v>24391.0</v>
      </c>
      <c r="C5404" s="8"/>
      <c r="D5404" s="8"/>
      <c r="E5404" s="8"/>
      <c r="F5404" s="8"/>
    </row>
    <row r="5405" ht="13.5" customHeight="1">
      <c r="A5405" s="8" t="s">
        <v>2129</v>
      </c>
      <c r="B5405" s="8">
        <v>24802.0</v>
      </c>
      <c r="C5405" s="8"/>
      <c r="D5405" s="8"/>
      <c r="E5405" s="8"/>
      <c r="F5405" s="8"/>
    </row>
    <row r="5406" ht="13.5" customHeight="1">
      <c r="A5406" s="8" t="s">
        <v>2119</v>
      </c>
      <c r="B5406" s="8">
        <v>24996.0</v>
      </c>
      <c r="C5406" s="8"/>
      <c r="D5406" s="8"/>
      <c r="E5406" s="8"/>
      <c r="F5406" s="8"/>
    </row>
    <row r="5407" ht="13.5" customHeight="1">
      <c r="A5407" s="8" t="s">
        <v>2003</v>
      </c>
      <c r="B5407" s="8">
        <v>25824.0</v>
      </c>
      <c r="C5407" s="8"/>
      <c r="D5407" s="8"/>
      <c r="E5407" s="8"/>
      <c r="F5407" s="8"/>
    </row>
    <row r="5408" ht="13.5" customHeight="1">
      <c r="A5408" s="8" t="s">
        <v>2123</v>
      </c>
      <c r="B5408" s="8">
        <v>26309.0</v>
      </c>
      <c r="C5408" s="8"/>
      <c r="D5408" s="8"/>
      <c r="E5408" s="8"/>
      <c r="F5408" s="8"/>
    </row>
    <row r="5409" ht="13.5" customHeight="1">
      <c r="A5409" s="8" t="s">
        <v>2119</v>
      </c>
      <c r="B5409" s="8">
        <v>26723.0</v>
      </c>
      <c r="C5409" s="8"/>
      <c r="D5409" s="8"/>
      <c r="E5409" s="8"/>
      <c r="F5409" s="8"/>
    </row>
    <row r="5410" ht="13.5" customHeight="1">
      <c r="A5410" s="8" t="s">
        <v>2125</v>
      </c>
      <c r="B5410" s="8">
        <v>27463.0</v>
      </c>
      <c r="C5410" s="8"/>
      <c r="D5410" s="8"/>
      <c r="E5410" s="8"/>
      <c r="F5410" s="8"/>
    </row>
    <row r="5411" ht="13.5" customHeight="1">
      <c r="A5411" s="8" t="s">
        <v>2127</v>
      </c>
      <c r="B5411" s="8">
        <v>28069.0</v>
      </c>
      <c r="C5411" s="8"/>
      <c r="D5411" s="8"/>
      <c r="E5411" s="8"/>
      <c r="F5411" s="8"/>
    </row>
    <row r="5412" ht="13.5" customHeight="1">
      <c r="A5412" s="8" t="s">
        <v>2124</v>
      </c>
      <c r="B5412" s="8">
        <v>28934.0</v>
      </c>
      <c r="C5412" s="8"/>
      <c r="D5412" s="8"/>
      <c r="E5412" s="8"/>
      <c r="F5412" s="8"/>
    </row>
    <row r="5413" ht="13.5" customHeight="1">
      <c r="A5413" s="8" t="s">
        <v>1408</v>
      </c>
      <c r="B5413" s="8">
        <v>29218.0</v>
      </c>
      <c r="C5413" s="8"/>
      <c r="D5413" s="8"/>
      <c r="E5413" s="8"/>
      <c r="F5413" s="8"/>
    </row>
    <row r="5414" ht="13.5" customHeight="1">
      <c r="A5414" s="8" t="s">
        <v>2123</v>
      </c>
      <c r="B5414" s="8">
        <v>29286.0</v>
      </c>
      <c r="C5414" s="8"/>
      <c r="D5414" s="8"/>
      <c r="E5414" s="8"/>
      <c r="F5414" s="8"/>
    </row>
    <row r="5415" ht="13.5" customHeight="1">
      <c r="A5415" s="8" t="s">
        <v>2122</v>
      </c>
      <c r="B5415" s="8">
        <v>29536.0</v>
      </c>
      <c r="C5415" s="8"/>
      <c r="D5415" s="8"/>
      <c r="E5415" s="8"/>
      <c r="F5415" s="8"/>
    </row>
    <row r="5416" ht="13.5" customHeight="1">
      <c r="A5416" s="8" t="s">
        <v>2122</v>
      </c>
      <c r="B5416" s="8">
        <v>29569.0</v>
      </c>
      <c r="C5416" s="8"/>
      <c r="D5416" s="8"/>
      <c r="E5416" s="8"/>
      <c r="F5416" s="8"/>
    </row>
    <row r="5417" ht="13.5" customHeight="1">
      <c r="A5417" s="8" t="s">
        <v>2122</v>
      </c>
      <c r="B5417" s="8">
        <v>29827.0</v>
      </c>
      <c r="C5417" s="8"/>
      <c r="D5417" s="8"/>
      <c r="E5417" s="8"/>
      <c r="F5417" s="8"/>
    </row>
    <row r="5418" ht="13.5" customHeight="1">
      <c r="A5418" s="8" t="s">
        <v>2119</v>
      </c>
      <c r="B5418" s="8">
        <v>29926.0</v>
      </c>
      <c r="C5418" s="8"/>
      <c r="D5418" s="8"/>
      <c r="E5418" s="8"/>
      <c r="F5418" s="8"/>
    </row>
    <row r="5419" ht="13.5" customHeight="1">
      <c r="A5419" s="8" t="s">
        <v>2119</v>
      </c>
      <c r="B5419" s="8">
        <v>30913.0</v>
      </c>
      <c r="C5419" s="8"/>
      <c r="D5419" s="8"/>
      <c r="E5419" s="8"/>
      <c r="F5419" s="8"/>
    </row>
    <row r="5420" ht="13.5" customHeight="1">
      <c r="A5420" s="8" t="s">
        <v>2120</v>
      </c>
      <c r="B5420" s="8">
        <v>31271.0</v>
      </c>
      <c r="C5420" s="8"/>
      <c r="D5420" s="8"/>
      <c r="E5420" s="8"/>
      <c r="F5420" s="8"/>
    </row>
    <row r="5421" ht="13.5" customHeight="1">
      <c r="A5421" s="8" t="s">
        <v>2130</v>
      </c>
      <c r="B5421" s="8">
        <v>31399.0</v>
      </c>
      <c r="C5421" s="8"/>
      <c r="D5421" s="8"/>
      <c r="E5421" s="8"/>
      <c r="F5421" s="8"/>
    </row>
    <row r="5422" ht="13.5" customHeight="1">
      <c r="A5422" s="8" t="s">
        <v>2125</v>
      </c>
      <c r="B5422" s="8">
        <v>32007.0</v>
      </c>
      <c r="C5422" s="8"/>
      <c r="D5422" s="8"/>
      <c r="E5422" s="8"/>
      <c r="F5422" s="8"/>
    </row>
    <row r="5423" ht="13.5" customHeight="1">
      <c r="A5423" s="8" t="s">
        <v>1403</v>
      </c>
      <c r="B5423" s="8">
        <v>32164.0</v>
      </c>
      <c r="C5423" s="8"/>
      <c r="D5423" s="8"/>
      <c r="E5423" s="8"/>
      <c r="F5423" s="8"/>
    </row>
    <row r="5424" ht="13.5" customHeight="1">
      <c r="A5424" s="8" t="s">
        <v>1408</v>
      </c>
      <c r="B5424" s="8">
        <v>32228.0</v>
      </c>
      <c r="C5424" s="8"/>
      <c r="D5424" s="8"/>
      <c r="E5424" s="8"/>
      <c r="F5424" s="8"/>
    </row>
    <row r="5425" ht="13.5" customHeight="1">
      <c r="A5425" s="8" t="s">
        <v>2126</v>
      </c>
      <c r="B5425" s="8">
        <v>32386.0</v>
      </c>
      <c r="C5425" s="8"/>
      <c r="D5425" s="8"/>
      <c r="E5425" s="8"/>
      <c r="F5425" s="8"/>
    </row>
    <row r="5426" ht="13.5" customHeight="1">
      <c r="A5426" s="8" t="s">
        <v>2121</v>
      </c>
      <c r="B5426" s="8">
        <v>32610.0</v>
      </c>
      <c r="C5426" s="8"/>
      <c r="D5426" s="8"/>
      <c r="E5426" s="8"/>
      <c r="F5426" s="8"/>
    </row>
    <row r="5427" ht="13.5" customHeight="1">
      <c r="A5427" s="8" t="s">
        <v>2125</v>
      </c>
      <c r="B5427" s="8">
        <v>32994.0</v>
      </c>
      <c r="C5427" s="8"/>
      <c r="D5427" s="8"/>
      <c r="E5427" s="8"/>
      <c r="F5427" s="8"/>
    </row>
    <row r="5428" ht="13.5" customHeight="1">
      <c r="A5428" s="8" t="s">
        <v>1302</v>
      </c>
      <c r="B5428" s="8">
        <v>33283.0</v>
      </c>
      <c r="C5428" s="8"/>
      <c r="D5428" s="8"/>
      <c r="E5428" s="8"/>
      <c r="F5428" s="8"/>
    </row>
    <row r="5429" ht="13.5" customHeight="1">
      <c r="A5429" s="8" t="s">
        <v>1701</v>
      </c>
      <c r="B5429" s="8">
        <v>34117.0</v>
      </c>
      <c r="C5429" s="8"/>
      <c r="D5429" s="8"/>
      <c r="E5429" s="8"/>
      <c r="F5429" s="8"/>
    </row>
    <row r="5430" ht="13.5" customHeight="1">
      <c r="A5430" s="8" t="s">
        <v>2122</v>
      </c>
      <c r="B5430" s="8">
        <v>35366.0</v>
      </c>
      <c r="C5430" s="8"/>
      <c r="D5430" s="8"/>
      <c r="E5430" s="8"/>
      <c r="F5430" s="8"/>
    </row>
    <row r="5431" ht="13.5" customHeight="1">
      <c r="A5431" s="8" t="s">
        <v>1998</v>
      </c>
      <c r="B5431" s="8">
        <v>35426.0</v>
      </c>
      <c r="C5431" s="8"/>
      <c r="D5431" s="8"/>
      <c r="E5431" s="8"/>
      <c r="F5431" s="8"/>
    </row>
    <row r="5432" ht="13.5" customHeight="1">
      <c r="A5432" s="8" t="s">
        <v>2129</v>
      </c>
      <c r="B5432" s="8">
        <v>35490.0</v>
      </c>
      <c r="C5432" s="8"/>
      <c r="D5432" s="8"/>
      <c r="E5432" s="8"/>
      <c r="F5432" s="8"/>
    </row>
    <row r="5433" ht="13.5" customHeight="1">
      <c r="A5433" s="8" t="s">
        <v>1408</v>
      </c>
      <c r="B5433" s="8">
        <v>35686.0</v>
      </c>
      <c r="C5433" s="8"/>
      <c r="D5433" s="8"/>
      <c r="E5433" s="8"/>
      <c r="F5433" s="8"/>
    </row>
    <row r="5434" ht="13.5" customHeight="1">
      <c r="A5434" s="8" t="s">
        <v>2125</v>
      </c>
      <c r="B5434" s="8">
        <v>35744.0</v>
      </c>
      <c r="C5434" s="8"/>
      <c r="D5434" s="8"/>
      <c r="E5434" s="8"/>
      <c r="F5434" s="8"/>
    </row>
    <row r="5435" ht="13.5" customHeight="1">
      <c r="A5435" s="8" t="s">
        <v>2119</v>
      </c>
      <c r="B5435" s="8">
        <v>35936.0</v>
      </c>
      <c r="C5435" s="8"/>
      <c r="D5435" s="8"/>
      <c r="E5435" s="8"/>
      <c r="F5435" s="8"/>
    </row>
    <row r="5436" ht="13.5" customHeight="1">
      <c r="A5436" s="8" t="s">
        <v>1998</v>
      </c>
      <c r="B5436" s="8">
        <v>36257.0</v>
      </c>
      <c r="C5436" s="8"/>
      <c r="D5436" s="8"/>
      <c r="E5436" s="8"/>
      <c r="F5436" s="8"/>
    </row>
    <row r="5437" ht="13.5" customHeight="1">
      <c r="A5437" s="8" t="s">
        <v>126</v>
      </c>
      <c r="B5437" s="8">
        <v>36262.0</v>
      </c>
      <c r="C5437" s="8"/>
      <c r="D5437" s="8"/>
      <c r="E5437" s="8"/>
      <c r="F5437" s="8"/>
    </row>
    <row r="5438" ht="13.5" customHeight="1">
      <c r="A5438" s="8" t="s">
        <v>2003</v>
      </c>
      <c r="B5438" s="8">
        <v>36292.0</v>
      </c>
      <c r="C5438" s="8"/>
      <c r="D5438" s="8"/>
      <c r="E5438" s="8"/>
      <c r="F5438" s="8"/>
    </row>
    <row r="5439" ht="13.5" customHeight="1">
      <c r="A5439" s="8" t="s">
        <v>2120</v>
      </c>
      <c r="B5439" s="8">
        <v>36357.0</v>
      </c>
      <c r="C5439" s="8"/>
      <c r="D5439" s="8"/>
      <c r="E5439" s="8"/>
      <c r="F5439" s="8"/>
    </row>
    <row r="5440" ht="13.5" customHeight="1">
      <c r="A5440" s="8" t="s">
        <v>1403</v>
      </c>
      <c r="B5440" s="8">
        <v>36482.0</v>
      </c>
      <c r="C5440" s="8"/>
      <c r="D5440" s="8"/>
      <c r="E5440" s="8"/>
      <c r="F5440" s="8"/>
    </row>
    <row r="5441" ht="13.5" customHeight="1">
      <c r="A5441" s="8" t="s">
        <v>1302</v>
      </c>
      <c r="B5441" s="8">
        <v>36772.0</v>
      </c>
      <c r="C5441" s="8"/>
      <c r="D5441" s="8"/>
      <c r="E5441" s="8"/>
      <c r="F5441" s="8"/>
    </row>
    <row r="5442" ht="13.5" customHeight="1">
      <c r="A5442" s="8" t="s">
        <v>2003</v>
      </c>
      <c r="B5442" s="8">
        <v>36998.0</v>
      </c>
      <c r="C5442" s="8"/>
      <c r="D5442" s="8"/>
      <c r="E5442" s="8"/>
      <c r="F5442" s="8"/>
    </row>
    <row r="5443" ht="13.5" customHeight="1">
      <c r="A5443" s="8" t="s">
        <v>2119</v>
      </c>
      <c r="B5443" s="8">
        <v>37095.0</v>
      </c>
      <c r="C5443" s="8"/>
      <c r="D5443" s="8"/>
      <c r="E5443" s="8"/>
      <c r="F5443" s="8"/>
    </row>
    <row r="5444" ht="13.5" customHeight="1">
      <c r="A5444" s="8" t="s">
        <v>2129</v>
      </c>
      <c r="B5444" s="8">
        <v>37319.0</v>
      </c>
      <c r="C5444" s="8"/>
      <c r="D5444" s="8"/>
      <c r="E5444" s="8"/>
      <c r="F5444" s="8"/>
    </row>
    <row r="5445" ht="13.5" customHeight="1">
      <c r="A5445" s="8" t="s">
        <v>2129</v>
      </c>
      <c r="B5445" s="8">
        <v>38886.0</v>
      </c>
      <c r="C5445" s="8"/>
      <c r="D5445" s="8"/>
      <c r="E5445" s="8"/>
      <c r="F5445" s="8"/>
    </row>
    <row r="5446" ht="13.5" customHeight="1">
      <c r="A5446" s="8" t="s">
        <v>2125</v>
      </c>
      <c r="B5446" s="8">
        <v>39140.0</v>
      </c>
      <c r="C5446" s="8"/>
      <c r="D5446" s="8"/>
      <c r="E5446" s="8"/>
      <c r="F5446" s="8"/>
    </row>
    <row r="5447" ht="13.5" customHeight="1">
      <c r="A5447" s="8" t="s">
        <v>126</v>
      </c>
      <c r="B5447" s="8">
        <v>39682.0</v>
      </c>
      <c r="C5447" s="8"/>
      <c r="D5447" s="8"/>
      <c r="E5447" s="8"/>
      <c r="F5447" s="8"/>
    </row>
    <row r="5448" ht="13.5" customHeight="1">
      <c r="A5448" s="8" t="s">
        <v>2125</v>
      </c>
      <c r="B5448" s="8">
        <v>39813.0</v>
      </c>
      <c r="C5448" s="8"/>
      <c r="D5448" s="8"/>
      <c r="E5448" s="8"/>
      <c r="F5448" s="8"/>
    </row>
    <row r="5449" ht="13.5" customHeight="1">
      <c r="A5449" s="8" t="s">
        <v>2122</v>
      </c>
      <c r="B5449" s="8">
        <v>39937.0</v>
      </c>
      <c r="C5449" s="8"/>
      <c r="D5449" s="8"/>
      <c r="E5449" s="8"/>
      <c r="F5449" s="8"/>
    </row>
    <row r="5450" ht="13.5" customHeight="1">
      <c r="A5450" s="8" t="s">
        <v>2121</v>
      </c>
      <c r="B5450" s="8">
        <v>40034.0</v>
      </c>
      <c r="C5450" s="8"/>
      <c r="D5450" s="8"/>
      <c r="E5450" s="8"/>
      <c r="F5450" s="8"/>
    </row>
    <row r="5451" ht="13.5" customHeight="1">
      <c r="A5451" s="8" t="s">
        <v>2003</v>
      </c>
      <c r="B5451" s="8">
        <v>40128.0</v>
      </c>
      <c r="C5451" s="8"/>
      <c r="D5451" s="8"/>
      <c r="E5451" s="8"/>
      <c r="F5451" s="8"/>
    </row>
    <row r="5452" ht="13.5" customHeight="1">
      <c r="A5452" s="8" t="s">
        <v>1998</v>
      </c>
      <c r="B5452" s="8">
        <v>40519.0</v>
      </c>
      <c r="C5452" s="8"/>
      <c r="D5452" s="8"/>
      <c r="E5452" s="8"/>
      <c r="F5452" s="8"/>
    </row>
    <row r="5453" ht="13.5" customHeight="1">
      <c r="A5453" s="8" t="s">
        <v>2130</v>
      </c>
      <c r="B5453" s="8">
        <v>40838.0</v>
      </c>
      <c r="C5453" s="8"/>
      <c r="D5453" s="8"/>
      <c r="E5453" s="8"/>
      <c r="F5453" s="8"/>
    </row>
    <row r="5454" ht="13.5" customHeight="1">
      <c r="A5454" s="8" t="s">
        <v>2124</v>
      </c>
      <c r="B5454" s="8">
        <v>41189.0</v>
      </c>
      <c r="C5454" s="8"/>
      <c r="D5454" s="8"/>
      <c r="E5454" s="8"/>
      <c r="F5454" s="8"/>
    </row>
    <row r="5455" ht="13.5" customHeight="1">
      <c r="A5455" s="8" t="s">
        <v>2003</v>
      </c>
      <c r="B5455" s="8">
        <v>41255.0</v>
      </c>
      <c r="C5455" s="8"/>
      <c r="D5455" s="8"/>
      <c r="E5455" s="8"/>
      <c r="F5455" s="8"/>
    </row>
    <row r="5456" ht="13.5" customHeight="1">
      <c r="A5456" s="8" t="s">
        <v>1403</v>
      </c>
      <c r="B5456" s="8">
        <v>41760.0</v>
      </c>
      <c r="C5456" s="8"/>
      <c r="D5456" s="8"/>
      <c r="E5456" s="8"/>
      <c r="F5456" s="8"/>
    </row>
    <row r="5457" ht="13.5" customHeight="1">
      <c r="A5457" s="8" t="s">
        <v>2009</v>
      </c>
      <c r="B5457" s="8">
        <v>42852.0</v>
      </c>
      <c r="C5457" s="8"/>
      <c r="D5457" s="8"/>
      <c r="E5457" s="8"/>
      <c r="F5457" s="8"/>
    </row>
    <row r="5458" ht="13.5" customHeight="1">
      <c r="A5458" s="8" t="s">
        <v>2125</v>
      </c>
      <c r="B5458" s="8">
        <v>43298.0</v>
      </c>
      <c r="C5458" s="8"/>
      <c r="D5458" s="8"/>
      <c r="E5458" s="8"/>
      <c r="F5458" s="8"/>
    </row>
    <row r="5459" ht="13.5" customHeight="1">
      <c r="A5459" s="8" t="s">
        <v>1408</v>
      </c>
      <c r="B5459" s="8">
        <v>44516.0</v>
      </c>
      <c r="C5459" s="8"/>
      <c r="D5459" s="8"/>
      <c r="E5459" s="8"/>
      <c r="F5459" s="8"/>
    </row>
    <row r="5460" ht="13.5" customHeight="1">
      <c r="A5460" s="8" t="s">
        <v>2126</v>
      </c>
      <c r="B5460" s="8">
        <v>45088.0</v>
      </c>
      <c r="C5460" s="8"/>
      <c r="D5460" s="8"/>
      <c r="E5460" s="8"/>
      <c r="F5460" s="8"/>
    </row>
    <row r="5461" ht="13.5" customHeight="1">
      <c r="A5461" s="8" t="s">
        <v>2129</v>
      </c>
      <c r="B5461" s="8">
        <v>46599.0</v>
      </c>
      <c r="C5461" s="8"/>
      <c r="D5461" s="8"/>
      <c r="E5461" s="8"/>
      <c r="F5461" s="8"/>
    </row>
    <row r="5462" ht="13.5" customHeight="1">
      <c r="A5462" s="8" t="s">
        <v>2129</v>
      </c>
      <c r="B5462" s="8">
        <v>48000.0</v>
      </c>
      <c r="C5462" s="8"/>
      <c r="D5462" s="8"/>
      <c r="E5462" s="8"/>
      <c r="F5462" s="8"/>
    </row>
    <row r="5463" ht="13.5" customHeight="1">
      <c r="A5463" s="8" t="s">
        <v>1998</v>
      </c>
      <c r="B5463" s="8">
        <v>48385.0</v>
      </c>
      <c r="C5463" s="8"/>
      <c r="D5463" s="8"/>
      <c r="E5463" s="8"/>
      <c r="F5463" s="8"/>
    </row>
    <row r="5464" ht="13.5" customHeight="1">
      <c r="A5464" s="8" t="s">
        <v>1408</v>
      </c>
      <c r="B5464" s="8">
        <v>49602.0</v>
      </c>
      <c r="C5464" s="8"/>
      <c r="D5464" s="8"/>
      <c r="E5464" s="8"/>
      <c r="F5464" s="8"/>
    </row>
    <row r="5465" ht="13.5" customHeight="1">
      <c r="A5465" s="8" t="s">
        <v>2128</v>
      </c>
      <c r="B5465" s="8">
        <v>50146.0</v>
      </c>
      <c r="C5465" s="8"/>
      <c r="D5465" s="8"/>
      <c r="E5465" s="8"/>
      <c r="F5465" s="8"/>
    </row>
    <row r="5466" ht="13.5" customHeight="1">
      <c r="A5466" s="8" t="s">
        <v>2119</v>
      </c>
      <c r="B5466" s="8">
        <v>50148.0</v>
      </c>
      <c r="C5466" s="8"/>
      <c r="D5466" s="8"/>
      <c r="E5466" s="8"/>
      <c r="F5466" s="8"/>
    </row>
    <row r="5467" ht="13.5" customHeight="1">
      <c r="A5467" s="8" t="s">
        <v>2128</v>
      </c>
      <c r="B5467" s="8">
        <v>50594.0</v>
      </c>
      <c r="C5467" s="8"/>
      <c r="D5467" s="8"/>
      <c r="E5467" s="8"/>
      <c r="F5467" s="8"/>
    </row>
    <row r="5468" ht="13.5" customHeight="1">
      <c r="A5468" s="8" t="s">
        <v>2118</v>
      </c>
      <c r="B5468" s="8">
        <v>50726.0</v>
      </c>
      <c r="C5468" s="8"/>
      <c r="D5468" s="8"/>
      <c r="E5468" s="8"/>
      <c r="F5468" s="8"/>
    </row>
    <row r="5469" ht="13.5" customHeight="1">
      <c r="A5469" s="8" t="s">
        <v>2126</v>
      </c>
      <c r="B5469" s="8">
        <v>50790.0</v>
      </c>
      <c r="C5469" s="8"/>
      <c r="D5469" s="8"/>
      <c r="E5469" s="8"/>
      <c r="F5469" s="8"/>
    </row>
    <row r="5470" ht="13.5" customHeight="1">
      <c r="A5470" s="8" t="s">
        <v>1701</v>
      </c>
      <c r="B5470" s="8">
        <v>51424.0</v>
      </c>
      <c r="C5470" s="8"/>
      <c r="D5470" s="8"/>
      <c r="E5470" s="8"/>
      <c r="F5470" s="8"/>
    </row>
    <row r="5471" ht="13.5" customHeight="1">
      <c r="A5471" s="8" t="s">
        <v>2128</v>
      </c>
      <c r="B5471" s="8">
        <v>51872.0</v>
      </c>
      <c r="C5471" s="8"/>
      <c r="D5471" s="8"/>
      <c r="E5471" s="8"/>
      <c r="F5471" s="8"/>
    </row>
    <row r="5472" ht="13.5" customHeight="1">
      <c r="A5472" s="8" t="s">
        <v>2130</v>
      </c>
      <c r="B5472" s="8">
        <v>52230.0</v>
      </c>
      <c r="C5472" s="8"/>
      <c r="D5472" s="8"/>
      <c r="E5472" s="8"/>
      <c r="F5472" s="8"/>
    </row>
    <row r="5473" ht="13.5" customHeight="1">
      <c r="A5473" s="8" t="s">
        <v>2119</v>
      </c>
      <c r="B5473" s="8">
        <v>52518.0</v>
      </c>
      <c r="C5473" s="8"/>
      <c r="D5473" s="8"/>
      <c r="E5473" s="8"/>
      <c r="F5473" s="8"/>
    </row>
    <row r="5474" ht="13.5" customHeight="1">
      <c r="A5474" s="8" t="s">
        <v>2118</v>
      </c>
      <c r="B5474" s="8">
        <v>52673.0</v>
      </c>
      <c r="C5474" s="8"/>
      <c r="D5474" s="8"/>
      <c r="E5474" s="8"/>
      <c r="F5474" s="8"/>
    </row>
    <row r="5475" ht="13.5" customHeight="1">
      <c r="A5475" s="8" t="s">
        <v>2130</v>
      </c>
      <c r="B5475" s="8">
        <v>53026.0</v>
      </c>
      <c r="C5475" s="8"/>
      <c r="D5475" s="8"/>
      <c r="E5475" s="8"/>
      <c r="F5475" s="8"/>
    </row>
    <row r="5476" ht="13.5" customHeight="1">
      <c r="A5476" s="8" t="s">
        <v>126</v>
      </c>
      <c r="B5476" s="8">
        <v>54019.0</v>
      </c>
      <c r="C5476" s="8"/>
      <c r="D5476" s="8"/>
      <c r="E5476" s="8"/>
      <c r="F5476" s="8"/>
    </row>
    <row r="5477" ht="13.5" customHeight="1">
      <c r="A5477" s="8" t="s">
        <v>2125</v>
      </c>
      <c r="B5477" s="8">
        <v>54913.0</v>
      </c>
      <c r="C5477" s="8"/>
      <c r="D5477" s="8"/>
      <c r="E5477" s="8"/>
      <c r="F5477" s="8"/>
    </row>
    <row r="5478" ht="13.5" customHeight="1">
      <c r="A5478" s="8" t="s">
        <v>2129</v>
      </c>
      <c r="B5478" s="8">
        <v>55424.0</v>
      </c>
      <c r="C5478" s="8"/>
      <c r="D5478" s="8"/>
      <c r="E5478" s="8"/>
      <c r="F5478" s="8"/>
    </row>
    <row r="5479" ht="13.5" customHeight="1">
      <c r="A5479" s="8" t="s">
        <v>2129</v>
      </c>
      <c r="B5479" s="8">
        <v>56327.0</v>
      </c>
      <c r="C5479" s="8"/>
      <c r="D5479" s="8"/>
      <c r="E5479" s="8"/>
      <c r="F5479" s="8"/>
    </row>
    <row r="5480" ht="13.5" customHeight="1">
      <c r="A5480" s="8" t="s">
        <v>2130</v>
      </c>
      <c r="B5480" s="8">
        <v>56706.0</v>
      </c>
      <c r="C5480" s="8"/>
      <c r="D5480" s="8"/>
      <c r="E5480" s="8"/>
      <c r="F5480" s="8"/>
    </row>
    <row r="5481" ht="13.5" customHeight="1">
      <c r="A5481" s="8" t="s">
        <v>2122</v>
      </c>
      <c r="B5481" s="8">
        <v>57125.0</v>
      </c>
      <c r="C5481" s="8"/>
      <c r="D5481" s="8"/>
      <c r="E5481" s="8"/>
      <c r="F5481" s="8"/>
    </row>
    <row r="5482" ht="13.5" customHeight="1">
      <c r="A5482" s="8" t="s">
        <v>2126</v>
      </c>
      <c r="B5482" s="8">
        <v>57152.0</v>
      </c>
      <c r="C5482" s="8"/>
      <c r="D5482" s="8"/>
      <c r="E5482" s="8"/>
      <c r="F5482" s="8"/>
    </row>
    <row r="5483" ht="13.5" customHeight="1">
      <c r="A5483" s="8" t="s">
        <v>2118</v>
      </c>
      <c r="B5483" s="8">
        <v>57216.0</v>
      </c>
      <c r="C5483" s="8"/>
      <c r="D5483" s="8"/>
      <c r="E5483" s="8"/>
      <c r="F5483" s="8"/>
    </row>
    <row r="5484" ht="13.5" customHeight="1">
      <c r="A5484" s="8" t="s">
        <v>1301</v>
      </c>
      <c r="B5484" s="8">
        <v>57281.0</v>
      </c>
      <c r="C5484" s="8"/>
      <c r="D5484" s="8"/>
      <c r="E5484" s="8"/>
      <c r="F5484" s="8"/>
    </row>
    <row r="5485" ht="13.5" customHeight="1">
      <c r="A5485" s="8" t="s">
        <v>1408</v>
      </c>
      <c r="B5485" s="8">
        <v>57827.0</v>
      </c>
      <c r="C5485" s="8"/>
      <c r="D5485" s="8"/>
      <c r="E5485" s="8"/>
      <c r="F5485" s="8"/>
    </row>
    <row r="5486" ht="13.5" customHeight="1">
      <c r="A5486" s="8" t="s">
        <v>1701</v>
      </c>
      <c r="B5486" s="8">
        <v>58949.0</v>
      </c>
      <c r="C5486" s="8"/>
      <c r="D5486" s="8"/>
      <c r="E5486" s="8"/>
      <c r="F5486" s="8"/>
    </row>
    <row r="5487" ht="13.5" customHeight="1">
      <c r="A5487" s="8" t="s">
        <v>1511</v>
      </c>
      <c r="B5487" s="8">
        <v>1222.0</v>
      </c>
      <c r="C5487" s="8"/>
      <c r="D5487" s="8"/>
      <c r="E5487" s="8"/>
      <c r="F5487" s="8"/>
    </row>
    <row r="5488" ht="13.5" customHeight="1">
      <c r="A5488" s="8" t="s">
        <v>1785</v>
      </c>
      <c r="B5488" s="8">
        <v>5767.0</v>
      </c>
      <c r="C5488" s="8"/>
      <c r="D5488" s="8"/>
      <c r="E5488" s="8"/>
      <c r="F5488" s="8"/>
    </row>
    <row r="5489" ht="13.5" customHeight="1">
      <c r="A5489" s="8" t="s">
        <v>1511</v>
      </c>
      <c r="B5489" s="8">
        <v>11712.0</v>
      </c>
      <c r="C5489" s="8"/>
      <c r="D5489" s="8"/>
      <c r="E5489" s="8"/>
      <c r="F5489" s="8"/>
    </row>
    <row r="5490" ht="13.5" customHeight="1">
      <c r="A5490" s="8" t="s">
        <v>1807</v>
      </c>
      <c r="B5490" s="8">
        <v>14883.0</v>
      </c>
      <c r="C5490" s="8"/>
      <c r="D5490" s="8"/>
      <c r="E5490" s="8"/>
      <c r="F5490" s="8"/>
    </row>
    <row r="5491" ht="13.5" customHeight="1">
      <c r="A5491" s="8" t="s">
        <v>2133</v>
      </c>
      <c r="B5491" s="8">
        <v>20193.0</v>
      </c>
      <c r="C5491" s="8"/>
      <c r="D5491" s="8"/>
      <c r="E5491" s="8"/>
      <c r="F5491" s="8"/>
    </row>
    <row r="5492" ht="13.5" customHeight="1">
      <c r="A5492" s="8" t="s">
        <v>2053</v>
      </c>
      <c r="B5492" s="8">
        <v>46437.0</v>
      </c>
      <c r="C5492" s="8"/>
      <c r="D5492" s="8"/>
      <c r="E5492" s="8"/>
      <c r="F5492" s="8"/>
    </row>
    <row r="5493" ht="13.5" customHeight="1">
      <c r="A5493" s="8" t="s">
        <v>1302</v>
      </c>
      <c r="B5493" s="8">
        <v>47360.0</v>
      </c>
      <c r="C5493" s="8"/>
      <c r="D5493" s="8"/>
      <c r="E5493" s="8"/>
      <c r="F5493" s="8"/>
    </row>
    <row r="5494" ht="13.5" customHeight="1">
      <c r="A5494" s="8" t="s">
        <v>2133</v>
      </c>
      <c r="B5494" s="8">
        <v>52706.0</v>
      </c>
      <c r="C5494" s="8"/>
      <c r="D5494" s="8"/>
      <c r="E5494" s="8"/>
      <c r="F5494" s="8"/>
    </row>
    <row r="5495" ht="13.5" customHeight="1">
      <c r="A5495" s="8" t="s">
        <v>2133</v>
      </c>
      <c r="B5495" s="8">
        <v>54279.0</v>
      </c>
      <c r="C5495" s="8"/>
      <c r="D5495" s="8"/>
      <c r="E5495" s="8"/>
      <c r="F5495" s="8"/>
    </row>
    <row r="5496" ht="13.5" customHeight="1">
      <c r="A5496" s="8" t="s">
        <v>2053</v>
      </c>
      <c r="B5496" s="8">
        <v>55558.0</v>
      </c>
      <c r="C5496" s="8"/>
      <c r="D5496" s="8"/>
      <c r="E5496" s="8"/>
      <c r="F5496" s="8"/>
    </row>
    <row r="5497" ht="13.5" customHeight="1">
      <c r="A5497" s="8" t="s">
        <v>1806</v>
      </c>
      <c r="B5497" s="8">
        <v>56581.0</v>
      </c>
      <c r="C5497" s="8"/>
      <c r="D5497" s="8"/>
      <c r="E5497" s="8"/>
      <c r="F5497" s="8"/>
    </row>
    <row r="5498" ht="13.5" customHeight="1">
      <c r="A5498" s="8"/>
      <c r="B5498" s="8"/>
      <c r="C5498" s="8"/>
      <c r="D5498" s="8"/>
      <c r="E5498" s="8"/>
      <c r="F5498" s="8"/>
    </row>
    <row r="5499" ht="13.5" customHeight="1">
      <c r="A5499" s="8"/>
      <c r="B5499" s="8"/>
      <c r="C5499" s="8"/>
      <c r="D5499" s="8"/>
      <c r="E5499" s="8"/>
      <c r="F5499" s="8"/>
    </row>
    <row r="5500" ht="13.5" customHeight="1">
      <c r="A5500" s="8"/>
      <c r="B5500" s="8"/>
      <c r="C5500" s="8"/>
      <c r="D5500" s="8"/>
      <c r="E5500" s="8"/>
      <c r="F5500" s="8"/>
    </row>
    <row r="5501" ht="13.5" customHeight="1">
      <c r="A5501" s="8"/>
      <c r="B5501" s="8"/>
      <c r="C5501" s="8"/>
      <c r="D5501" s="8"/>
      <c r="E5501" s="8"/>
      <c r="F5501" s="8"/>
    </row>
    <row r="5502" ht="13.5" customHeight="1">
      <c r="A5502" s="8"/>
      <c r="B5502" s="8"/>
      <c r="C5502" s="8"/>
      <c r="D5502" s="8"/>
      <c r="E5502" s="8"/>
      <c r="F5502" s="8"/>
    </row>
    <row r="5503" ht="13.5" customHeight="1">
      <c r="A5503" s="8"/>
      <c r="B5503" s="8"/>
      <c r="C5503" s="8"/>
      <c r="D5503" s="8"/>
      <c r="E5503" s="8"/>
      <c r="F5503" s="8"/>
    </row>
    <row r="5504" ht="13.5" customHeight="1">
      <c r="A5504" s="8"/>
      <c r="B5504" s="8"/>
      <c r="C5504" s="8"/>
      <c r="D5504" s="8"/>
      <c r="E5504" s="8"/>
      <c r="F5504" s="8"/>
    </row>
    <row r="5505" ht="13.5" customHeight="1">
      <c r="A5505" s="8"/>
      <c r="B5505" s="8"/>
      <c r="C5505" s="8"/>
      <c r="D5505" s="8"/>
      <c r="E5505" s="8"/>
      <c r="F5505" s="8"/>
    </row>
    <row r="5506" ht="13.5" customHeight="1">
      <c r="A5506" s="8"/>
      <c r="B5506" s="8"/>
      <c r="C5506" s="8"/>
      <c r="D5506" s="8"/>
      <c r="E5506" s="8"/>
      <c r="F5506" s="8"/>
    </row>
    <row r="5507" ht="13.5" customHeight="1">
      <c r="A5507" s="8"/>
      <c r="B5507" s="8"/>
      <c r="C5507" s="8"/>
      <c r="D5507" s="8"/>
      <c r="E5507" s="8"/>
      <c r="F5507" s="8"/>
    </row>
    <row r="5508" ht="13.5" customHeight="1">
      <c r="A5508" s="8"/>
      <c r="B5508" s="8"/>
      <c r="C5508" s="8"/>
      <c r="D5508" s="8"/>
      <c r="E5508" s="8"/>
      <c r="F5508" s="8"/>
    </row>
    <row r="5509" ht="13.5" customHeight="1">
      <c r="A5509" s="8"/>
      <c r="B5509" s="8"/>
      <c r="C5509" s="8"/>
      <c r="D5509" s="8"/>
      <c r="E5509" s="8"/>
      <c r="F5509" s="8"/>
    </row>
    <row r="5510" ht="13.5" customHeight="1">
      <c r="A5510" s="8"/>
      <c r="B5510" s="8"/>
      <c r="C5510" s="8"/>
      <c r="D5510" s="8"/>
      <c r="E5510" s="8"/>
      <c r="F5510" s="8"/>
    </row>
    <row r="5511" ht="13.5" customHeight="1">
      <c r="A5511" s="8"/>
      <c r="B5511" s="8"/>
      <c r="C5511" s="8"/>
      <c r="D5511" s="8"/>
      <c r="E5511" s="8"/>
      <c r="F5511" s="8"/>
    </row>
    <row r="5512" ht="13.5" customHeight="1">
      <c r="A5512" s="8"/>
      <c r="B5512" s="8"/>
      <c r="C5512" s="8"/>
      <c r="D5512" s="8"/>
      <c r="E5512" s="8"/>
      <c r="F5512" s="8"/>
    </row>
    <row r="5513" ht="13.5" customHeight="1">
      <c r="A5513" s="8"/>
      <c r="B5513" s="8"/>
      <c r="C5513" s="8"/>
      <c r="D5513" s="8"/>
      <c r="E5513" s="8"/>
      <c r="F5513" s="8"/>
    </row>
    <row r="5514" ht="13.5" customHeight="1">
      <c r="A5514" s="8"/>
      <c r="B5514" s="8"/>
      <c r="C5514" s="8"/>
      <c r="D5514" s="8"/>
      <c r="E5514" s="8"/>
      <c r="F5514" s="8"/>
    </row>
    <row r="5515" ht="13.5" customHeight="1">
      <c r="A5515" s="8"/>
      <c r="B5515" s="8"/>
      <c r="C5515" s="8"/>
      <c r="D5515" s="8"/>
      <c r="E5515" s="8"/>
      <c r="F5515" s="8"/>
    </row>
    <row r="5516" ht="13.5" customHeight="1">
      <c r="A5516" s="8"/>
      <c r="B5516" s="8"/>
      <c r="C5516" s="8"/>
      <c r="D5516" s="8"/>
      <c r="E5516" s="8"/>
      <c r="F5516" s="8"/>
    </row>
    <row r="5517" ht="13.5" customHeight="1">
      <c r="A5517" s="8"/>
      <c r="B5517" s="8"/>
      <c r="C5517" s="8"/>
      <c r="D5517" s="8"/>
      <c r="E5517" s="8"/>
      <c r="F5517" s="8"/>
    </row>
    <row r="5518" ht="13.5" customHeight="1">
      <c r="A5518" s="8"/>
      <c r="B5518" s="8"/>
      <c r="C5518" s="8"/>
      <c r="D5518" s="8"/>
      <c r="E5518" s="8"/>
      <c r="F5518" s="8"/>
    </row>
    <row r="5519" ht="13.5" customHeight="1">
      <c r="A5519" s="8"/>
      <c r="B5519" s="8"/>
      <c r="C5519" s="8"/>
      <c r="D5519" s="8"/>
      <c r="E5519" s="8"/>
      <c r="F5519" s="8"/>
    </row>
    <row r="5520" ht="13.5" customHeight="1">
      <c r="A5520" s="8"/>
      <c r="B5520" s="8"/>
      <c r="C5520" s="8"/>
      <c r="D5520" s="8"/>
      <c r="E5520" s="8"/>
      <c r="F5520" s="8"/>
    </row>
    <row r="5521" ht="13.5" customHeight="1">
      <c r="A5521" s="8"/>
      <c r="B5521" s="8"/>
      <c r="C5521" s="8"/>
      <c r="D5521" s="8"/>
      <c r="E5521" s="8"/>
      <c r="F5521" s="8"/>
    </row>
    <row r="5522" ht="13.5" customHeight="1">
      <c r="A5522" s="8"/>
      <c r="B5522" s="8"/>
      <c r="C5522" s="8"/>
      <c r="D5522" s="8"/>
      <c r="E5522" s="8"/>
      <c r="F5522" s="8"/>
    </row>
    <row r="5523" ht="13.5" customHeight="1">
      <c r="A5523" s="8"/>
      <c r="B5523" s="8"/>
      <c r="C5523" s="8"/>
      <c r="D5523" s="8"/>
      <c r="E5523" s="8"/>
      <c r="F5523" s="8"/>
    </row>
    <row r="5524" ht="13.5" customHeight="1">
      <c r="A5524" s="8"/>
      <c r="B5524" s="8"/>
      <c r="C5524" s="8"/>
      <c r="D5524" s="8"/>
      <c r="E5524" s="8"/>
      <c r="F5524" s="8"/>
    </row>
    <row r="5525" ht="13.5" customHeight="1">
      <c r="A5525" s="8"/>
      <c r="B5525" s="8"/>
      <c r="C5525" s="8"/>
      <c r="D5525" s="8"/>
      <c r="E5525" s="8"/>
      <c r="F5525" s="8"/>
    </row>
    <row r="5526" ht="13.5" customHeight="1">
      <c r="A5526" s="8"/>
      <c r="B5526" s="8"/>
      <c r="C5526" s="8"/>
      <c r="D5526" s="8"/>
      <c r="E5526" s="8"/>
      <c r="F5526" s="8"/>
    </row>
    <row r="5527" ht="13.5" customHeight="1">
      <c r="A5527" s="8"/>
      <c r="B5527" s="8"/>
      <c r="C5527" s="8"/>
      <c r="D5527" s="8"/>
      <c r="E5527" s="8"/>
      <c r="F5527" s="8"/>
    </row>
    <row r="5528" ht="13.5" customHeight="1">
      <c r="A5528" s="8"/>
      <c r="B5528" s="8"/>
      <c r="C5528" s="8"/>
      <c r="D5528" s="8"/>
      <c r="E5528" s="8"/>
      <c r="F5528" s="8"/>
    </row>
    <row r="5529" ht="13.5" customHeight="1">
      <c r="A5529" s="8"/>
      <c r="B5529" s="8"/>
      <c r="C5529" s="8"/>
      <c r="D5529" s="8"/>
      <c r="E5529" s="8"/>
      <c r="F5529" s="8"/>
    </row>
    <row r="5530" ht="13.5" customHeight="1">
      <c r="A5530" s="8"/>
      <c r="B5530" s="8"/>
      <c r="C5530" s="8"/>
      <c r="D5530" s="8"/>
      <c r="E5530" s="8"/>
      <c r="F5530" s="8"/>
    </row>
    <row r="5531" ht="13.5" customHeight="1">
      <c r="A5531" s="8"/>
      <c r="B5531" s="8"/>
      <c r="C5531" s="8"/>
      <c r="D5531" s="8"/>
      <c r="E5531" s="8"/>
      <c r="F5531" s="8"/>
    </row>
    <row r="5532" ht="13.5" customHeight="1">
      <c r="A5532" s="8"/>
      <c r="B5532" s="8"/>
      <c r="C5532" s="8"/>
      <c r="D5532" s="8"/>
      <c r="E5532" s="8"/>
      <c r="F5532" s="8"/>
    </row>
    <row r="5533" ht="13.5" customHeight="1">
      <c r="A5533" s="8"/>
      <c r="B5533" s="8"/>
      <c r="C5533" s="8"/>
      <c r="D5533" s="8"/>
      <c r="E5533" s="8"/>
      <c r="F5533" s="8"/>
    </row>
    <row r="5534" ht="13.5" customHeight="1">
      <c r="A5534" s="8"/>
      <c r="B5534" s="8"/>
      <c r="C5534" s="8"/>
      <c r="D5534" s="8"/>
      <c r="E5534" s="8"/>
      <c r="F5534" s="8"/>
    </row>
    <row r="5535" ht="13.5" customHeight="1">
      <c r="A5535" s="8"/>
      <c r="B5535" s="8"/>
      <c r="C5535" s="8"/>
      <c r="D5535" s="8"/>
      <c r="E5535" s="8"/>
      <c r="F5535" s="8"/>
    </row>
    <row r="5536" ht="13.5" customHeight="1">
      <c r="A5536" s="8"/>
      <c r="B5536" s="8"/>
      <c r="C5536" s="8"/>
      <c r="D5536" s="8"/>
      <c r="E5536" s="8"/>
      <c r="F5536" s="8"/>
    </row>
    <row r="5537" ht="13.5" customHeight="1">
      <c r="A5537" s="8"/>
      <c r="B5537" s="8"/>
      <c r="C5537" s="8"/>
      <c r="D5537" s="8"/>
      <c r="E5537" s="8"/>
      <c r="F5537" s="8"/>
    </row>
    <row r="5538" ht="13.5" customHeight="1">
      <c r="A5538" s="8"/>
      <c r="B5538" s="8"/>
      <c r="C5538" s="8"/>
      <c r="D5538" s="8"/>
      <c r="E5538" s="8"/>
      <c r="F5538" s="8"/>
    </row>
    <row r="5539" ht="13.5" customHeight="1">
      <c r="A5539" s="8"/>
      <c r="B5539" s="8"/>
      <c r="C5539" s="8"/>
      <c r="D5539" s="8"/>
      <c r="E5539" s="8"/>
      <c r="F5539" s="8"/>
    </row>
    <row r="5540" ht="13.5" customHeight="1">
      <c r="A5540" s="8"/>
      <c r="B5540" s="8"/>
      <c r="C5540" s="8"/>
      <c r="D5540" s="8"/>
      <c r="E5540" s="8"/>
      <c r="F5540" s="8"/>
    </row>
    <row r="5541" ht="13.5" customHeight="1">
      <c r="A5541" s="8"/>
      <c r="B5541" s="8"/>
      <c r="C5541" s="8"/>
      <c r="D5541" s="8"/>
      <c r="E5541" s="8"/>
      <c r="F5541" s="8"/>
    </row>
    <row r="5542" ht="13.5" customHeight="1">
      <c r="A5542" s="8"/>
      <c r="B5542" s="8"/>
      <c r="C5542" s="8"/>
      <c r="D5542" s="8"/>
      <c r="E5542" s="8"/>
      <c r="F5542" s="8"/>
    </row>
    <row r="5543" ht="13.5" customHeight="1">
      <c r="A5543" s="8"/>
      <c r="B5543" s="8"/>
      <c r="C5543" s="8"/>
      <c r="D5543" s="8"/>
      <c r="E5543" s="8"/>
      <c r="F5543" s="8"/>
    </row>
    <row r="5544" ht="13.5" customHeight="1">
      <c r="A5544" s="8"/>
      <c r="B5544" s="8"/>
      <c r="C5544" s="8"/>
      <c r="D5544" s="8"/>
      <c r="E5544" s="8"/>
      <c r="F5544" s="8"/>
    </row>
    <row r="5545" ht="13.5" customHeight="1">
      <c r="A5545" s="8"/>
      <c r="B5545" s="8"/>
      <c r="C5545" s="8"/>
      <c r="D5545" s="8"/>
      <c r="E5545" s="8"/>
      <c r="F5545" s="8"/>
    </row>
    <row r="5546" ht="13.5" customHeight="1">
      <c r="A5546" s="8"/>
      <c r="B5546" s="8"/>
      <c r="C5546" s="8"/>
      <c r="D5546" s="8"/>
      <c r="E5546" s="8"/>
      <c r="F5546" s="8"/>
    </row>
    <row r="5547" ht="13.5" customHeight="1">
      <c r="A5547" s="8"/>
      <c r="B5547" s="8"/>
      <c r="C5547" s="8"/>
      <c r="D5547" s="8"/>
      <c r="E5547" s="8"/>
      <c r="F5547" s="8"/>
    </row>
    <row r="5548" ht="13.5" customHeight="1">
      <c r="A5548" s="8"/>
      <c r="B5548" s="8"/>
      <c r="C5548" s="8"/>
      <c r="D5548" s="8"/>
      <c r="E5548" s="8"/>
      <c r="F5548" s="8"/>
    </row>
    <row r="5549" ht="13.5" customHeight="1">
      <c r="A5549" s="8"/>
      <c r="B5549" s="8"/>
      <c r="C5549" s="8"/>
      <c r="D5549" s="8"/>
      <c r="E5549" s="8"/>
      <c r="F5549" s="8"/>
    </row>
    <row r="5550" ht="13.5" customHeight="1">
      <c r="A5550" s="8"/>
      <c r="B5550" s="8"/>
      <c r="C5550" s="8"/>
      <c r="D5550" s="8"/>
      <c r="E5550" s="8"/>
      <c r="F5550" s="8"/>
    </row>
    <row r="5551" ht="13.5" customHeight="1">
      <c r="A5551" s="8"/>
      <c r="B5551" s="8"/>
      <c r="C5551" s="8"/>
      <c r="D5551" s="8"/>
      <c r="E5551" s="8"/>
      <c r="F5551" s="8"/>
    </row>
    <row r="5552" ht="13.5" customHeight="1">
      <c r="A5552" s="8"/>
      <c r="B5552" s="8"/>
      <c r="C5552" s="8"/>
      <c r="D5552" s="8"/>
      <c r="E5552" s="8"/>
      <c r="F5552" s="8"/>
    </row>
    <row r="5553" ht="13.5" customHeight="1">
      <c r="A5553" s="8"/>
      <c r="B5553" s="8"/>
      <c r="C5553" s="8"/>
      <c r="D5553" s="8"/>
      <c r="E5553" s="8"/>
      <c r="F5553" s="8"/>
    </row>
    <row r="5554" ht="13.5" customHeight="1">
      <c r="A5554" s="8"/>
      <c r="B5554" s="8"/>
      <c r="C5554" s="8"/>
      <c r="D5554" s="8"/>
      <c r="E5554" s="8"/>
      <c r="F5554" s="8"/>
    </row>
    <row r="5555" ht="13.5" customHeight="1">
      <c r="A5555" s="8"/>
      <c r="B5555" s="8"/>
      <c r="C5555" s="8"/>
      <c r="D5555" s="8"/>
      <c r="E5555" s="8"/>
      <c r="F5555" s="8"/>
    </row>
    <row r="5556" ht="13.5" customHeight="1">
      <c r="A5556" s="8"/>
      <c r="B5556" s="8"/>
      <c r="C5556" s="8"/>
      <c r="D5556" s="8"/>
      <c r="E5556" s="8"/>
      <c r="F5556" s="8"/>
    </row>
    <row r="5557" ht="13.5" customHeight="1">
      <c r="A5557" s="8"/>
      <c r="B5557" s="8"/>
      <c r="C5557" s="8"/>
      <c r="D5557" s="8"/>
      <c r="E5557" s="8"/>
      <c r="F5557" s="8"/>
    </row>
    <row r="5558" ht="13.5" customHeight="1">
      <c r="A5558" s="8"/>
      <c r="B5558" s="8"/>
      <c r="C5558" s="8"/>
      <c r="D5558" s="8"/>
      <c r="E5558" s="8"/>
      <c r="F5558" s="8"/>
    </row>
    <row r="5559" ht="13.5" customHeight="1">
      <c r="A5559" s="8"/>
      <c r="B5559" s="8"/>
      <c r="C5559" s="8"/>
      <c r="D5559" s="8"/>
      <c r="E5559" s="8"/>
      <c r="F5559" s="8"/>
    </row>
    <row r="5560" ht="13.5" customHeight="1">
      <c r="A5560" s="8"/>
      <c r="B5560" s="8"/>
      <c r="C5560" s="8"/>
      <c r="D5560" s="8"/>
      <c r="E5560" s="8"/>
      <c r="F5560" s="8"/>
    </row>
    <row r="5561" ht="13.5" customHeight="1">
      <c r="A5561" s="8"/>
      <c r="B5561" s="8"/>
      <c r="C5561" s="8"/>
      <c r="D5561" s="8"/>
      <c r="E5561" s="8"/>
      <c r="F5561" s="8"/>
    </row>
    <row r="5562" ht="13.5" customHeight="1">
      <c r="A5562" s="8"/>
      <c r="B5562" s="8"/>
      <c r="C5562" s="8"/>
      <c r="D5562" s="8"/>
      <c r="E5562" s="8"/>
      <c r="F5562" s="8"/>
    </row>
    <row r="5563" ht="13.5" customHeight="1">
      <c r="A5563" s="8"/>
      <c r="B5563" s="8"/>
      <c r="C5563" s="8"/>
      <c r="D5563" s="8"/>
      <c r="E5563" s="8"/>
      <c r="F5563" s="8"/>
    </row>
    <row r="5564" ht="13.5" customHeight="1">
      <c r="A5564" s="8"/>
      <c r="B5564" s="8"/>
      <c r="C5564" s="8"/>
      <c r="D5564" s="8"/>
      <c r="E5564" s="8"/>
      <c r="F5564" s="8"/>
    </row>
    <row r="5565" ht="13.5" customHeight="1">
      <c r="A5565" s="8"/>
      <c r="B5565" s="8"/>
      <c r="C5565" s="8"/>
      <c r="D5565" s="8"/>
      <c r="E5565" s="8"/>
      <c r="F5565" s="8"/>
    </row>
    <row r="5566" ht="13.5" customHeight="1">
      <c r="A5566" s="8"/>
      <c r="B5566" s="8"/>
      <c r="C5566" s="8"/>
      <c r="D5566" s="8"/>
      <c r="E5566" s="8"/>
      <c r="F5566" s="8"/>
    </row>
    <row r="5567" ht="13.5" customHeight="1">
      <c r="A5567" s="8"/>
      <c r="B5567" s="8"/>
      <c r="C5567" s="8"/>
      <c r="D5567" s="8"/>
      <c r="E5567" s="8"/>
      <c r="F5567" s="8"/>
    </row>
    <row r="5568" ht="13.5" customHeight="1">
      <c r="A5568" s="8"/>
      <c r="B5568" s="8"/>
      <c r="C5568" s="8"/>
      <c r="D5568" s="8"/>
      <c r="E5568" s="8"/>
      <c r="F5568" s="8"/>
    </row>
    <row r="5569" ht="13.5" customHeight="1">
      <c r="A5569" s="8"/>
      <c r="B5569" s="8"/>
      <c r="C5569" s="8"/>
      <c r="D5569" s="8"/>
      <c r="E5569" s="8"/>
      <c r="F5569" s="8"/>
    </row>
    <row r="5570" ht="13.5" customHeight="1">
      <c r="A5570" s="8"/>
      <c r="B5570" s="8"/>
      <c r="C5570" s="8"/>
      <c r="D5570" s="8"/>
      <c r="E5570" s="8"/>
      <c r="F5570" s="8"/>
    </row>
    <row r="5571" ht="13.5" customHeight="1">
      <c r="A5571" s="8"/>
      <c r="B5571" s="8"/>
      <c r="C5571" s="8"/>
      <c r="D5571" s="8"/>
      <c r="E5571" s="8"/>
      <c r="F5571" s="8"/>
    </row>
    <row r="5572" ht="13.5" customHeight="1">
      <c r="A5572" s="8"/>
      <c r="B5572" s="8"/>
      <c r="C5572" s="8"/>
      <c r="D5572" s="8"/>
      <c r="E5572" s="8"/>
      <c r="F5572" s="8"/>
    </row>
    <row r="5573" ht="13.5" customHeight="1">
      <c r="A5573" s="8"/>
      <c r="B5573" s="8"/>
      <c r="C5573" s="8"/>
      <c r="D5573" s="8"/>
      <c r="E5573" s="8"/>
      <c r="F5573" s="8"/>
    </row>
    <row r="5574" ht="13.5" customHeight="1">
      <c r="A5574" s="8"/>
      <c r="B5574" s="8"/>
      <c r="C5574" s="8"/>
      <c r="D5574" s="8"/>
      <c r="E5574" s="8"/>
      <c r="F5574" s="8"/>
    </row>
    <row r="5575" ht="13.5" customHeight="1">
      <c r="A5575" s="8"/>
      <c r="B5575" s="8"/>
      <c r="C5575" s="8"/>
      <c r="D5575" s="8"/>
      <c r="E5575" s="8"/>
      <c r="F5575" s="8"/>
    </row>
    <row r="5576" ht="13.5" customHeight="1">
      <c r="A5576" s="8"/>
      <c r="B5576" s="8"/>
      <c r="C5576" s="8"/>
      <c r="D5576" s="8"/>
      <c r="E5576" s="8"/>
      <c r="F5576" s="8"/>
    </row>
    <row r="5577" ht="13.5" customHeight="1">
      <c r="A5577" s="8"/>
      <c r="B5577" s="8"/>
      <c r="C5577" s="8"/>
      <c r="D5577" s="8"/>
      <c r="E5577" s="8"/>
      <c r="F5577" s="8"/>
    </row>
    <row r="5578" ht="13.5" customHeight="1">
      <c r="A5578" s="8"/>
      <c r="B5578" s="8"/>
      <c r="C5578" s="8"/>
      <c r="D5578" s="8"/>
      <c r="E5578" s="8"/>
      <c r="F5578" s="8"/>
    </row>
    <row r="5579" ht="13.5" customHeight="1">
      <c r="A5579" s="8"/>
      <c r="B5579" s="8"/>
      <c r="C5579" s="8"/>
      <c r="D5579" s="8"/>
      <c r="E5579" s="8"/>
      <c r="F5579" s="8"/>
    </row>
    <row r="5580" ht="13.5" customHeight="1">
      <c r="A5580" s="8"/>
      <c r="B5580" s="8"/>
      <c r="C5580" s="8"/>
      <c r="D5580" s="8"/>
      <c r="E5580" s="8"/>
      <c r="F5580" s="8"/>
    </row>
    <row r="5581" ht="13.5" customHeight="1">
      <c r="A5581" s="8"/>
      <c r="B5581" s="8"/>
      <c r="C5581" s="8"/>
      <c r="D5581" s="8"/>
      <c r="E5581" s="8"/>
      <c r="F5581" s="8"/>
    </row>
    <row r="5582" ht="13.5" customHeight="1">
      <c r="A5582" s="8"/>
      <c r="B5582" s="8"/>
      <c r="C5582" s="8"/>
      <c r="D5582" s="8"/>
      <c r="E5582" s="8"/>
      <c r="F5582" s="8"/>
    </row>
    <row r="5583" ht="13.5" customHeight="1">
      <c r="A5583" s="8"/>
      <c r="B5583" s="8"/>
      <c r="C5583" s="8"/>
      <c r="D5583" s="8"/>
      <c r="E5583" s="8"/>
      <c r="F5583" s="8"/>
    </row>
    <row r="5584" ht="13.5" customHeight="1">
      <c r="A5584" s="8"/>
      <c r="B5584" s="8"/>
      <c r="C5584" s="8"/>
      <c r="D5584" s="8"/>
      <c r="E5584" s="8"/>
      <c r="F5584" s="8"/>
    </row>
    <row r="5585" ht="13.5" customHeight="1">
      <c r="A5585" s="8"/>
      <c r="B5585" s="8"/>
      <c r="C5585" s="8"/>
      <c r="D5585" s="8"/>
      <c r="E5585" s="8"/>
      <c r="F5585" s="8"/>
    </row>
    <row r="5586" ht="13.5" customHeight="1">
      <c r="A5586" s="8"/>
      <c r="B5586" s="8"/>
      <c r="C5586" s="8"/>
      <c r="D5586" s="8"/>
      <c r="E5586" s="8"/>
      <c r="F5586" s="8"/>
    </row>
    <row r="5587" ht="13.5" customHeight="1">
      <c r="A5587" s="8"/>
      <c r="B5587" s="8"/>
      <c r="C5587" s="8"/>
      <c r="D5587" s="8"/>
      <c r="E5587" s="8"/>
      <c r="F5587" s="8"/>
    </row>
    <row r="5588" ht="13.5" customHeight="1">
      <c r="A5588" s="8"/>
      <c r="B5588" s="8"/>
      <c r="C5588" s="8"/>
      <c r="D5588" s="8"/>
      <c r="E5588" s="8"/>
      <c r="F5588" s="8"/>
    </row>
    <row r="5589" ht="13.5" customHeight="1">
      <c r="A5589" s="8"/>
      <c r="B5589" s="8"/>
      <c r="C5589" s="8"/>
      <c r="D5589" s="8"/>
      <c r="E5589" s="8"/>
      <c r="F5589" s="8"/>
    </row>
    <row r="5590" ht="13.5" customHeight="1">
      <c r="A5590" s="8"/>
      <c r="B5590" s="8"/>
      <c r="C5590" s="8"/>
      <c r="D5590" s="8"/>
      <c r="E5590" s="8"/>
      <c r="F5590" s="8"/>
    </row>
    <row r="5591" ht="13.5" customHeight="1">
      <c r="A5591" s="8"/>
      <c r="B5591" s="8"/>
      <c r="C5591" s="8"/>
      <c r="D5591" s="8"/>
      <c r="E5591" s="8"/>
      <c r="F5591" s="8"/>
    </row>
    <row r="5592" ht="13.5" customHeight="1">
      <c r="A5592" s="8"/>
      <c r="B5592" s="8"/>
      <c r="C5592" s="8"/>
      <c r="D5592" s="8"/>
      <c r="E5592" s="8"/>
      <c r="F5592" s="8"/>
    </row>
    <row r="5593" ht="13.5" customHeight="1">
      <c r="A5593" s="8"/>
      <c r="B5593" s="8"/>
      <c r="C5593" s="8"/>
      <c r="D5593" s="8"/>
      <c r="E5593" s="8"/>
      <c r="F5593" s="8"/>
    </row>
    <row r="5594" ht="13.5" customHeight="1">
      <c r="A5594" s="8"/>
      <c r="B5594" s="8"/>
      <c r="C5594" s="8"/>
      <c r="D5594" s="8"/>
      <c r="E5594" s="8"/>
      <c r="F5594" s="8"/>
    </row>
    <row r="5595" ht="13.5" customHeight="1">
      <c r="A5595" s="8"/>
      <c r="B5595" s="8"/>
      <c r="C5595" s="8"/>
      <c r="D5595" s="8"/>
      <c r="E5595" s="8"/>
      <c r="F5595" s="8"/>
    </row>
    <row r="5596" ht="13.5" customHeight="1">
      <c r="A5596" s="8"/>
      <c r="B5596" s="8"/>
      <c r="C5596" s="8"/>
      <c r="D5596" s="8"/>
      <c r="E5596" s="8"/>
      <c r="F5596" s="8"/>
    </row>
    <row r="5597" ht="13.5" customHeight="1">
      <c r="A5597" s="8"/>
      <c r="B5597" s="8"/>
      <c r="C5597" s="8"/>
      <c r="D5597" s="8"/>
      <c r="E5597" s="8"/>
      <c r="F5597" s="8"/>
    </row>
    <row r="5598" ht="13.5" customHeight="1">
      <c r="A5598" s="8"/>
      <c r="B5598" s="8"/>
      <c r="C5598" s="8"/>
      <c r="D5598" s="8"/>
      <c r="E5598" s="8"/>
      <c r="F5598" s="8"/>
    </row>
    <row r="5599" ht="13.5" customHeight="1">
      <c r="A5599" s="8"/>
      <c r="B5599" s="8"/>
      <c r="C5599" s="8"/>
      <c r="D5599" s="8"/>
      <c r="E5599" s="8"/>
      <c r="F5599" s="8"/>
    </row>
    <row r="5600" ht="13.5" customHeight="1">
      <c r="A5600" s="8"/>
      <c r="B5600" s="8"/>
      <c r="C5600" s="8"/>
      <c r="D5600" s="8"/>
      <c r="E5600" s="8"/>
      <c r="F5600" s="8"/>
    </row>
    <row r="5601" ht="13.5" customHeight="1">
      <c r="A5601" s="8"/>
      <c r="B5601" s="8"/>
      <c r="C5601" s="8"/>
      <c r="D5601" s="8"/>
      <c r="E5601" s="8"/>
      <c r="F5601" s="8"/>
    </row>
    <row r="5602" ht="13.5" customHeight="1">
      <c r="A5602" s="8"/>
      <c r="B5602" s="8"/>
      <c r="C5602" s="8"/>
      <c r="D5602" s="8"/>
      <c r="E5602" s="8"/>
      <c r="F5602" s="8"/>
    </row>
    <row r="5603" ht="13.5" customHeight="1">
      <c r="A5603" s="8"/>
      <c r="B5603" s="8"/>
      <c r="C5603" s="8"/>
      <c r="D5603" s="8"/>
      <c r="E5603" s="8"/>
      <c r="F5603" s="8"/>
    </row>
    <row r="5604" ht="13.5" customHeight="1">
      <c r="A5604" s="8"/>
      <c r="B5604" s="8"/>
      <c r="C5604" s="8"/>
      <c r="D5604" s="8"/>
      <c r="E5604" s="8"/>
      <c r="F5604" s="8"/>
    </row>
    <row r="5605" ht="13.5" customHeight="1">
      <c r="A5605" s="8"/>
      <c r="B5605" s="8"/>
      <c r="C5605" s="8"/>
      <c r="D5605" s="8"/>
      <c r="E5605" s="8"/>
      <c r="F5605" s="8"/>
    </row>
    <row r="5606" ht="13.5" customHeight="1">
      <c r="A5606" s="8"/>
      <c r="B5606" s="8"/>
      <c r="C5606" s="8"/>
      <c r="D5606" s="8"/>
      <c r="E5606" s="8"/>
      <c r="F5606" s="8"/>
    </row>
    <row r="5607" ht="13.5" customHeight="1">
      <c r="A5607" s="8"/>
      <c r="B5607" s="8"/>
      <c r="C5607" s="8"/>
      <c r="D5607" s="8"/>
      <c r="E5607" s="8"/>
      <c r="F5607" s="8"/>
    </row>
    <row r="5608" ht="13.5" customHeight="1">
      <c r="A5608" s="8"/>
      <c r="B5608" s="8"/>
      <c r="C5608" s="8"/>
      <c r="D5608" s="8"/>
      <c r="E5608" s="8"/>
      <c r="F5608" s="8"/>
    </row>
    <row r="5609" ht="13.5" customHeight="1">
      <c r="A5609" s="8"/>
      <c r="B5609" s="8"/>
      <c r="C5609" s="8"/>
      <c r="D5609" s="8"/>
      <c r="E5609" s="8"/>
      <c r="F5609" s="8"/>
    </row>
    <row r="5610" ht="13.5" customHeight="1">
      <c r="A5610" s="8"/>
      <c r="B5610" s="8"/>
      <c r="C5610" s="8"/>
      <c r="D5610" s="8"/>
      <c r="E5610" s="8"/>
      <c r="F5610" s="8"/>
    </row>
    <row r="5611" ht="13.5" customHeight="1">
      <c r="A5611" s="8"/>
      <c r="B5611" s="8"/>
      <c r="C5611" s="8"/>
      <c r="D5611" s="8"/>
      <c r="E5611" s="8"/>
      <c r="F5611" s="8"/>
    </row>
    <row r="5612" ht="13.5" customHeight="1">
      <c r="A5612" s="8"/>
      <c r="B5612" s="8"/>
      <c r="C5612" s="8"/>
      <c r="D5612" s="8"/>
      <c r="E5612" s="8"/>
      <c r="F5612" s="8"/>
    </row>
    <row r="5613" ht="13.5" customHeight="1">
      <c r="A5613" s="8"/>
      <c r="B5613" s="8"/>
      <c r="C5613" s="8"/>
      <c r="D5613" s="8"/>
      <c r="E5613" s="8"/>
      <c r="F5613" s="8"/>
    </row>
    <row r="5614" ht="13.5" customHeight="1">
      <c r="A5614" s="8"/>
      <c r="B5614" s="8"/>
      <c r="C5614" s="8"/>
      <c r="D5614" s="8"/>
      <c r="E5614" s="8"/>
      <c r="F5614" s="8"/>
    </row>
    <row r="5615" ht="13.5" customHeight="1">
      <c r="A5615" s="8"/>
      <c r="B5615" s="8"/>
      <c r="C5615" s="8"/>
      <c r="D5615" s="8"/>
      <c r="E5615" s="8"/>
      <c r="F5615" s="8"/>
    </row>
    <row r="5616" ht="13.5" customHeight="1">
      <c r="A5616" s="8"/>
      <c r="B5616" s="8"/>
      <c r="C5616" s="8"/>
      <c r="D5616" s="8"/>
      <c r="E5616" s="8"/>
      <c r="F5616" s="8"/>
    </row>
    <row r="5617" ht="13.5" customHeight="1">
      <c r="A5617" s="8"/>
      <c r="B5617" s="8"/>
      <c r="C5617" s="8"/>
      <c r="D5617" s="8"/>
      <c r="E5617" s="8"/>
      <c r="F5617" s="8"/>
    </row>
    <row r="5618" ht="13.5" customHeight="1">
      <c r="A5618" s="8"/>
      <c r="B5618" s="8"/>
      <c r="C5618" s="8"/>
      <c r="D5618" s="8"/>
      <c r="E5618" s="8"/>
      <c r="F5618" s="8"/>
    </row>
    <row r="5619" ht="13.5" customHeight="1">
      <c r="A5619" s="8"/>
      <c r="B5619" s="8"/>
      <c r="C5619" s="8"/>
      <c r="D5619" s="8"/>
      <c r="E5619" s="8"/>
      <c r="F5619" s="8"/>
    </row>
    <row r="5620" ht="13.5" customHeight="1">
      <c r="A5620" s="8"/>
      <c r="B5620" s="8"/>
      <c r="C5620" s="8"/>
      <c r="D5620" s="8"/>
      <c r="E5620" s="8"/>
      <c r="F5620" s="8"/>
    </row>
    <row r="5621" ht="13.5" customHeight="1">
      <c r="A5621" s="8"/>
      <c r="B5621" s="8"/>
      <c r="C5621" s="8"/>
      <c r="D5621" s="8"/>
      <c r="E5621" s="8"/>
      <c r="F5621" s="8"/>
    </row>
    <row r="5622" ht="13.5" customHeight="1">
      <c r="A5622" s="8"/>
      <c r="B5622" s="8"/>
      <c r="C5622" s="8"/>
      <c r="D5622" s="8"/>
      <c r="E5622" s="8"/>
      <c r="F5622" s="8"/>
    </row>
    <row r="5623" ht="13.5" customHeight="1">
      <c r="A5623" s="8"/>
      <c r="B5623" s="8"/>
      <c r="C5623" s="8"/>
      <c r="D5623" s="8"/>
      <c r="E5623" s="8"/>
      <c r="F5623" s="8"/>
    </row>
    <row r="5624" ht="13.5" customHeight="1">
      <c r="A5624" s="8"/>
      <c r="B5624" s="8"/>
      <c r="C5624" s="8"/>
      <c r="D5624" s="8"/>
      <c r="E5624" s="8"/>
      <c r="F5624" s="8"/>
    </row>
    <row r="5625" ht="13.5" customHeight="1">
      <c r="A5625" s="8"/>
      <c r="B5625" s="8"/>
      <c r="C5625" s="8"/>
      <c r="D5625" s="8"/>
      <c r="E5625" s="8"/>
      <c r="F5625" s="8"/>
    </row>
    <row r="5626" ht="13.5" customHeight="1">
      <c r="A5626" s="8"/>
      <c r="B5626" s="8"/>
      <c r="C5626" s="8"/>
      <c r="D5626" s="8"/>
      <c r="E5626" s="8"/>
      <c r="F5626" s="8"/>
    </row>
    <row r="5627" ht="13.5" customHeight="1">
      <c r="A5627" s="8"/>
      <c r="B5627" s="8"/>
      <c r="C5627" s="8"/>
      <c r="D5627" s="8"/>
      <c r="E5627" s="8"/>
      <c r="F5627" s="8"/>
    </row>
    <row r="5628" ht="13.5" customHeight="1">
      <c r="A5628" s="8"/>
      <c r="B5628" s="8"/>
      <c r="C5628" s="8"/>
      <c r="D5628" s="8"/>
      <c r="E5628" s="8"/>
      <c r="F5628" s="8"/>
    </row>
    <row r="5629" ht="13.5" customHeight="1">
      <c r="A5629" s="8"/>
      <c r="B5629" s="8"/>
      <c r="C5629" s="8"/>
      <c r="D5629" s="8"/>
      <c r="E5629" s="8"/>
      <c r="F5629" s="8"/>
    </row>
    <row r="5630" ht="13.5" customHeight="1">
      <c r="A5630" s="8"/>
      <c r="B5630" s="8"/>
      <c r="C5630" s="8"/>
      <c r="D5630" s="8"/>
      <c r="E5630" s="8"/>
      <c r="F5630" s="8"/>
    </row>
    <row r="5631" ht="13.5" customHeight="1">
      <c r="A5631" s="8"/>
      <c r="B5631" s="8"/>
      <c r="C5631" s="8"/>
      <c r="D5631" s="8"/>
      <c r="E5631" s="8"/>
      <c r="F5631" s="8"/>
    </row>
    <row r="5632" ht="13.5" customHeight="1">
      <c r="A5632" s="8"/>
      <c r="B5632" s="8"/>
      <c r="C5632" s="8"/>
      <c r="D5632" s="8"/>
      <c r="E5632" s="8"/>
      <c r="F5632" s="8"/>
    </row>
    <row r="5633" ht="13.5" customHeight="1">
      <c r="A5633" s="8"/>
      <c r="B5633" s="8"/>
      <c r="C5633" s="8"/>
      <c r="D5633" s="8"/>
      <c r="E5633" s="8"/>
      <c r="F5633" s="8"/>
    </row>
    <row r="5634" ht="13.5" customHeight="1">
      <c r="A5634" s="8"/>
      <c r="B5634" s="8"/>
      <c r="C5634" s="8"/>
      <c r="D5634" s="8"/>
      <c r="E5634" s="8"/>
      <c r="F5634" s="8"/>
    </row>
    <row r="5635" ht="13.5" customHeight="1">
      <c r="A5635" s="8"/>
      <c r="B5635" s="8"/>
      <c r="C5635" s="8"/>
      <c r="D5635" s="8"/>
      <c r="E5635" s="8"/>
      <c r="F5635" s="8"/>
    </row>
    <row r="5636" ht="13.5" customHeight="1">
      <c r="A5636" s="8"/>
      <c r="B5636" s="8"/>
      <c r="C5636" s="8"/>
      <c r="D5636" s="8"/>
      <c r="E5636" s="8"/>
      <c r="F5636" s="8"/>
    </row>
    <row r="5637" ht="13.5" customHeight="1">
      <c r="A5637" s="8"/>
      <c r="B5637" s="8"/>
      <c r="C5637" s="8"/>
      <c r="D5637" s="8"/>
      <c r="E5637" s="8"/>
      <c r="F5637" s="8"/>
    </row>
    <row r="5638" ht="13.5" customHeight="1">
      <c r="A5638" s="8"/>
      <c r="B5638" s="8"/>
      <c r="C5638" s="8"/>
      <c r="D5638" s="8"/>
      <c r="E5638" s="8"/>
      <c r="F5638" s="8"/>
    </row>
    <row r="5639" ht="13.5" customHeight="1">
      <c r="A5639" s="8"/>
      <c r="B5639" s="8"/>
      <c r="C5639" s="8"/>
      <c r="D5639" s="8"/>
      <c r="E5639" s="8"/>
      <c r="F5639" s="8"/>
    </row>
    <row r="5640" ht="13.5" customHeight="1">
      <c r="A5640" s="8"/>
      <c r="B5640" s="8"/>
      <c r="C5640" s="8"/>
      <c r="D5640" s="8"/>
      <c r="E5640" s="8"/>
      <c r="F5640" s="8"/>
    </row>
    <row r="5641" ht="13.5" customHeight="1">
      <c r="A5641" s="8"/>
      <c r="B5641" s="8"/>
      <c r="C5641" s="8"/>
      <c r="D5641" s="8"/>
      <c r="E5641" s="8"/>
      <c r="F5641" s="8"/>
    </row>
    <row r="5642" ht="13.5" customHeight="1">
      <c r="A5642" s="8"/>
      <c r="B5642" s="8"/>
      <c r="C5642" s="8"/>
      <c r="D5642" s="8"/>
      <c r="E5642" s="8"/>
      <c r="F5642" s="8"/>
    </row>
    <row r="5643" ht="13.5" customHeight="1">
      <c r="A5643" s="8"/>
      <c r="B5643" s="8"/>
      <c r="C5643" s="8"/>
      <c r="D5643" s="8"/>
      <c r="E5643" s="8"/>
      <c r="F5643" s="8"/>
    </row>
    <row r="5644" ht="13.5" customHeight="1">
      <c r="A5644" s="8"/>
      <c r="B5644" s="8"/>
      <c r="C5644" s="8"/>
      <c r="D5644" s="8"/>
      <c r="E5644" s="8"/>
      <c r="F5644" s="8"/>
    </row>
    <row r="5645" ht="13.5" customHeight="1">
      <c r="A5645" s="8"/>
      <c r="B5645" s="8"/>
      <c r="C5645" s="8"/>
      <c r="D5645" s="8"/>
      <c r="E5645" s="8"/>
      <c r="F5645" s="8"/>
    </row>
    <row r="5646" ht="13.5" customHeight="1">
      <c r="A5646" s="8"/>
      <c r="B5646" s="8"/>
      <c r="C5646" s="8"/>
      <c r="D5646" s="8"/>
      <c r="E5646" s="8"/>
      <c r="F5646" s="8"/>
    </row>
    <row r="5647" ht="13.5" customHeight="1">
      <c r="A5647" s="8"/>
      <c r="B5647" s="8"/>
      <c r="C5647" s="8"/>
      <c r="D5647" s="8"/>
      <c r="E5647" s="8"/>
      <c r="F5647" s="8"/>
    </row>
    <row r="5648" ht="13.5" customHeight="1">
      <c r="A5648" s="8"/>
      <c r="B5648" s="8"/>
      <c r="C5648" s="8"/>
      <c r="D5648" s="8"/>
      <c r="E5648" s="8"/>
      <c r="F5648" s="8"/>
    </row>
    <row r="5649" ht="13.5" customHeight="1">
      <c r="A5649" s="8"/>
      <c r="B5649" s="8"/>
      <c r="C5649" s="8"/>
      <c r="D5649" s="8"/>
      <c r="E5649" s="8"/>
      <c r="F5649" s="8"/>
    </row>
    <row r="5650" ht="13.5" customHeight="1">
      <c r="A5650" s="8"/>
      <c r="B5650" s="8"/>
      <c r="C5650" s="8"/>
      <c r="D5650" s="8"/>
      <c r="E5650" s="8"/>
      <c r="F5650" s="8"/>
    </row>
    <row r="5651" ht="13.5" customHeight="1">
      <c r="A5651" s="8"/>
      <c r="B5651" s="8"/>
      <c r="C5651" s="8"/>
      <c r="D5651" s="8"/>
      <c r="E5651" s="8"/>
      <c r="F5651" s="8"/>
    </row>
    <row r="5652" ht="13.5" customHeight="1">
      <c r="A5652" s="8"/>
      <c r="B5652" s="8"/>
      <c r="C5652" s="8"/>
      <c r="D5652" s="8"/>
      <c r="E5652" s="8"/>
      <c r="F5652" s="8"/>
    </row>
    <row r="5653" ht="13.5" customHeight="1">
      <c r="A5653" s="8"/>
      <c r="B5653" s="8"/>
      <c r="C5653" s="8"/>
      <c r="D5653" s="8"/>
      <c r="E5653" s="8"/>
      <c r="F5653" s="8"/>
    </row>
    <row r="5654" ht="13.5" customHeight="1">
      <c r="A5654" s="8"/>
      <c r="B5654" s="8"/>
      <c r="C5654" s="8"/>
      <c r="D5654" s="8"/>
      <c r="E5654" s="8"/>
      <c r="F5654" s="8"/>
    </row>
    <row r="5655" ht="13.5" customHeight="1">
      <c r="A5655" s="8"/>
      <c r="B5655" s="8"/>
      <c r="C5655" s="8"/>
      <c r="D5655" s="8"/>
      <c r="E5655" s="8"/>
      <c r="F5655" s="8"/>
    </row>
    <row r="5656" ht="13.5" customHeight="1">
      <c r="A5656" s="8"/>
      <c r="B5656" s="8"/>
      <c r="C5656" s="8"/>
      <c r="D5656" s="8"/>
      <c r="E5656" s="8"/>
      <c r="F5656" s="8"/>
    </row>
    <row r="5657" ht="13.5" customHeight="1">
      <c r="A5657" s="8"/>
      <c r="B5657" s="8"/>
      <c r="C5657" s="8"/>
      <c r="D5657" s="8"/>
      <c r="E5657" s="8"/>
      <c r="F5657" s="8"/>
    </row>
    <row r="5658" ht="13.5" customHeight="1">
      <c r="A5658" s="8"/>
      <c r="B5658" s="8"/>
      <c r="C5658" s="8"/>
      <c r="D5658" s="8"/>
      <c r="E5658" s="8"/>
      <c r="F5658" s="8"/>
    </row>
    <row r="5659" ht="13.5" customHeight="1">
      <c r="A5659" s="8"/>
      <c r="B5659" s="8"/>
      <c r="C5659" s="8"/>
      <c r="D5659" s="8"/>
      <c r="E5659" s="8"/>
      <c r="F5659" s="8"/>
    </row>
    <row r="5660" ht="13.5" customHeight="1">
      <c r="A5660" s="8"/>
      <c r="B5660" s="8"/>
      <c r="C5660" s="8"/>
      <c r="D5660" s="8"/>
      <c r="E5660" s="8"/>
      <c r="F5660" s="8"/>
    </row>
    <row r="5661" ht="13.5" customHeight="1">
      <c r="A5661" s="8"/>
      <c r="B5661" s="8"/>
      <c r="C5661" s="8"/>
      <c r="D5661" s="8"/>
      <c r="E5661" s="8"/>
      <c r="F5661" s="8"/>
    </row>
    <row r="5662" ht="13.5" customHeight="1">
      <c r="A5662" s="8"/>
      <c r="B5662" s="8"/>
      <c r="C5662" s="8"/>
      <c r="D5662" s="8"/>
      <c r="E5662" s="8"/>
      <c r="F5662" s="8"/>
    </row>
    <row r="5663" ht="13.5" customHeight="1">
      <c r="A5663" s="8"/>
      <c r="B5663" s="8"/>
      <c r="C5663" s="8"/>
      <c r="D5663" s="8"/>
      <c r="E5663" s="8"/>
      <c r="F5663" s="8"/>
    </row>
    <row r="5664" ht="13.5" customHeight="1">
      <c r="A5664" s="8"/>
      <c r="B5664" s="8"/>
      <c r="C5664" s="8"/>
      <c r="D5664" s="8"/>
      <c r="E5664" s="8"/>
      <c r="F5664" s="8"/>
    </row>
    <row r="5665" ht="13.5" customHeight="1">
      <c r="A5665" s="8"/>
      <c r="B5665" s="8"/>
      <c r="C5665" s="8"/>
      <c r="D5665" s="8"/>
      <c r="E5665" s="8"/>
      <c r="F5665" s="8"/>
    </row>
    <row r="5666" ht="13.5" customHeight="1">
      <c r="A5666" s="8"/>
      <c r="B5666" s="8"/>
      <c r="C5666" s="8"/>
      <c r="D5666" s="8"/>
      <c r="E5666" s="8"/>
      <c r="F5666" s="8"/>
    </row>
    <row r="5667" ht="13.5" customHeight="1">
      <c r="A5667" s="8"/>
      <c r="B5667" s="8"/>
      <c r="C5667" s="8"/>
      <c r="D5667" s="8"/>
      <c r="E5667" s="8"/>
      <c r="F5667" s="8"/>
    </row>
    <row r="5668" ht="13.5" customHeight="1">
      <c r="A5668" s="8"/>
      <c r="B5668" s="8"/>
      <c r="C5668" s="8"/>
      <c r="D5668" s="8"/>
      <c r="E5668" s="8"/>
      <c r="F5668" s="8"/>
    </row>
    <row r="5669" ht="13.5" customHeight="1">
      <c r="A5669" s="8"/>
      <c r="B5669" s="8"/>
      <c r="C5669" s="8"/>
      <c r="D5669" s="8"/>
      <c r="E5669" s="8"/>
      <c r="F5669" s="8"/>
    </row>
    <row r="5670" ht="13.5" customHeight="1">
      <c r="A5670" s="8"/>
      <c r="B5670" s="8"/>
      <c r="C5670" s="8"/>
      <c r="D5670" s="8"/>
      <c r="E5670" s="8"/>
      <c r="F5670" s="8"/>
    </row>
    <row r="5671" ht="13.5" customHeight="1">
      <c r="A5671" s="8"/>
      <c r="B5671" s="8"/>
      <c r="C5671" s="8"/>
      <c r="D5671" s="8"/>
      <c r="E5671" s="8"/>
      <c r="F5671" s="8"/>
    </row>
    <row r="5672" ht="13.5" customHeight="1">
      <c r="A5672" s="8"/>
      <c r="B5672" s="8"/>
      <c r="C5672" s="8"/>
      <c r="D5672" s="8"/>
      <c r="E5672" s="8"/>
      <c r="F5672" s="8"/>
    </row>
    <row r="5673" ht="13.5" customHeight="1">
      <c r="A5673" s="8"/>
      <c r="B5673" s="8"/>
      <c r="C5673" s="8"/>
      <c r="D5673" s="8"/>
      <c r="E5673" s="8"/>
      <c r="F5673" s="8"/>
    </row>
    <row r="5674" ht="13.5" customHeight="1">
      <c r="A5674" s="8"/>
      <c r="B5674" s="8"/>
      <c r="C5674" s="8"/>
      <c r="D5674" s="8"/>
      <c r="E5674" s="8"/>
      <c r="F5674" s="8"/>
    </row>
    <row r="5675" ht="13.5" customHeight="1">
      <c r="A5675" s="8"/>
      <c r="B5675" s="8"/>
      <c r="C5675" s="8"/>
      <c r="D5675" s="8"/>
      <c r="E5675" s="8"/>
      <c r="F5675" s="8"/>
    </row>
    <row r="5676" ht="13.5" customHeight="1">
      <c r="A5676" s="8"/>
      <c r="B5676" s="8"/>
      <c r="C5676" s="8"/>
      <c r="D5676" s="8"/>
      <c r="E5676" s="8"/>
      <c r="F5676" s="8"/>
    </row>
    <row r="5677" ht="13.5" customHeight="1">
      <c r="A5677" s="8"/>
      <c r="B5677" s="8"/>
      <c r="C5677" s="8"/>
      <c r="D5677" s="8"/>
      <c r="E5677" s="8"/>
      <c r="F5677" s="8"/>
    </row>
    <row r="5678" ht="13.5" customHeight="1">
      <c r="A5678" s="8"/>
      <c r="B5678" s="8"/>
      <c r="C5678" s="8"/>
      <c r="D5678" s="8"/>
      <c r="E5678" s="8"/>
      <c r="F5678" s="8"/>
    </row>
    <row r="5679" ht="13.5" customHeight="1">
      <c r="A5679" s="8"/>
      <c r="B5679" s="8"/>
      <c r="C5679" s="8"/>
      <c r="D5679" s="8"/>
      <c r="E5679" s="8"/>
      <c r="F5679" s="8"/>
    </row>
    <row r="5680" ht="13.5" customHeight="1">
      <c r="A5680" s="8"/>
      <c r="B5680" s="8"/>
      <c r="C5680" s="8"/>
      <c r="D5680" s="8"/>
      <c r="E5680" s="8"/>
      <c r="F5680" s="8"/>
    </row>
    <row r="5681" ht="13.5" customHeight="1">
      <c r="A5681" s="8"/>
      <c r="B5681" s="8"/>
      <c r="C5681" s="8"/>
      <c r="D5681" s="8"/>
      <c r="E5681" s="8"/>
      <c r="F5681" s="8"/>
    </row>
    <row r="5682" ht="13.5" customHeight="1">
      <c r="A5682" s="8"/>
      <c r="B5682" s="8"/>
      <c r="C5682" s="8"/>
      <c r="D5682" s="8"/>
      <c r="E5682" s="8"/>
      <c r="F5682" s="8"/>
    </row>
    <row r="5683" ht="13.5" customHeight="1">
      <c r="A5683" s="8"/>
      <c r="B5683" s="8"/>
      <c r="C5683" s="8"/>
      <c r="D5683" s="8"/>
      <c r="E5683" s="8"/>
      <c r="F5683" s="8"/>
    </row>
    <row r="5684" ht="13.5" customHeight="1">
      <c r="A5684" s="8"/>
      <c r="B5684" s="8"/>
      <c r="C5684" s="8"/>
      <c r="D5684" s="8"/>
      <c r="E5684" s="8"/>
      <c r="F5684" s="8"/>
    </row>
    <row r="5685" ht="13.5" customHeight="1">
      <c r="A5685" s="8"/>
      <c r="B5685" s="8"/>
      <c r="C5685" s="8"/>
      <c r="D5685" s="8"/>
      <c r="E5685" s="8"/>
      <c r="F5685" s="8"/>
    </row>
    <row r="5686" ht="13.5" customHeight="1">
      <c r="A5686" s="8"/>
      <c r="B5686" s="8"/>
      <c r="C5686" s="8"/>
      <c r="D5686" s="8"/>
      <c r="E5686" s="8"/>
      <c r="F5686" s="8"/>
    </row>
    <row r="5687" ht="13.5" customHeight="1">
      <c r="A5687" s="8"/>
      <c r="B5687" s="8"/>
      <c r="C5687" s="8"/>
      <c r="D5687" s="8"/>
      <c r="E5687" s="8"/>
      <c r="F5687" s="8"/>
    </row>
    <row r="5688" ht="13.5" customHeight="1">
      <c r="A5688" s="8"/>
      <c r="B5688" s="8"/>
      <c r="C5688" s="8"/>
      <c r="D5688" s="8"/>
      <c r="E5688" s="8"/>
      <c r="F5688" s="8"/>
    </row>
    <row r="5689" ht="13.5" customHeight="1">
      <c r="A5689" s="8"/>
      <c r="B5689" s="8"/>
      <c r="C5689" s="8"/>
      <c r="D5689" s="8"/>
      <c r="E5689" s="8"/>
      <c r="F5689" s="8"/>
    </row>
    <row r="5690" ht="13.5" customHeight="1">
      <c r="A5690" s="8"/>
      <c r="B5690" s="8"/>
      <c r="C5690" s="8"/>
      <c r="D5690" s="8"/>
      <c r="E5690" s="8"/>
      <c r="F5690" s="8"/>
    </row>
    <row r="5691" ht="13.5" customHeight="1">
      <c r="A5691" s="8"/>
      <c r="B5691" s="8"/>
      <c r="C5691" s="8"/>
      <c r="D5691" s="8"/>
      <c r="E5691" s="8"/>
      <c r="F5691" s="8"/>
    </row>
    <row r="5692" ht="13.5" customHeight="1">
      <c r="A5692" s="8"/>
      <c r="B5692" s="8"/>
      <c r="C5692" s="8"/>
      <c r="D5692" s="8"/>
      <c r="E5692" s="8"/>
      <c r="F5692" s="8"/>
    </row>
    <row r="5693" ht="13.5" customHeight="1">
      <c r="A5693" s="8"/>
      <c r="B5693" s="8"/>
      <c r="C5693" s="8"/>
      <c r="D5693" s="8"/>
      <c r="E5693" s="8"/>
      <c r="F5693" s="8"/>
    </row>
    <row r="5694" ht="13.5" customHeight="1">
      <c r="A5694" s="8"/>
      <c r="B5694" s="8"/>
      <c r="C5694" s="8"/>
      <c r="D5694" s="8"/>
      <c r="E5694" s="8"/>
      <c r="F5694" s="8"/>
    </row>
    <row r="5695" ht="13.5" customHeight="1">
      <c r="A5695" s="8"/>
      <c r="B5695" s="8"/>
      <c r="C5695" s="8"/>
      <c r="D5695" s="8"/>
      <c r="E5695" s="8"/>
      <c r="F5695" s="8"/>
    </row>
    <row r="5696" ht="13.5" customHeight="1">
      <c r="A5696" s="8"/>
      <c r="B5696" s="8"/>
      <c r="C5696" s="8"/>
      <c r="D5696" s="8"/>
      <c r="E5696" s="8"/>
      <c r="F5696" s="8"/>
    </row>
    <row r="5697" ht="13.5" customHeight="1">
      <c r="A5697" s="8"/>
      <c r="B5697" s="8"/>
      <c r="C5697" s="8"/>
      <c r="D5697" s="8"/>
      <c r="E5697" s="8"/>
      <c r="F5697" s="8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8" t="s">
        <v>1</v>
      </c>
      <c r="B1" s="8" t="s">
        <v>2134</v>
      </c>
    </row>
    <row r="2" ht="12.75" customHeight="1">
      <c r="A2" s="8">
        <v>65.0</v>
      </c>
      <c r="B2" s="8" t="s">
        <v>2135</v>
      </c>
    </row>
    <row r="3" ht="12.75" customHeight="1">
      <c r="A3" s="8">
        <v>69.0</v>
      </c>
      <c r="B3" s="8" t="s">
        <v>2135</v>
      </c>
    </row>
    <row r="4" ht="12.75" customHeight="1">
      <c r="A4" s="8">
        <v>134.0</v>
      </c>
      <c r="B4" s="8" t="s">
        <v>2135</v>
      </c>
    </row>
    <row r="5" ht="12.75" customHeight="1">
      <c r="A5" s="8">
        <v>135.0</v>
      </c>
      <c r="B5" s="8" t="s">
        <v>2135</v>
      </c>
    </row>
    <row r="6" ht="12.75" customHeight="1">
      <c r="A6" s="8">
        <v>230.0</v>
      </c>
      <c r="B6" s="8" t="s">
        <v>2135</v>
      </c>
    </row>
    <row r="7" ht="12.75" customHeight="1">
      <c r="A7" s="8">
        <v>324.0</v>
      </c>
      <c r="B7" s="8" t="s">
        <v>2135</v>
      </c>
    </row>
    <row r="8" ht="12.75" customHeight="1">
      <c r="A8" s="8">
        <v>359.0</v>
      </c>
      <c r="B8" s="8" t="s">
        <v>2135</v>
      </c>
    </row>
    <row r="9" ht="12.75" customHeight="1">
      <c r="A9" s="8">
        <v>612.0</v>
      </c>
      <c r="B9" s="8" t="s">
        <v>2135</v>
      </c>
    </row>
    <row r="10" ht="12.75" customHeight="1">
      <c r="A10" s="8">
        <v>614.0</v>
      </c>
      <c r="B10" s="8" t="s">
        <v>2135</v>
      </c>
    </row>
    <row r="11" ht="12.75" customHeight="1">
      <c r="A11" s="8">
        <v>678.0</v>
      </c>
      <c r="B11" s="8" t="s">
        <v>2135</v>
      </c>
    </row>
    <row r="12" ht="12.75" customHeight="1">
      <c r="A12" s="8">
        <v>710.0</v>
      </c>
      <c r="B12" s="8" t="s">
        <v>2135</v>
      </c>
    </row>
    <row r="13" ht="12.75" customHeight="1">
      <c r="A13" s="8">
        <v>740.0</v>
      </c>
      <c r="B13" s="8" t="s">
        <v>2135</v>
      </c>
    </row>
    <row r="14" ht="12.75" customHeight="1">
      <c r="A14" s="8">
        <v>775.0</v>
      </c>
      <c r="B14" s="8" t="s">
        <v>2135</v>
      </c>
    </row>
    <row r="15" ht="12.75" customHeight="1">
      <c r="A15" s="8">
        <v>833.0</v>
      </c>
      <c r="B15" s="8" t="s">
        <v>2135</v>
      </c>
    </row>
    <row r="16" ht="12.75" customHeight="1">
      <c r="A16" s="8">
        <v>902.0</v>
      </c>
      <c r="B16" s="8" t="s">
        <v>2135</v>
      </c>
    </row>
    <row r="17" ht="12.75" customHeight="1">
      <c r="A17" s="8">
        <v>928.0</v>
      </c>
      <c r="B17" s="8" t="s">
        <v>2135</v>
      </c>
    </row>
    <row r="18" ht="12.75" customHeight="1">
      <c r="A18" s="8">
        <v>930.0</v>
      </c>
      <c r="B18" s="8" t="s">
        <v>2135</v>
      </c>
    </row>
    <row r="19" ht="12.75" customHeight="1">
      <c r="A19" s="8">
        <v>1060.0</v>
      </c>
      <c r="B19" s="8" t="s">
        <v>2135</v>
      </c>
    </row>
    <row r="20" ht="12.75" customHeight="1">
      <c r="A20" s="8">
        <v>1127.0</v>
      </c>
      <c r="B20" s="8" t="s">
        <v>2135</v>
      </c>
    </row>
    <row r="21" ht="12.75" customHeight="1">
      <c r="A21" s="8">
        <v>1285.0</v>
      </c>
      <c r="B21" s="8" t="s">
        <v>2135</v>
      </c>
    </row>
    <row r="22" ht="12.75" customHeight="1">
      <c r="A22" s="8">
        <v>1317.0</v>
      </c>
      <c r="B22" s="8" t="s">
        <v>2135</v>
      </c>
    </row>
    <row r="23" ht="12.75" customHeight="1">
      <c r="A23" s="8">
        <v>1382.0</v>
      </c>
      <c r="B23" s="8" t="s">
        <v>2135</v>
      </c>
    </row>
    <row r="24" ht="12.75" customHeight="1">
      <c r="A24" s="8">
        <v>1538.0</v>
      </c>
      <c r="B24" s="8" t="s">
        <v>2135</v>
      </c>
    </row>
    <row r="25" ht="12.75" customHeight="1">
      <c r="A25" s="8">
        <v>1665.0</v>
      </c>
      <c r="B25" s="8" t="s">
        <v>2135</v>
      </c>
    </row>
    <row r="26" ht="12.75" customHeight="1">
      <c r="A26" s="8">
        <v>1921.0</v>
      </c>
      <c r="B26" s="8" t="s">
        <v>2135</v>
      </c>
    </row>
    <row r="27" ht="12.75" customHeight="1">
      <c r="A27" s="8">
        <v>2050.0</v>
      </c>
      <c r="B27" s="8" t="s">
        <v>2135</v>
      </c>
    </row>
    <row r="28" ht="12.75" customHeight="1">
      <c r="A28" s="8">
        <v>2052.0</v>
      </c>
      <c r="B28" s="8" t="s">
        <v>2135</v>
      </c>
    </row>
    <row r="29" ht="12.75" customHeight="1">
      <c r="A29" s="8">
        <v>2055.0</v>
      </c>
      <c r="B29" s="8" t="s">
        <v>2135</v>
      </c>
    </row>
    <row r="30" ht="12.75" customHeight="1">
      <c r="A30" s="8">
        <v>2146.0</v>
      </c>
      <c r="B30" s="8" t="s">
        <v>2135</v>
      </c>
    </row>
    <row r="31" ht="12.75" customHeight="1">
      <c r="A31" s="8">
        <v>2213.0</v>
      </c>
      <c r="B31" s="8" t="s">
        <v>2135</v>
      </c>
    </row>
    <row r="32" ht="12.75" customHeight="1">
      <c r="A32" s="8">
        <v>2240.0</v>
      </c>
      <c r="B32" s="8" t="s">
        <v>2135</v>
      </c>
    </row>
    <row r="33" ht="12.75" customHeight="1">
      <c r="A33" s="8">
        <v>2500.0</v>
      </c>
      <c r="B33" s="8" t="s">
        <v>2135</v>
      </c>
    </row>
    <row r="34" ht="12.75" customHeight="1">
      <c r="A34" s="8">
        <v>2503.0</v>
      </c>
      <c r="B34" s="8" t="s">
        <v>2135</v>
      </c>
    </row>
    <row r="35" ht="12.75" customHeight="1">
      <c r="A35" s="8">
        <v>2562.0</v>
      </c>
      <c r="B35" s="8" t="s">
        <v>2135</v>
      </c>
    </row>
    <row r="36" ht="12.75" customHeight="1">
      <c r="A36" s="8">
        <v>2823.0</v>
      </c>
      <c r="B36" s="8" t="s">
        <v>2135</v>
      </c>
    </row>
    <row r="37" ht="12.75" customHeight="1">
      <c r="A37" s="8">
        <v>2915.0</v>
      </c>
      <c r="B37" s="8" t="s">
        <v>2135</v>
      </c>
    </row>
    <row r="38" ht="12.75" customHeight="1">
      <c r="A38" s="8">
        <v>3300.0</v>
      </c>
      <c r="B38" s="8" t="s">
        <v>2135</v>
      </c>
    </row>
    <row r="39" ht="12.75" customHeight="1">
      <c r="A39" s="8">
        <v>3456.0</v>
      </c>
      <c r="B39" s="8" t="s">
        <v>2135</v>
      </c>
    </row>
    <row r="40" ht="12.75" customHeight="1">
      <c r="A40" s="8">
        <v>3525.0</v>
      </c>
      <c r="B40" s="8" t="s">
        <v>2135</v>
      </c>
    </row>
    <row r="41" ht="12.75" customHeight="1">
      <c r="A41" s="8">
        <v>3589.0</v>
      </c>
      <c r="B41" s="8" t="s">
        <v>2135</v>
      </c>
    </row>
    <row r="42" ht="12.75" customHeight="1">
      <c r="A42" s="8">
        <v>3687.0</v>
      </c>
      <c r="B42" s="8" t="s">
        <v>2135</v>
      </c>
    </row>
    <row r="43" ht="12.75" customHeight="1">
      <c r="A43" s="8">
        <v>3777.0</v>
      </c>
      <c r="B43" s="8" t="s">
        <v>2135</v>
      </c>
    </row>
    <row r="44" ht="12.75" customHeight="1">
      <c r="A44" s="8">
        <v>3783.0</v>
      </c>
      <c r="B44" s="8" t="s">
        <v>2135</v>
      </c>
    </row>
    <row r="45" ht="12.75" customHeight="1">
      <c r="A45" s="8">
        <v>4006.0</v>
      </c>
      <c r="B45" s="8" t="s">
        <v>2135</v>
      </c>
    </row>
    <row r="46" ht="12.75" customHeight="1">
      <c r="A46" s="8">
        <v>4037.0</v>
      </c>
      <c r="B46" s="8" t="s">
        <v>2135</v>
      </c>
    </row>
    <row r="47" ht="12.75" customHeight="1">
      <c r="A47" s="8">
        <v>4230.0</v>
      </c>
      <c r="B47" s="8" t="s">
        <v>2135</v>
      </c>
    </row>
    <row r="48" ht="12.75" customHeight="1">
      <c r="A48" s="8">
        <v>4261.0</v>
      </c>
      <c r="B48" s="8" t="s">
        <v>2135</v>
      </c>
    </row>
    <row r="49" ht="12.75" customHeight="1">
      <c r="A49" s="8">
        <v>4391.0</v>
      </c>
      <c r="B49" s="8" t="s">
        <v>2135</v>
      </c>
    </row>
    <row r="50" ht="12.75" customHeight="1">
      <c r="A50" s="8">
        <v>4610.0</v>
      </c>
      <c r="B50" s="8" t="s">
        <v>2135</v>
      </c>
    </row>
    <row r="51" ht="12.75" customHeight="1">
      <c r="A51" s="8">
        <v>4738.0</v>
      </c>
      <c r="B51" s="8" t="s">
        <v>2135</v>
      </c>
    </row>
    <row r="52" ht="12.75" customHeight="1">
      <c r="A52" s="8">
        <v>4864.0</v>
      </c>
      <c r="B52" s="8" t="s">
        <v>2135</v>
      </c>
    </row>
    <row r="53" ht="12.75" customHeight="1">
      <c r="A53" s="8">
        <v>4960.0</v>
      </c>
      <c r="B53" s="8" t="s">
        <v>2135</v>
      </c>
    </row>
    <row r="54" ht="12.75" customHeight="1">
      <c r="A54" s="8">
        <v>5028.0</v>
      </c>
      <c r="B54" s="8" t="s">
        <v>2135</v>
      </c>
    </row>
    <row r="55" ht="12.75" customHeight="1">
      <c r="A55" s="8">
        <v>5059.0</v>
      </c>
      <c r="B55" s="8" t="s">
        <v>2135</v>
      </c>
    </row>
    <row r="56" ht="12.75" customHeight="1">
      <c r="A56" s="8">
        <v>5061.0</v>
      </c>
      <c r="B56" s="8" t="s">
        <v>2135</v>
      </c>
    </row>
    <row r="57" ht="12.75" customHeight="1">
      <c r="A57" s="8">
        <v>5189.0</v>
      </c>
      <c r="B57" s="8" t="s">
        <v>2135</v>
      </c>
    </row>
    <row r="58" ht="12.75" customHeight="1">
      <c r="A58" s="8">
        <v>5381.0</v>
      </c>
      <c r="B58" s="8" t="s">
        <v>2135</v>
      </c>
    </row>
    <row r="59" ht="12.75" customHeight="1">
      <c r="A59" s="8">
        <v>5414.0</v>
      </c>
      <c r="B59" s="8" t="s">
        <v>2135</v>
      </c>
    </row>
    <row r="60" ht="12.75" customHeight="1">
      <c r="A60" s="8">
        <v>5511.0</v>
      </c>
      <c r="B60" s="8" t="s">
        <v>2135</v>
      </c>
    </row>
    <row r="61" ht="12.75" customHeight="1">
      <c r="A61" s="8">
        <v>5699.0</v>
      </c>
      <c r="B61" s="8" t="s">
        <v>2135</v>
      </c>
    </row>
    <row r="62" ht="12.75" customHeight="1">
      <c r="A62" s="8">
        <v>6054.0</v>
      </c>
      <c r="B62" s="8" t="s">
        <v>2135</v>
      </c>
    </row>
    <row r="63" ht="12.75" customHeight="1">
      <c r="A63" s="8">
        <v>6241.0</v>
      </c>
      <c r="B63" s="8" t="s">
        <v>2135</v>
      </c>
    </row>
    <row r="64" ht="12.75" customHeight="1">
      <c r="A64" s="8">
        <v>6272.0</v>
      </c>
      <c r="B64" s="8" t="s">
        <v>2135</v>
      </c>
    </row>
    <row r="65" ht="12.75" customHeight="1">
      <c r="A65" s="8">
        <v>6498.0</v>
      </c>
      <c r="B65" s="8" t="s">
        <v>2135</v>
      </c>
    </row>
    <row r="66" ht="12.75" customHeight="1">
      <c r="A66" s="8">
        <v>6500.0</v>
      </c>
      <c r="B66" s="8" t="s">
        <v>2135</v>
      </c>
    </row>
    <row r="67" ht="12.75" customHeight="1">
      <c r="A67" s="8">
        <v>6502.0</v>
      </c>
      <c r="B67" s="8" t="s">
        <v>2135</v>
      </c>
    </row>
    <row r="68" ht="12.75" customHeight="1">
      <c r="A68" s="8">
        <v>6661.0</v>
      </c>
      <c r="B68" s="8" t="s">
        <v>2135</v>
      </c>
    </row>
    <row r="69" ht="12.75" customHeight="1">
      <c r="A69" s="8">
        <v>6695.0</v>
      </c>
      <c r="B69" s="8" t="s">
        <v>2135</v>
      </c>
    </row>
    <row r="70" ht="12.75" customHeight="1">
      <c r="A70" s="8">
        <v>6757.0</v>
      </c>
      <c r="B70" s="8" t="s">
        <v>2135</v>
      </c>
    </row>
    <row r="71" ht="12.75" customHeight="1">
      <c r="A71" s="8">
        <v>6978.0</v>
      </c>
      <c r="B71" s="8" t="s">
        <v>2135</v>
      </c>
    </row>
    <row r="72" ht="12.75" customHeight="1">
      <c r="A72" s="8">
        <v>6979.0</v>
      </c>
      <c r="B72" s="8" t="s">
        <v>2135</v>
      </c>
    </row>
    <row r="73" ht="12.75" customHeight="1">
      <c r="A73" s="8">
        <v>7079.0</v>
      </c>
      <c r="B73" s="8" t="s">
        <v>2135</v>
      </c>
    </row>
    <row r="74" ht="12.75" customHeight="1">
      <c r="A74" s="8">
        <v>7107.0</v>
      </c>
      <c r="B74" s="8" t="s">
        <v>2135</v>
      </c>
    </row>
    <row r="75" ht="12.75" customHeight="1">
      <c r="A75" s="8">
        <v>7203.0</v>
      </c>
      <c r="B75" s="8" t="s">
        <v>2135</v>
      </c>
    </row>
    <row r="76" ht="12.75" customHeight="1">
      <c r="A76" s="8">
        <v>7269.0</v>
      </c>
      <c r="B76" s="8" t="s">
        <v>2135</v>
      </c>
    </row>
    <row r="77" ht="12.75" customHeight="1">
      <c r="A77" s="8">
        <v>7364.0</v>
      </c>
      <c r="B77" s="8" t="s">
        <v>2135</v>
      </c>
    </row>
    <row r="78" ht="12.75" customHeight="1">
      <c r="A78" s="8">
        <v>7521.0</v>
      </c>
      <c r="B78" s="8" t="s">
        <v>2135</v>
      </c>
    </row>
    <row r="79" ht="12.75" customHeight="1">
      <c r="A79" s="8">
        <v>7744.0</v>
      </c>
      <c r="B79" s="8" t="s">
        <v>2135</v>
      </c>
    </row>
    <row r="80" ht="12.75" customHeight="1">
      <c r="A80" s="8">
        <v>7812.0</v>
      </c>
      <c r="B80" s="8" t="s">
        <v>2135</v>
      </c>
    </row>
    <row r="81" ht="12.75" customHeight="1">
      <c r="A81" s="8">
        <v>7815.0</v>
      </c>
      <c r="B81" s="8" t="s">
        <v>2135</v>
      </c>
    </row>
    <row r="82" ht="12.75" customHeight="1">
      <c r="A82" s="8">
        <v>7841.0</v>
      </c>
      <c r="B82" s="8" t="s">
        <v>2135</v>
      </c>
    </row>
    <row r="83" ht="12.75" customHeight="1">
      <c r="A83" s="8">
        <v>7845.0</v>
      </c>
      <c r="B83" s="8" t="s">
        <v>2135</v>
      </c>
    </row>
    <row r="84" ht="12.75" customHeight="1">
      <c r="A84" s="8">
        <v>8034.0</v>
      </c>
      <c r="B84" s="8" t="s">
        <v>2135</v>
      </c>
    </row>
    <row r="85" ht="12.75" customHeight="1">
      <c r="A85" s="8">
        <v>8133.0</v>
      </c>
      <c r="B85" s="8" t="s">
        <v>2135</v>
      </c>
    </row>
    <row r="86" ht="12.75" customHeight="1">
      <c r="A86" s="8">
        <v>8292.0</v>
      </c>
      <c r="B86" s="8" t="s">
        <v>2135</v>
      </c>
    </row>
    <row r="87" ht="12.75" customHeight="1">
      <c r="A87" s="8">
        <v>8293.0</v>
      </c>
      <c r="B87" s="8" t="s">
        <v>2135</v>
      </c>
    </row>
    <row r="88" ht="12.75" customHeight="1">
      <c r="A88" s="8">
        <v>8353.0</v>
      </c>
      <c r="B88" s="8" t="s">
        <v>2135</v>
      </c>
    </row>
    <row r="89" ht="12.75" customHeight="1">
      <c r="A89" s="8">
        <v>8961.0</v>
      </c>
      <c r="B89" s="8" t="s">
        <v>2135</v>
      </c>
    </row>
    <row r="90" ht="12.75" customHeight="1">
      <c r="A90" s="8">
        <v>9027.0</v>
      </c>
      <c r="B90" s="8" t="s">
        <v>2135</v>
      </c>
    </row>
    <row r="91" ht="12.75" customHeight="1">
      <c r="A91" s="8">
        <v>9093.0</v>
      </c>
      <c r="B91" s="8" t="s">
        <v>2135</v>
      </c>
    </row>
    <row r="92" ht="12.75" customHeight="1">
      <c r="A92" s="8">
        <v>9152.0</v>
      </c>
      <c r="B92" s="8" t="s">
        <v>2135</v>
      </c>
    </row>
    <row r="93" ht="12.75" customHeight="1">
      <c r="A93" s="8">
        <v>9219.0</v>
      </c>
      <c r="B93" s="8" t="s">
        <v>2135</v>
      </c>
    </row>
    <row r="94" ht="12.75" customHeight="1">
      <c r="A94" s="8">
        <v>9472.0</v>
      </c>
      <c r="B94" s="8" t="s">
        <v>2135</v>
      </c>
    </row>
    <row r="95" ht="12.75" customHeight="1">
      <c r="A95" s="8">
        <v>9574.0</v>
      </c>
      <c r="B95" s="8" t="s">
        <v>2135</v>
      </c>
    </row>
    <row r="96" ht="12.75" customHeight="1">
      <c r="A96" s="8">
        <v>9696.0</v>
      </c>
      <c r="B96" s="8" t="s">
        <v>2135</v>
      </c>
    </row>
    <row r="97" ht="12.75" customHeight="1">
      <c r="A97" s="8">
        <v>9701.0</v>
      </c>
      <c r="B97" s="8" t="s">
        <v>2135</v>
      </c>
    </row>
    <row r="98" ht="12.75" customHeight="1">
      <c r="A98" s="8">
        <v>9762.0</v>
      </c>
      <c r="B98" s="8" t="s">
        <v>2135</v>
      </c>
    </row>
    <row r="99" ht="12.75" customHeight="1">
      <c r="A99" s="8">
        <v>9829.0</v>
      </c>
      <c r="B99" s="8" t="s">
        <v>2135</v>
      </c>
    </row>
    <row r="100" ht="12.75" customHeight="1">
      <c r="A100" s="8">
        <v>9895.0</v>
      </c>
      <c r="B100" s="8" t="s">
        <v>2135</v>
      </c>
    </row>
    <row r="101" ht="12.75" customHeight="1">
      <c r="A101" s="8">
        <v>9923.0</v>
      </c>
      <c r="B101" s="8" t="s">
        <v>2135</v>
      </c>
    </row>
    <row r="102" ht="12.75" customHeight="1">
      <c r="A102" s="8">
        <v>9927.0</v>
      </c>
      <c r="B102" s="8" t="s">
        <v>2135</v>
      </c>
    </row>
    <row r="103" ht="12.75" customHeight="1">
      <c r="A103" s="8">
        <v>10054.0</v>
      </c>
      <c r="B103" s="8" t="s">
        <v>2135</v>
      </c>
    </row>
    <row r="104" ht="12.75" customHeight="1">
      <c r="A104" s="8">
        <v>10183.0</v>
      </c>
      <c r="B104" s="8" t="s">
        <v>2135</v>
      </c>
    </row>
    <row r="105" ht="12.75" customHeight="1">
      <c r="A105" s="8">
        <v>10498.0</v>
      </c>
      <c r="B105" s="8" t="s">
        <v>2135</v>
      </c>
    </row>
    <row r="106" ht="12.75" customHeight="1">
      <c r="A106" s="8">
        <v>10662.0</v>
      </c>
      <c r="B106" s="8" t="s">
        <v>2135</v>
      </c>
    </row>
    <row r="107" ht="12.75" customHeight="1">
      <c r="A107" s="8">
        <v>10917.0</v>
      </c>
      <c r="B107" s="8" t="s">
        <v>2135</v>
      </c>
    </row>
    <row r="108" ht="12.75" customHeight="1">
      <c r="A108" s="8">
        <v>11271.0</v>
      </c>
      <c r="B108" s="8" t="s">
        <v>2135</v>
      </c>
    </row>
    <row r="109" ht="12.75" customHeight="1">
      <c r="A109" s="8">
        <v>11396.0</v>
      </c>
      <c r="B109" s="8" t="s">
        <v>2135</v>
      </c>
    </row>
    <row r="110" ht="12.75" customHeight="1">
      <c r="A110" s="8">
        <v>11425.0</v>
      </c>
      <c r="B110" s="8" t="s">
        <v>2135</v>
      </c>
    </row>
    <row r="111" ht="12.75" customHeight="1">
      <c r="A111" s="8">
        <v>11426.0</v>
      </c>
      <c r="B111" s="8" t="s">
        <v>2135</v>
      </c>
    </row>
    <row r="112" ht="12.75" customHeight="1">
      <c r="A112" s="8">
        <v>11648.0</v>
      </c>
      <c r="B112" s="8" t="s">
        <v>2135</v>
      </c>
    </row>
    <row r="113" ht="12.75" customHeight="1">
      <c r="A113" s="8">
        <v>11652.0</v>
      </c>
      <c r="B113" s="8" t="s">
        <v>2135</v>
      </c>
    </row>
    <row r="114" ht="12.75" customHeight="1">
      <c r="A114" s="8">
        <v>11682.0</v>
      </c>
      <c r="B114" s="8" t="s">
        <v>2135</v>
      </c>
    </row>
    <row r="115" ht="12.75" customHeight="1">
      <c r="A115" s="8">
        <v>11748.0</v>
      </c>
      <c r="B115" s="8" t="s">
        <v>2135</v>
      </c>
    </row>
    <row r="116" ht="12.75" customHeight="1">
      <c r="A116" s="8">
        <v>11909.0</v>
      </c>
      <c r="B116" s="8" t="s">
        <v>2135</v>
      </c>
    </row>
    <row r="117" ht="12.75" customHeight="1">
      <c r="A117" s="8">
        <v>11911.0</v>
      </c>
      <c r="B117" s="8" t="s">
        <v>2135</v>
      </c>
    </row>
    <row r="118" ht="12.75" customHeight="1">
      <c r="A118" s="8">
        <v>12005.0</v>
      </c>
      <c r="B118" s="8" t="s">
        <v>2135</v>
      </c>
    </row>
    <row r="119" ht="12.75" customHeight="1">
      <c r="A119" s="8">
        <v>12067.0</v>
      </c>
      <c r="B119" s="8" t="s">
        <v>2135</v>
      </c>
    </row>
    <row r="120" ht="12.75" customHeight="1">
      <c r="A120" s="8">
        <v>12096.0</v>
      </c>
      <c r="B120" s="8" t="s">
        <v>2135</v>
      </c>
    </row>
    <row r="121" ht="12.75" customHeight="1">
      <c r="A121" s="8">
        <v>12262.0</v>
      </c>
      <c r="B121" s="8" t="s">
        <v>2135</v>
      </c>
    </row>
    <row r="122" ht="12.75" customHeight="1">
      <c r="A122" s="8">
        <v>12263.0</v>
      </c>
      <c r="B122" s="8" t="s">
        <v>2135</v>
      </c>
    </row>
    <row r="123" ht="12.75" customHeight="1">
      <c r="A123" s="8">
        <v>12389.0</v>
      </c>
      <c r="B123" s="8" t="s">
        <v>2135</v>
      </c>
    </row>
    <row r="124" ht="12.75" customHeight="1">
      <c r="A124" s="8">
        <v>12451.0</v>
      </c>
      <c r="B124" s="8" t="s">
        <v>2135</v>
      </c>
    </row>
    <row r="125" ht="12.75" customHeight="1">
      <c r="A125" s="8">
        <v>12483.0</v>
      </c>
      <c r="B125" s="8" t="s">
        <v>2135</v>
      </c>
    </row>
    <row r="126" ht="12.75" customHeight="1">
      <c r="A126" s="8">
        <v>12580.0</v>
      </c>
      <c r="B126" s="8" t="s">
        <v>2135</v>
      </c>
    </row>
    <row r="127" ht="12.75" customHeight="1">
      <c r="A127" s="8">
        <v>12613.0</v>
      </c>
      <c r="B127" s="8" t="s">
        <v>2135</v>
      </c>
    </row>
    <row r="128" ht="12.75" customHeight="1">
      <c r="A128" s="8">
        <v>12704.0</v>
      </c>
      <c r="B128" s="8" t="s">
        <v>2135</v>
      </c>
    </row>
    <row r="129" ht="12.75" customHeight="1">
      <c r="A129" s="8">
        <v>12706.0</v>
      </c>
      <c r="B129" s="8" t="s">
        <v>2135</v>
      </c>
    </row>
    <row r="130" ht="12.75" customHeight="1">
      <c r="A130" s="8">
        <v>12710.0</v>
      </c>
      <c r="B130" s="8" t="s">
        <v>2135</v>
      </c>
    </row>
    <row r="131" ht="12.75" customHeight="1">
      <c r="A131" s="8">
        <v>12806.0</v>
      </c>
      <c r="B131" s="8" t="s">
        <v>2135</v>
      </c>
    </row>
    <row r="132" ht="12.75" customHeight="1">
      <c r="A132" s="8">
        <v>12900.0</v>
      </c>
      <c r="B132" s="8" t="s">
        <v>2135</v>
      </c>
    </row>
    <row r="133" ht="12.75" customHeight="1">
      <c r="A133" s="8">
        <v>12903.0</v>
      </c>
      <c r="B133" s="8" t="s">
        <v>2135</v>
      </c>
    </row>
    <row r="134" ht="12.75" customHeight="1">
      <c r="A134" s="8">
        <v>13091.0</v>
      </c>
      <c r="B134" s="8" t="s">
        <v>2135</v>
      </c>
    </row>
    <row r="135" ht="12.75" customHeight="1">
      <c r="A135" s="8">
        <v>13158.0</v>
      </c>
      <c r="B135" s="8" t="s">
        <v>2135</v>
      </c>
    </row>
    <row r="136" ht="12.75" customHeight="1">
      <c r="A136" s="8">
        <v>13218.0</v>
      </c>
      <c r="B136" s="8" t="s">
        <v>2135</v>
      </c>
    </row>
    <row r="137" ht="12.75" customHeight="1">
      <c r="A137" s="8">
        <v>13284.0</v>
      </c>
      <c r="B137" s="8" t="s">
        <v>2135</v>
      </c>
    </row>
    <row r="138" ht="12.75" customHeight="1">
      <c r="A138" s="8">
        <v>13410.0</v>
      </c>
      <c r="B138" s="8" t="s">
        <v>2135</v>
      </c>
    </row>
    <row r="139" ht="12.75" customHeight="1">
      <c r="A139" s="8">
        <v>13444.0</v>
      </c>
      <c r="B139" s="8" t="s">
        <v>2135</v>
      </c>
    </row>
    <row r="140" ht="12.75" customHeight="1">
      <c r="A140" s="8">
        <v>13638.0</v>
      </c>
      <c r="B140" s="8" t="s">
        <v>2135</v>
      </c>
    </row>
    <row r="141" ht="12.75" customHeight="1">
      <c r="A141" s="8">
        <v>13729.0</v>
      </c>
      <c r="B141" s="8" t="s">
        <v>2135</v>
      </c>
    </row>
    <row r="142" ht="12.75" customHeight="1">
      <c r="A142" s="8">
        <v>13765.0</v>
      </c>
      <c r="B142" s="8" t="s">
        <v>2135</v>
      </c>
    </row>
    <row r="143" ht="12.75" customHeight="1">
      <c r="A143" s="8">
        <v>13959.0</v>
      </c>
      <c r="B143" s="8" t="s">
        <v>2135</v>
      </c>
    </row>
    <row r="144" ht="12.75" customHeight="1">
      <c r="A144" s="8">
        <v>13984.0</v>
      </c>
      <c r="B144" s="8" t="s">
        <v>2135</v>
      </c>
    </row>
    <row r="145" ht="12.75" customHeight="1">
      <c r="A145" s="8">
        <v>13986.0</v>
      </c>
      <c r="B145" s="8" t="s">
        <v>2135</v>
      </c>
    </row>
    <row r="146" ht="12.75" customHeight="1">
      <c r="A146" s="8">
        <v>14176.0</v>
      </c>
      <c r="B146" s="8" t="s">
        <v>2135</v>
      </c>
    </row>
    <row r="147" ht="12.75" customHeight="1">
      <c r="A147" s="8">
        <v>14242.0</v>
      </c>
      <c r="B147" s="8" t="s">
        <v>2135</v>
      </c>
    </row>
    <row r="148" ht="12.75" customHeight="1">
      <c r="A148" s="8">
        <v>14406.0</v>
      </c>
      <c r="B148" s="8" t="s">
        <v>2135</v>
      </c>
    </row>
    <row r="149" ht="12.75" customHeight="1">
      <c r="A149" s="8">
        <v>14497.0</v>
      </c>
      <c r="B149" s="8" t="s">
        <v>2135</v>
      </c>
    </row>
    <row r="150" ht="12.75" customHeight="1">
      <c r="A150" s="8">
        <v>14528.0</v>
      </c>
      <c r="B150" s="8" t="s">
        <v>2135</v>
      </c>
    </row>
    <row r="151" ht="12.75" customHeight="1">
      <c r="A151" s="8">
        <v>14534.0</v>
      </c>
      <c r="B151" s="8" t="s">
        <v>2135</v>
      </c>
    </row>
    <row r="152" ht="12.75" customHeight="1">
      <c r="A152" s="8">
        <v>14820.0</v>
      </c>
      <c r="B152" s="8" t="s">
        <v>2135</v>
      </c>
    </row>
    <row r="153" ht="12.75" customHeight="1">
      <c r="A153" s="8">
        <v>14951.0</v>
      </c>
      <c r="B153" s="8" t="s">
        <v>2135</v>
      </c>
    </row>
    <row r="154" ht="12.75" customHeight="1">
      <c r="A154" s="8">
        <v>15009.0</v>
      </c>
      <c r="B154" s="8" t="s">
        <v>2135</v>
      </c>
    </row>
    <row r="155" ht="12.75" customHeight="1">
      <c r="A155" s="8">
        <v>15106.0</v>
      </c>
      <c r="B155" s="8" t="s">
        <v>2135</v>
      </c>
    </row>
    <row r="156" ht="12.75" customHeight="1">
      <c r="A156" s="8">
        <v>15202.0</v>
      </c>
      <c r="B156" s="8" t="s">
        <v>2135</v>
      </c>
    </row>
    <row r="157" ht="12.75" customHeight="1">
      <c r="A157" s="8">
        <v>15206.0</v>
      </c>
      <c r="B157" s="8" t="s">
        <v>2135</v>
      </c>
    </row>
    <row r="158" ht="12.75" customHeight="1">
      <c r="A158" s="8">
        <v>15303.0</v>
      </c>
      <c r="B158" s="8" t="s">
        <v>2135</v>
      </c>
    </row>
    <row r="159" ht="12.75" customHeight="1">
      <c r="A159" s="8">
        <v>15712.0</v>
      </c>
      <c r="B159" s="8" t="s">
        <v>2135</v>
      </c>
    </row>
    <row r="160" ht="12.75" customHeight="1">
      <c r="A160" s="8">
        <v>15718.0</v>
      </c>
      <c r="B160" s="8" t="s">
        <v>2135</v>
      </c>
    </row>
    <row r="161" ht="12.75" customHeight="1">
      <c r="A161" s="8">
        <v>15778.0</v>
      </c>
      <c r="B161" s="8" t="s">
        <v>2135</v>
      </c>
    </row>
    <row r="162" ht="12.75" customHeight="1">
      <c r="A162" s="8">
        <v>15872.0</v>
      </c>
      <c r="B162" s="8" t="s">
        <v>2135</v>
      </c>
    </row>
    <row r="163" ht="12.75" customHeight="1">
      <c r="A163" s="8">
        <v>15904.0</v>
      </c>
      <c r="B163" s="8" t="s">
        <v>2135</v>
      </c>
    </row>
    <row r="164" ht="12.75" customHeight="1">
      <c r="A164" s="8">
        <v>16134.0</v>
      </c>
      <c r="B164" s="8" t="s">
        <v>2135</v>
      </c>
    </row>
    <row r="165" ht="12.75" customHeight="1">
      <c r="A165" s="8">
        <v>16582.0</v>
      </c>
      <c r="B165" s="8" t="s">
        <v>2135</v>
      </c>
    </row>
    <row r="166" ht="12.75" customHeight="1">
      <c r="A166" s="8">
        <v>16641.0</v>
      </c>
      <c r="B166" s="8" t="s">
        <v>2135</v>
      </c>
    </row>
    <row r="167" ht="12.75" customHeight="1">
      <c r="A167" s="8">
        <v>16679.0</v>
      </c>
      <c r="B167" s="8" t="s">
        <v>2135</v>
      </c>
    </row>
    <row r="168" ht="12.75" customHeight="1">
      <c r="A168" s="8">
        <v>16864.0</v>
      </c>
      <c r="B168" s="8" t="s">
        <v>2135</v>
      </c>
    </row>
    <row r="169" ht="12.75" customHeight="1">
      <c r="A169" s="8">
        <v>16961.0</v>
      </c>
      <c r="B169" s="8" t="s">
        <v>2135</v>
      </c>
    </row>
    <row r="170" ht="12.75" customHeight="1">
      <c r="A170" s="8">
        <v>17058.0</v>
      </c>
      <c r="B170" s="8" t="s">
        <v>2135</v>
      </c>
    </row>
    <row r="171" ht="12.75" customHeight="1">
      <c r="A171" s="8">
        <v>17155.0</v>
      </c>
      <c r="B171" s="8" t="s">
        <v>2135</v>
      </c>
    </row>
    <row r="172" ht="12.75" customHeight="1">
      <c r="A172" s="8">
        <v>17255.0</v>
      </c>
      <c r="B172" s="8" t="s">
        <v>2135</v>
      </c>
    </row>
    <row r="173" ht="12.75" customHeight="1">
      <c r="A173" s="8">
        <v>17282.0</v>
      </c>
      <c r="B173" s="8" t="s">
        <v>2135</v>
      </c>
    </row>
    <row r="174" ht="12.75" customHeight="1">
      <c r="A174" s="8">
        <v>17313.0</v>
      </c>
      <c r="B174" s="8" t="s">
        <v>2135</v>
      </c>
    </row>
    <row r="175" ht="12.75" customHeight="1">
      <c r="A175" s="8">
        <v>17508.0</v>
      </c>
      <c r="B175" s="8" t="s">
        <v>2135</v>
      </c>
    </row>
    <row r="176" ht="12.75" customHeight="1">
      <c r="A176" s="8">
        <v>17668.0</v>
      </c>
      <c r="B176" s="8" t="s">
        <v>2135</v>
      </c>
    </row>
    <row r="177" ht="12.75" customHeight="1">
      <c r="A177" s="8">
        <v>17858.0</v>
      </c>
      <c r="B177" s="8" t="s">
        <v>2135</v>
      </c>
    </row>
    <row r="178" ht="12.75" customHeight="1">
      <c r="A178" s="8">
        <v>17985.0</v>
      </c>
      <c r="B178" s="8" t="s">
        <v>2135</v>
      </c>
    </row>
    <row r="179" ht="12.75" customHeight="1">
      <c r="A179" s="8">
        <v>17988.0</v>
      </c>
      <c r="B179" s="8" t="s">
        <v>2135</v>
      </c>
    </row>
    <row r="180" ht="12.75" customHeight="1">
      <c r="A180" s="8">
        <v>18119.0</v>
      </c>
      <c r="B180" s="8" t="s">
        <v>2135</v>
      </c>
    </row>
    <row r="181" ht="12.75" customHeight="1">
      <c r="A181" s="8">
        <v>18215.0</v>
      </c>
      <c r="B181" s="8" t="s">
        <v>2135</v>
      </c>
    </row>
    <row r="182" ht="12.75" customHeight="1">
      <c r="A182" s="8">
        <v>18336.0</v>
      </c>
      <c r="B182" s="8" t="s">
        <v>2135</v>
      </c>
    </row>
    <row r="183" ht="12.75" customHeight="1">
      <c r="A183" s="8">
        <v>18496.0</v>
      </c>
      <c r="B183" s="8" t="s">
        <v>2135</v>
      </c>
    </row>
    <row r="184" ht="12.75" customHeight="1">
      <c r="A184" s="8">
        <v>18533.0</v>
      </c>
      <c r="B184" s="8" t="s">
        <v>2135</v>
      </c>
    </row>
    <row r="185" ht="12.75" customHeight="1">
      <c r="A185" s="8">
        <v>18593.0</v>
      </c>
      <c r="B185" s="8" t="s">
        <v>2135</v>
      </c>
    </row>
    <row r="186" ht="12.75" customHeight="1">
      <c r="A186" s="8">
        <v>18661.0</v>
      </c>
      <c r="B186" s="8" t="s">
        <v>2135</v>
      </c>
    </row>
    <row r="187" ht="12.75" customHeight="1">
      <c r="A187" s="8">
        <v>18689.0</v>
      </c>
      <c r="B187" s="8" t="s">
        <v>2135</v>
      </c>
    </row>
    <row r="188" ht="12.75" customHeight="1">
      <c r="A188" s="8">
        <v>18753.0</v>
      </c>
      <c r="B188" s="8" t="s">
        <v>2135</v>
      </c>
    </row>
    <row r="189" ht="12.75" customHeight="1">
      <c r="A189" s="8">
        <v>18822.0</v>
      </c>
      <c r="B189" s="8" t="s">
        <v>2135</v>
      </c>
    </row>
    <row r="190" ht="12.75" customHeight="1">
      <c r="A190" s="8">
        <v>18919.0</v>
      </c>
      <c r="B190" s="8" t="s">
        <v>2135</v>
      </c>
    </row>
    <row r="191" ht="12.75" customHeight="1">
      <c r="A191" s="8">
        <v>19010.0</v>
      </c>
      <c r="B191" s="8" t="s">
        <v>2135</v>
      </c>
    </row>
    <row r="192" ht="12.75" customHeight="1">
      <c r="A192" s="8">
        <v>19078.0</v>
      </c>
      <c r="B192" s="8" t="s">
        <v>2135</v>
      </c>
    </row>
    <row r="193" ht="12.75" customHeight="1">
      <c r="A193" s="8">
        <v>19138.0</v>
      </c>
      <c r="B193" s="8" t="s">
        <v>2135</v>
      </c>
    </row>
    <row r="194" ht="12.75" customHeight="1">
      <c r="A194" s="8">
        <v>19523.0</v>
      </c>
      <c r="B194" s="8" t="s">
        <v>2135</v>
      </c>
    </row>
    <row r="195" ht="12.75" customHeight="1">
      <c r="A195" s="8">
        <v>19616.0</v>
      </c>
      <c r="B195" s="8" t="s">
        <v>2135</v>
      </c>
    </row>
    <row r="196" ht="12.75" customHeight="1">
      <c r="A196" s="8">
        <v>19718.0</v>
      </c>
      <c r="B196" s="8" t="s">
        <v>2135</v>
      </c>
    </row>
    <row r="197" ht="12.75" customHeight="1">
      <c r="A197" s="8">
        <v>20036.0</v>
      </c>
      <c r="B197" s="8" t="s">
        <v>2135</v>
      </c>
    </row>
    <row r="198" ht="12.75" customHeight="1">
      <c r="A198" s="8">
        <v>20134.0</v>
      </c>
      <c r="B198" s="8" t="s">
        <v>2135</v>
      </c>
    </row>
    <row r="199" ht="12.75" customHeight="1">
      <c r="A199" s="8">
        <v>20389.0</v>
      </c>
      <c r="B199" s="8" t="s">
        <v>2135</v>
      </c>
    </row>
    <row r="200" ht="12.75" customHeight="1">
      <c r="A200" s="8">
        <v>20453.0</v>
      </c>
      <c r="B200" s="8" t="s">
        <v>2135</v>
      </c>
    </row>
    <row r="201" ht="12.75" customHeight="1">
      <c r="A201" s="8">
        <v>20480.0</v>
      </c>
      <c r="B201" s="8" t="s">
        <v>2135</v>
      </c>
    </row>
    <row r="202" ht="12.75" customHeight="1">
      <c r="A202" s="8">
        <v>20486.0</v>
      </c>
      <c r="B202" s="8" t="s">
        <v>2135</v>
      </c>
    </row>
    <row r="203" ht="12.75" customHeight="1">
      <c r="A203" s="8">
        <v>20704.0</v>
      </c>
      <c r="B203" s="8" t="s">
        <v>2135</v>
      </c>
    </row>
    <row r="204" ht="12.75" customHeight="1">
      <c r="A204" s="8">
        <v>20743.0</v>
      </c>
      <c r="B204" s="8" t="s">
        <v>2135</v>
      </c>
    </row>
    <row r="205" ht="12.75" customHeight="1">
      <c r="A205" s="8">
        <v>20864.0</v>
      </c>
      <c r="B205" s="8" t="s">
        <v>2135</v>
      </c>
    </row>
    <row r="206" ht="12.75" customHeight="1">
      <c r="A206" s="8">
        <v>20899.0</v>
      </c>
      <c r="B206" s="8" t="s">
        <v>2135</v>
      </c>
    </row>
    <row r="207" ht="12.75" customHeight="1">
      <c r="A207" s="8">
        <v>20934.0</v>
      </c>
      <c r="B207" s="8" t="s">
        <v>2135</v>
      </c>
    </row>
    <row r="208" ht="12.75" customHeight="1">
      <c r="A208" s="8">
        <v>21222.0</v>
      </c>
      <c r="B208" s="8" t="s">
        <v>2135</v>
      </c>
    </row>
    <row r="209" ht="12.75" customHeight="1">
      <c r="A209" s="8">
        <v>21286.0</v>
      </c>
      <c r="B209" s="8" t="s">
        <v>2135</v>
      </c>
    </row>
    <row r="210" ht="12.75" customHeight="1">
      <c r="A210" s="8">
        <v>21346.0</v>
      </c>
      <c r="B210" s="8" t="s">
        <v>2135</v>
      </c>
    </row>
    <row r="211" ht="12.75" customHeight="1">
      <c r="A211" s="8">
        <v>21383.0</v>
      </c>
      <c r="B211" s="8" t="s">
        <v>2135</v>
      </c>
    </row>
    <row r="212" ht="12.75" customHeight="1">
      <c r="A212" s="8">
        <v>21729.0</v>
      </c>
      <c r="B212" s="8" t="s">
        <v>2135</v>
      </c>
    </row>
    <row r="213" ht="12.75" customHeight="1">
      <c r="A213" s="8">
        <v>21824.0</v>
      </c>
      <c r="B213" s="8" t="s">
        <v>2135</v>
      </c>
    </row>
    <row r="214" ht="12.75" customHeight="1">
      <c r="A214" s="8">
        <v>21890.0</v>
      </c>
      <c r="B214" s="8" t="s">
        <v>2135</v>
      </c>
    </row>
    <row r="215" ht="12.75" customHeight="1">
      <c r="A215" s="8">
        <v>22181.0</v>
      </c>
      <c r="B215" s="8" t="s">
        <v>2135</v>
      </c>
    </row>
    <row r="216" ht="12.75" customHeight="1">
      <c r="A216" s="8">
        <v>22402.0</v>
      </c>
      <c r="B216" s="8" t="s">
        <v>2135</v>
      </c>
    </row>
    <row r="217" ht="12.75" customHeight="1">
      <c r="A217" s="8">
        <v>22627.0</v>
      </c>
      <c r="B217" s="8" t="s">
        <v>2135</v>
      </c>
    </row>
    <row r="218" ht="12.75" customHeight="1">
      <c r="A218" s="8">
        <v>22656.0</v>
      </c>
      <c r="B218" s="8" t="s">
        <v>2135</v>
      </c>
    </row>
    <row r="219" ht="12.75" customHeight="1">
      <c r="A219" s="8">
        <v>22661.0</v>
      </c>
      <c r="B219" s="8" t="s">
        <v>2135</v>
      </c>
    </row>
    <row r="220" ht="12.75" customHeight="1">
      <c r="A220" s="8">
        <v>22787.0</v>
      </c>
      <c r="B220" s="8" t="s">
        <v>2135</v>
      </c>
    </row>
    <row r="221" ht="12.75" customHeight="1">
      <c r="A221" s="8">
        <v>22820.0</v>
      </c>
      <c r="B221" s="8" t="s">
        <v>2135</v>
      </c>
    </row>
    <row r="222" ht="12.75" customHeight="1">
      <c r="A222" s="8">
        <v>22947.0</v>
      </c>
      <c r="B222" s="8" t="s">
        <v>2135</v>
      </c>
    </row>
    <row r="223" ht="12.75" customHeight="1">
      <c r="A223" s="8">
        <v>22950.0</v>
      </c>
      <c r="B223" s="8" t="s">
        <v>2135</v>
      </c>
    </row>
    <row r="224" ht="12.75" customHeight="1">
      <c r="A224" s="8">
        <v>23076.0</v>
      </c>
      <c r="B224" s="8" t="s">
        <v>2135</v>
      </c>
    </row>
    <row r="225" ht="12.75" customHeight="1">
      <c r="A225" s="8">
        <v>23168.0</v>
      </c>
      <c r="B225" s="8" t="s">
        <v>2135</v>
      </c>
    </row>
    <row r="226" ht="12.75" customHeight="1">
      <c r="A226" s="8">
        <v>23488.0</v>
      </c>
      <c r="B226" s="8" t="s">
        <v>2135</v>
      </c>
    </row>
    <row r="227" ht="12.75" customHeight="1">
      <c r="A227" s="8">
        <v>23557.0</v>
      </c>
      <c r="B227" s="8" t="s">
        <v>2135</v>
      </c>
    </row>
    <row r="228" ht="12.75" customHeight="1">
      <c r="A228" s="8">
        <v>23559.0</v>
      </c>
      <c r="B228" s="8" t="s">
        <v>2135</v>
      </c>
    </row>
    <row r="229" ht="12.75" customHeight="1">
      <c r="A229" s="8">
        <v>23616.0</v>
      </c>
      <c r="B229" s="8" t="s">
        <v>2135</v>
      </c>
    </row>
    <row r="230" ht="12.75" customHeight="1">
      <c r="A230" s="8">
        <v>23619.0</v>
      </c>
      <c r="B230" s="8" t="s">
        <v>2135</v>
      </c>
    </row>
    <row r="231" ht="12.75" customHeight="1">
      <c r="A231" s="8">
        <v>23748.0</v>
      </c>
      <c r="B231" s="8" t="s">
        <v>2135</v>
      </c>
    </row>
    <row r="232" ht="12.75" customHeight="1">
      <c r="A232" s="8">
        <v>24066.0</v>
      </c>
      <c r="B232" s="8" t="s">
        <v>2135</v>
      </c>
    </row>
    <row r="233" ht="12.75" customHeight="1">
      <c r="A233" s="8">
        <v>24519.0</v>
      </c>
      <c r="B233" s="8" t="s">
        <v>2135</v>
      </c>
    </row>
    <row r="234" ht="12.75" customHeight="1">
      <c r="A234" s="8">
        <v>24707.0</v>
      </c>
      <c r="B234" s="8" t="s">
        <v>2135</v>
      </c>
    </row>
    <row r="235" ht="12.75" customHeight="1">
      <c r="A235" s="8">
        <v>24902.0</v>
      </c>
      <c r="B235" s="8" t="s">
        <v>2135</v>
      </c>
    </row>
    <row r="236" ht="12.75" customHeight="1">
      <c r="A236" s="8">
        <v>25095.0</v>
      </c>
      <c r="B236" s="8" t="s">
        <v>2135</v>
      </c>
    </row>
    <row r="237" ht="12.75" customHeight="1">
      <c r="A237" s="8">
        <v>25152.0</v>
      </c>
      <c r="B237" s="8" t="s">
        <v>2135</v>
      </c>
    </row>
    <row r="238" ht="12.75" customHeight="1">
      <c r="A238" s="8">
        <v>25157.0</v>
      </c>
      <c r="B238" s="8" t="s">
        <v>2135</v>
      </c>
    </row>
    <row r="239" ht="12.75" customHeight="1">
      <c r="A239" s="8">
        <v>25478.0</v>
      </c>
      <c r="B239" s="8" t="s">
        <v>2135</v>
      </c>
    </row>
    <row r="240" ht="12.75" customHeight="1">
      <c r="A240" s="8">
        <v>25479.0</v>
      </c>
      <c r="B240" s="8" t="s">
        <v>2135</v>
      </c>
    </row>
    <row r="241" ht="12.75" customHeight="1">
      <c r="A241" s="8">
        <v>25735.0</v>
      </c>
      <c r="B241" s="8" t="s">
        <v>2135</v>
      </c>
    </row>
    <row r="242" ht="12.75" customHeight="1">
      <c r="A242" s="8">
        <v>25799.0</v>
      </c>
      <c r="B242" s="8" t="s">
        <v>2135</v>
      </c>
    </row>
    <row r="243" ht="12.75" customHeight="1">
      <c r="A243" s="8">
        <v>25828.0</v>
      </c>
      <c r="B243" s="8" t="s">
        <v>2135</v>
      </c>
    </row>
    <row r="244" ht="12.75" customHeight="1">
      <c r="A244" s="8">
        <v>25952.0</v>
      </c>
      <c r="B244" s="8" t="s">
        <v>2135</v>
      </c>
    </row>
    <row r="245" ht="12.75" customHeight="1">
      <c r="A245" s="8">
        <v>26240.0</v>
      </c>
      <c r="B245" s="8" t="s">
        <v>2135</v>
      </c>
    </row>
    <row r="246" ht="12.75" customHeight="1">
      <c r="A246" s="8">
        <v>26372.0</v>
      </c>
      <c r="B246" s="8" t="s">
        <v>2135</v>
      </c>
    </row>
    <row r="247" ht="12.75" customHeight="1">
      <c r="A247" s="8">
        <v>26784.0</v>
      </c>
      <c r="B247" s="8" t="s">
        <v>2135</v>
      </c>
    </row>
    <row r="248" ht="12.75" customHeight="1">
      <c r="A248" s="8">
        <v>26852.0</v>
      </c>
      <c r="B248" s="8" t="s">
        <v>2135</v>
      </c>
    </row>
    <row r="249" ht="12.75" customHeight="1">
      <c r="A249" s="8">
        <v>26881.0</v>
      </c>
      <c r="B249" s="8" t="s">
        <v>2135</v>
      </c>
    </row>
    <row r="250" ht="12.75" customHeight="1">
      <c r="A250" s="8">
        <v>26982.0</v>
      </c>
      <c r="B250" s="8" t="s">
        <v>2135</v>
      </c>
    </row>
    <row r="251" ht="12.75" customHeight="1">
      <c r="A251" s="8">
        <v>27137.0</v>
      </c>
      <c r="B251" s="8" t="s">
        <v>2135</v>
      </c>
    </row>
    <row r="252" ht="12.75" customHeight="1">
      <c r="A252" s="8">
        <v>27490.0</v>
      </c>
      <c r="B252" s="8" t="s">
        <v>2135</v>
      </c>
    </row>
    <row r="253" ht="12.75" customHeight="1">
      <c r="A253" s="8">
        <v>27712.0</v>
      </c>
      <c r="B253" s="8" t="s">
        <v>2135</v>
      </c>
    </row>
    <row r="254" ht="12.75" customHeight="1">
      <c r="A254" s="8">
        <v>27744.0</v>
      </c>
      <c r="B254" s="8" t="s">
        <v>2135</v>
      </c>
    </row>
    <row r="255" ht="12.75" customHeight="1">
      <c r="A255" s="8">
        <v>27750.0</v>
      </c>
      <c r="B255" s="8" t="s">
        <v>2135</v>
      </c>
    </row>
    <row r="256" ht="12.75" customHeight="1">
      <c r="A256" s="8">
        <v>28003.0</v>
      </c>
      <c r="B256" s="8" t="s">
        <v>2135</v>
      </c>
    </row>
    <row r="257" ht="12.75" customHeight="1">
      <c r="A257" s="8">
        <v>28037.0</v>
      </c>
      <c r="B257" s="8" t="s">
        <v>2135</v>
      </c>
    </row>
    <row r="258" ht="12.75" customHeight="1">
      <c r="A258" s="8">
        <v>28291.0</v>
      </c>
      <c r="B258" s="8" t="s">
        <v>2135</v>
      </c>
    </row>
    <row r="259" ht="12.75" customHeight="1">
      <c r="A259" s="8">
        <v>28387.0</v>
      </c>
      <c r="B259" s="8" t="s">
        <v>2135</v>
      </c>
    </row>
    <row r="260" ht="12.75" customHeight="1">
      <c r="A260" s="8">
        <v>28419.0</v>
      </c>
      <c r="B260" s="8" t="s">
        <v>2135</v>
      </c>
    </row>
    <row r="261" ht="12.75" customHeight="1">
      <c r="A261" s="8">
        <v>28455.0</v>
      </c>
      <c r="B261" s="8" t="s">
        <v>2135</v>
      </c>
    </row>
    <row r="262" ht="12.75" customHeight="1">
      <c r="A262" s="8">
        <v>28544.0</v>
      </c>
      <c r="B262" s="8" t="s">
        <v>2135</v>
      </c>
    </row>
    <row r="263" ht="12.75" customHeight="1">
      <c r="A263" s="8">
        <v>28928.0</v>
      </c>
      <c r="B263" s="8" t="s">
        <v>2135</v>
      </c>
    </row>
    <row r="264" ht="12.75" customHeight="1">
      <c r="A264" s="8">
        <v>29095.0</v>
      </c>
      <c r="B264" s="8" t="s">
        <v>2135</v>
      </c>
    </row>
    <row r="265" ht="12.75" customHeight="1">
      <c r="A265" s="8">
        <v>29318.0</v>
      </c>
      <c r="B265" s="8" t="s">
        <v>2135</v>
      </c>
    </row>
    <row r="266" ht="12.75" customHeight="1">
      <c r="A266" s="8">
        <v>29376.0</v>
      </c>
      <c r="B266" s="8" t="s">
        <v>2135</v>
      </c>
    </row>
    <row r="267" ht="12.75" customHeight="1">
      <c r="A267" s="8">
        <v>29380.0</v>
      </c>
      <c r="B267" s="8" t="s">
        <v>2135</v>
      </c>
    </row>
    <row r="268" ht="12.75" customHeight="1">
      <c r="A268" s="8">
        <v>29410.0</v>
      </c>
      <c r="B268" s="8" t="s">
        <v>2135</v>
      </c>
    </row>
    <row r="269" ht="12.75" customHeight="1">
      <c r="A269" s="8">
        <v>29505.0</v>
      </c>
      <c r="B269" s="8" t="s">
        <v>2135</v>
      </c>
    </row>
    <row r="270" ht="12.75" customHeight="1">
      <c r="A270" s="8">
        <v>29506.0</v>
      </c>
      <c r="B270" s="8" t="s">
        <v>2135</v>
      </c>
    </row>
    <row r="271" ht="12.75" customHeight="1">
      <c r="A271" s="8">
        <v>29861.0</v>
      </c>
      <c r="B271" s="8" t="s">
        <v>2135</v>
      </c>
    </row>
    <row r="272" ht="12.75" customHeight="1">
      <c r="A272" s="8">
        <v>29991.0</v>
      </c>
      <c r="B272" s="8" t="s">
        <v>2135</v>
      </c>
    </row>
    <row r="273" ht="12.75" customHeight="1">
      <c r="A273" s="8">
        <v>30176.0</v>
      </c>
      <c r="B273" s="8" t="s">
        <v>2135</v>
      </c>
    </row>
    <row r="274" ht="12.75" customHeight="1">
      <c r="A274" s="8">
        <v>30403.0</v>
      </c>
      <c r="B274" s="8" t="s">
        <v>2135</v>
      </c>
    </row>
    <row r="275" ht="12.75" customHeight="1">
      <c r="A275" s="8">
        <v>30469.0</v>
      </c>
      <c r="B275" s="8" t="s">
        <v>2135</v>
      </c>
    </row>
    <row r="276" ht="12.75" customHeight="1">
      <c r="A276" s="8">
        <v>31073.0</v>
      </c>
      <c r="B276" s="8" t="s">
        <v>2135</v>
      </c>
    </row>
    <row r="277" ht="12.75" customHeight="1">
      <c r="A277" s="8">
        <v>31232.0</v>
      </c>
      <c r="B277" s="8" t="s">
        <v>2135</v>
      </c>
    </row>
    <row r="278" ht="12.75" customHeight="1">
      <c r="A278" s="8">
        <v>31303.0</v>
      </c>
      <c r="B278" s="8" t="s">
        <v>2135</v>
      </c>
    </row>
    <row r="279" ht="12.75" customHeight="1">
      <c r="A279" s="8">
        <v>31682.0</v>
      </c>
      <c r="B279" s="8" t="s">
        <v>2135</v>
      </c>
    </row>
    <row r="280" ht="12.75" customHeight="1">
      <c r="A280" s="8">
        <v>31844.0</v>
      </c>
      <c r="B280" s="8" t="s">
        <v>2135</v>
      </c>
    </row>
    <row r="281" ht="12.75" customHeight="1">
      <c r="A281" s="8">
        <v>31907.0</v>
      </c>
      <c r="B281" s="8" t="s">
        <v>2135</v>
      </c>
    </row>
    <row r="282" ht="12.75" customHeight="1">
      <c r="A282" s="8">
        <v>32036.0</v>
      </c>
      <c r="B282" s="8" t="s">
        <v>2135</v>
      </c>
    </row>
    <row r="283" ht="12.75" customHeight="1">
      <c r="A283" s="8">
        <v>32582.0</v>
      </c>
      <c r="B283" s="8" t="s">
        <v>2135</v>
      </c>
    </row>
    <row r="284" ht="12.75" customHeight="1">
      <c r="A284" s="8">
        <v>32901.0</v>
      </c>
      <c r="B284" s="8" t="s">
        <v>2135</v>
      </c>
    </row>
    <row r="285" ht="12.75" customHeight="1">
      <c r="A285" s="8">
        <v>32931.0</v>
      </c>
      <c r="B285" s="8" t="s">
        <v>2135</v>
      </c>
    </row>
    <row r="286" ht="12.75" customHeight="1">
      <c r="A286" s="8">
        <v>32966.0</v>
      </c>
      <c r="B286" s="8" t="s">
        <v>2135</v>
      </c>
    </row>
    <row r="287" ht="12.75" customHeight="1">
      <c r="A287" s="8">
        <v>32996.0</v>
      </c>
      <c r="B287" s="8" t="s">
        <v>2135</v>
      </c>
    </row>
    <row r="288" ht="12.75" customHeight="1">
      <c r="A288" s="8">
        <v>32998.0</v>
      </c>
      <c r="B288" s="8" t="s">
        <v>2135</v>
      </c>
    </row>
    <row r="289" ht="12.75" customHeight="1">
      <c r="A289" s="8">
        <v>33283.0</v>
      </c>
      <c r="B289" s="8" t="s">
        <v>2135</v>
      </c>
    </row>
    <row r="290" ht="12.75" customHeight="1">
      <c r="A290" s="8">
        <v>33317.0</v>
      </c>
      <c r="B290" s="8" t="s">
        <v>2135</v>
      </c>
    </row>
    <row r="291" ht="12.75" customHeight="1">
      <c r="A291" s="8">
        <v>33477.0</v>
      </c>
      <c r="B291" s="8" t="s">
        <v>2135</v>
      </c>
    </row>
    <row r="292" ht="12.75" customHeight="1">
      <c r="A292" s="8">
        <v>33510.0</v>
      </c>
      <c r="B292" s="8" t="s">
        <v>2135</v>
      </c>
    </row>
    <row r="293" ht="12.75" customHeight="1">
      <c r="A293" s="8">
        <v>33541.0</v>
      </c>
      <c r="B293" s="8" t="s">
        <v>2135</v>
      </c>
    </row>
    <row r="294" ht="12.75" customHeight="1">
      <c r="A294" s="8">
        <v>33637.0</v>
      </c>
      <c r="B294" s="8" t="s">
        <v>2135</v>
      </c>
    </row>
    <row r="295" ht="12.75" customHeight="1">
      <c r="A295" s="8">
        <v>33921.0</v>
      </c>
      <c r="B295" s="8" t="s">
        <v>2135</v>
      </c>
    </row>
    <row r="296" ht="12.75" customHeight="1">
      <c r="A296" s="8">
        <v>34117.0</v>
      </c>
      <c r="B296" s="8" t="s">
        <v>2135</v>
      </c>
    </row>
    <row r="297" ht="12.75" customHeight="1">
      <c r="A297" s="8">
        <v>34209.0</v>
      </c>
      <c r="B297" s="8" t="s">
        <v>2135</v>
      </c>
    </row>
    <row r="298" ht="12.75" customHeight="1">
      <c r="A298" s="8">
        <v>34338.0</v>
      </c>
      <c r="B298" s="8" t="s">
        <v>2135</v>
      </c>
    </row>
    <row r="299" ht="12.75" customHeight="1">
      <c r="A299" s="8">
        <v>34532.0</v>
      </c>
      <c r="B299" s="8" t="s">
        <v>2135</v>
      </c>
    </row>
    <row r="300" ht="12.75" customHeight="1">
      <c r="A300" s="8">
        <v>34658.0</v>
      </c>
      <c r="B300" s="8" t="s">
        <v>2135</v>
      </c>
    </row>
    <row r="301" ht="12.75" customHeight="1">
      <c r="A301" s="8">
        <v>34661.0</v>
      </c>
      <c r="B301" s="8" t="s">
        <v>2135</v>
      </c>
    </row>
    <row r="302" ht="12.75" customHeight="1">
      <c r="A302" s="8">
        <v>34689.0</v>
      </c>
      <c r="B302" s="8" t="s">
        <v>2135</v>
      </c>
    </row>
    <row r="303" ht="12.75" customHeight="1">
      <c r="A303" s="8">
        <v>34916.0</v>
      </c>
      <c r="B303" s="8" t="s">
        <v>2135</v>
      </c>
    </row>
    <row r="304" ht="12.75" customHeight="1">
      <c r="A304" s="8">
        <v>35047.0</v>
      </c>
      <c r="B304" s="8" t="s">
        <v>2135</v>
      </c>
    </row>
    <row r="305" ht="12.75" customHeight="1">
      <c r="A305" s="8">
        <v>35110.0</v>
      </c>
      <c r="B305" s="8" t="s">
        <v>2135</v>
      </c>
    </row>
    <row r="306" ht="12.75" customHeight="1">
      <c r="A306" s="8">
        <v>35111.0</v>
      </c>
      <c r="B306" s="8" t="s">
        <v>2135</v>
      </c>
    </row>
    <row r="307" ht="12.75" customHeight="1">
      <c r="A307" s="8">
        <v>35137.0</v>
      </c>
      <c r="B307" s="8" t="s">
        <v>2135</v>
      </c>
    </row>
    <row r="308" ht="12.75" customHeight="1">
      <c r="A308" s="8">
        <v>35366.0</v>
      </c>
      <c r="B308" s="8" t="s">
        <v>2135</v>
      </c>
    </row>
    <row r="309" ht="12.75" customHeight="1">
      <c r="A309" s="8">
        <v>35492.0</v>
      </c>
      <c r="B309" s="8" t="s">
        <v>2135</v>
      </c>
    </row>
    <row r="310" ht="12.75" customHeight="1">
      <c r="A310" s="8">
        <v>35554.0</v>
      </c>
      <c r="B310" s="8" t="s">
        <v>2135</v>
      </c>
    </row>
    <row r="311" ht="12.75" customHeight="1">
      <c r="A311" s="8">
        <v>35588.0</v>
      </c>
      <c r="B311" s="8" t="s">
        <v>2135</v>
      </c>
    </row>
    <row r="312" ht="12.75" customHeight="1">
      <c r="A312" s="8">
        <v>35687.0</v>
      </c>
      <c r="B312" s="8" t="s">
        <v>2135</v>
      </c>
    </row>
    <row r="313" ht="12.75" customHeight="1">
      <c r="A313" s="8">
        <v>35744.0</v>
      </c>
      <c r="B313" s="8" t="s">
        <v>2135</v>
      </c>
    </row>
    <row r="314" ht="12.75" customHeight="1">
      <c r="A314" s="8">
        <v>35877.0</v>
      </c>
      <c r="B314" s="8" t="s">
        <v>2135</v>
      </c>
    </row>
    <row r="315" ht="12.75" customHeight="1">
      <c r="A315" s="8">
        <v>35910.0</v>
      </c>
      <c r="B315" s="8" t="s">
        <v>2135</v>
      </c>
    </row>
    <row r="316" ht="12.75" customHeight="1">
      <c r="A316" s="8">
        <v>35936.0</v>
      </c>
      <c r="B316" s="8" t="s">
        <v>2135</v>
      </c>
    </row>
    <row r="317" ht="12.75" customHeight="1">
      <c r="A317" s="8">
        <v>36038.0</v>
      </c>
      <c r="B317" s="8" t="s">
        <v>2135</v>
      </c>
    </row>
    <row r="318" ht="12.75" customHeight="1">
      <c r="A318" s="8">
        <v>36067.0</v>
      </c>
      <c r="B318" s="8" t="s">
        <v>2135</v>
      </c>
    </row>
    <row r="319" ht="12.75" customHeight="1">
      <c r="A319" s="8">
        <v>36160.0</v>
      </c>
      <c r="B319" s="8" t="s">
        <v>2135</v>
      </c>
    </row>
    <row r="320" ht="12.75" customHeight="1">
      <c r="A320" s="8">
        <v>36262.0</v>
      </c>
      <c r="B320" s="8" t="s">
        <v>2135</v>
      </c>
    </row>
    <row r="321" ht="12.75" customHeight="1">
      <c r="A321" s="8">
        <v>36449.0</v>
      </c>
      <c r="B321" s="8" t="s">
        <v>2135</v>
      </c>
    </row>
    <row r="322" ht="12.75" customHeight="1">
      <c r="A322" s="8">
        <v>36609.0</v>
      </c>
      <c r="B322" s="8" t="s">
        <v>2135</v>
      </c>
    </row>
    <row r="323" ht="12.75" customHeight="1">
      <c r="A323" s="8">
        <v>36676.0</v>
      </c>
      <c r="B323" s="8" t="s">
        <v>2135</v>
      </c>
    </row>
    <row r="324" ht="12.75" customHeight="1">
      <c r="A324" s="8">
        <v>36679.0</v>
      </c>
      <c r="B324" s="8" t="s">
        <v>2135</v>
      </c>
    </row>
    <row r="325" ht="12.75" customHeight="1">
      <c r="A325" s="8">
        <v>36705.0</v>
      </c>
      <c r="B325" s="8" t="s">
        <v>2135</v>
      </c>
    </row>
    <row r="326" ht="12.75" customHeight="1">
      <c r="A326" s="8">
        <v>36707.0</v>
      </c>
      <c r="B326" s="8" t="s">
        <v>2135</v>
      </c>
    </row>
    <row r="327" ht="12.75" customHeight="1">
      <c r="A327" s="8">
        <v>36743.0</v>
      </c>
      <c r="B327" s="8" t="s">
        <v>2135</v>
      </c>
    </row>
    <row r="328" ht="12.75" customHeight="1">
      <c r="A328" s="8">
        <v>36772.0</v>
      </c>
      <c r="B328" s="8" t="s">
        <v>2135</v>
      </c>
    </row>
    <row r="329" ht="12.75" customHeight="1">
      <c r="A329" s="8">
        <v>36773.0</v>
      </c>
      <c r="B329" s="8" t="s">
        <v>2135</v>
      </c>
    </row>
    <row r="330" ht="12.75" customHeight="1">
      <c r="A330" s="8">
        <v>36932.0</v>
      </c>
      <c r="B330" s="8" t="s">
        <v>2135</v>
      </c>
    </row>
    <row r="331" ht="12.75" customHeight="1">
      <c r="A331" s="8">
        <v>36934.0</v>
      </c>
      <c r="B331" s="8" t="s">
        <v>2135</v>
      </c>
    </row>
    <row r="332" ht="12.75" customHeight="1">
      <c r="A332" s="8">
        <v>36992.0</v>
      </c>
      <c r="B332" s="8" t="s">
        <v>2135</v>
      </c>
    </row>
    <row r="333" ht="12.75" customHeight="1">
      <c r="A333" s="8">
        <v>36994.0</v>
      </c>
      <c r="B333" s="8" t="s">
        <v>2135</v>
      </c>
    </row>
    <row r="334" ht="12.75" customHeight="1">
      <c r="A334" s="8">
        <v>36998.0</v>
      </c>
      <c r="B334" s="8" t="s">
        <v>2135</v>
      </c>
    </row>
    <row r="335" ht="12.75" customHeight="1">
      <c r="A335" s="8">
        <v>36999.0</v>
      </c>
      <c r="B335" s="8" t="s">
        <v>2135</v>
      </c>
    </row>
    <row r="336" ht="12.75" customHeight="1">
      <c r="A336" s="8">
        <v>37250.0</v>
      </c>
      <c r="B336" s="8" t="s">
        <v>2135</v>
      </c>
    </row>
    <row r="337" ht="12.75" customHeight="1">
      <c r="A337" s="8">
        <v>37380.0</v>
      </c>
      <c r="B337" s="8" t="s">
        <v>2135</v>
      </c>
    </row>
    <row r="338" ht="12.75" customHeight="1">
      <c r="A338" s="8">
        <v>37414.0</v>
      </c>
      <c r="B338" s="8" t="s">
        <v>2135</v>
      </c>
    </row>
    <row r="339" ht="12.75" customHeight="1">
      <c r="A339" s="8">
        <v>37572.0</v>
      </c>
      <c r="B339" s="8" t="s">
        <v>2135</v>
      </c>
    </row>
    <row r="340" ht="12.75" customHeight="1">
      <c r="A340" s="8">
        <v>37760.0</v>
      </c>
      <c r="B340" s="8" t="s">
        <v>2135</v>
      </c>
    </row>
    <row r="341" ht="12.75" customHeight="1">
      <c r="A341" s="8">
        <v>37860.0</v>
      </c>
      <c r="B341" s="8" t="s">
        <v>2135</v>
      </c>
    </row>
    <row r="342" ht="12.75" customHeight="1">
      <c r="A342" s="8">
        <v>37862.0</v>
      </c>
      <c r="B342" s="8" t="s">
        <v>2135</v>
      </c>
    </row>
    <row r="343" ht="12.75" customHeight="1">
      <c r="A343" s="8">
        <v>37924.0</v>
      </c>
      <c r="B343" s="8" t="s">
        <v>2135</v>
      </c>
    </row>
    <row r="344" ht="12.75" customHeight="1">
      <c r="A344" s="8">
        <v>38050.0</v>
      </c>
      <c r="B344" s="8" t="s">
        <v>2135</v>
      </c>
    </row>
    <row r="345" ht="12.75" customHeight="1">
      <c r="A345" s="8">
        <v>38210.0</v>
      </c>
      <c r="B345" s="8" t="s">
        <v>2135</v>
      </c>
    </row>
    <row r="346" ht="12.75" customHeight="1">
      <c r="A346" s="8">
        <v>38240.0</v>
      </c>
      <c r="B346" s="8" t="s">
        <v>2135</v>
      </c>
    </row>
    <row r="347" ht="12.75" customHeight="1">
      <c r="A347" s="8">
        <v>38272.0</v>
      </c>
      <c r="B347" s="8" t="s">
        <v>2135</v>
      </c>
    </row>
    <row r="348" ht="12.75" customHeight="1">
      <c r="A348" s="8">
        <v>38400.0</v>
      </c>
      <c r="B348" s="8" t="s">
        <v>2135</v>
      </c>
    </row>
    <row r="349" ht="12.75" customHeight="1">
      <c r="A349" s="8">
        <v>38530.0</v>
      </c>
      <c r="B349" s="8" t="s">
        <v>2135</v>
      </c>
    </row>
    <row r="350" ht="12.75" customHeight="1">
      <c r="A350" s="8">
        <v>38596.0</v>
      </c>
      <c r="B350" s="8" t="s">
        <v>2135</v>
      </c>
    </row>
    <row r="351" ht="12.75" customHeight="1">
      <c r="A351" s="8">
        <v>38661.0</v>
      </c>
      <c r="B351" s="8" t="s">
        <v>2135</v>
      </c>
    </row>
    <row r="352" ht="12.75" customHeight="1">
      <c r="A352" s="8">
        <v>38787.0</v>
      </c>
      <c r="B352" s="8" t="s">
        <v>2135</v>
      </c>
    </row>
    <row r="353" ht="12.75" customHeight="1">
      <c r="A353" s="8">
        <v>39043.0</v>
      </c>
      <c r="B353" s="8" t="s">
        <v>2135</v>
      </c>
    </row>
    <row r="354" ht="12.75" customHeight="1">
      <c r="A354" s="8">
        <v>39075.0</v>
      </c>
      <c r="B354" s="8" t="s">
        <v>2135</v>
      </c>
    </row>
    <row r="355" ht="12.75" customHeight="1">
      <c r="A355" s="8">
        <v>39169.0</v>
      </c>
      <c r="B355" s="8" t="s">
        <v>2135</v>
      </c>
    </row>
    <row r="356" ht="12.75" customHeight="1">
      <c r="A356" s="8">
        <v>39333.0</v>
      </c>
      <c r="B356" s="8" t="s">
        <v>2135</v>
      </c>
    </row>
    <row r="357" ht="12.75" customHeight="1">
      <c r="A357" s="8">
        <v>39490.0</v>
      </c>
      <c r="B357" s="8" t="s">
        <v>2135</v>
      </c>
    </row>
    <row r="358" ht="12.75" customHeight="1">
      <c r="A358" s="8">
        <v>39555.0</v>
      </c>
      <c r="B358" s="8" t="s">
        <v>2135</v>
      </c>
    </row>
    <row r="359" ht="12.75" customHeight="1">
      <c r="A359" s="8">
        <v>39619.0</v>
      </c>
      <c r="B359" s="8" t="s">
        <v>2135</v>
      </c>
    </row>
    <row r="360" ht="12.75" customHeight="1">
      <c r="A360" s="8">
        <v>39872.0</v>
      </c>
      <c r="B360" s="8" t="s">
        <v>2135</v>
      </c>
    </row>
    <row r="361" ht="12.75" customHeight="1">
      <c r="A361" s="8">
        <v>39904.0</v>
      </c>
      <c r="B361" s="8" t="s">
        <v>2135</v>
      </c>
    </row>
    <row r="362" ht="12.75" customHeight="1">
      <c r="A362" s="8">
        <v>39943.0</v>
      </c>
      <c r="B362" s="8" t="s">
        <v>2135</v>
      </c>
    </row>
    <row r="363" ht="12.75" customHeight="1">
      <c r="A363" s="8">
        <v>40097.0</v>
      </c>
      <c r="B363" s="8" t="s">
        <v>2135</v>
      </c>
    </row>
    <row r="364" ht="12.75" customHeight="1">
      <c r="A364" s="8">
        <v>40132.0</v>
      </c>
      <c r="B364" s="8" t="s">
        <v>2135</v>
      </c>
    </row>
    <row r="365" ht="12.75" customHeight="1">
      <c r="A365" s="8">
        <v>40134.0</v>
      </c>
      <c r="B365" s="8" t="s">
        <v>2135</v>
      </c>
    </row>
    <row r="366" ht="12.75" customHeight="1">
      <c r="A366" s="8">
        <v>40160.0</v>
      </c>
      <c r="B366" s="8" t="s">
        <v>2135</v>
      </c>
    </row>
    <row r="367" ht="12.75" customHeight="1">
      <c r="A367" s="8">
        <v>40354.0</v>
      </c>
      <c r="B367" s="8" t="s">
        <v>2135</v>
      </c>
    </row>
    <row r="368" ht="12.75" customHeight="1">
      <c r="A368" s="8">
        <v>40802.0</v>
      </c>
      <c r="B368" s="8" t="s">
        <v>2135</v>
      </c>
    </row>
    <row r="369" ht="12.75" customHeight="1">
      <c r="A369" s="8">
        <v>40806.0</v>
      </c>
      <c r="B369" s="8" t="s">
        <v>2135</v>
      </c>
    </row>
    <row r="370" ht="12.75" customHeight="1">
      <c r="A370" s="8">
        <v>41059.0</v>
      </c>
      <c r="B370" s="8" t="s">
        <v>2135</v>
      </c>
    </row>
    <row r="371" ht="12.75" customHeight="1">
      <c r="A371" s="8">
        <v>41120.0</v>
      </c>
      <c r="B371" s="8" t="s">
        <v>2135</v>
      </c>
    </row>
    <row r="372" ht="12.75" customHeight="1">
      <c r="A372" s="8">
        <v>41186.0</v>
      </c>
      <c r="B372" s="8" t="s">
        <v>2135</v>
      </c>
    </row>
    <row r="373" ht="12.75" customHeight="1">
      <c r="A373" s="8">
        <v>41216.0</v>
      </c>
      <c r="B373" s="8" t="s">
        <v>2135</v>
      </c>
    </row>
    <row r="374" ht="12.75" customHeight="1">
      <c r="A374" s="8">
        <v>41508.0</v>
      </c>
      <c r="B374" s="8" t="s">
        <v>2135</v>
      </c>
    </row>
    <row r="375" ht="12.75" customHeight="1">
      <c r="A375" s="8">
        <v>41760.0</v>
      </c>
      <c r="B375" s="8" t="s">
        <v>2135</v>
      </c>
    </row>
    <row r="376" ht="12.75" customHeight="1">
      <c r="A376" s="8">
        <v>41861.0</v>
      </c>
      <c r="B376" s="8" t="s">
        <v>2135</v>
      </c>
    </row>
    <row r="377" ht="12.75" customHeight="1">
      <c r="A377" s="8">
        <v>42342.0</v>
      </c>
      <c r="B377" s="8" t="s">
        <v>2135</v>
      </c>
    </row>
    <row r="378" ht="12.75" customHeight="1">
      <c r="A378" s="8">
        <v>42375.0</v>
      </c>
      <c r="B378" s="8" t="s">
        <v>2135</v>
      </c>
    </row>
    <row r="379" ht="12.75" customHeight="1">
      <c r="A379" s="8">
        <v>42436.0</v>
      </c>
      <c r="B379" s="8" t="s">
        <v>2135</v>
      </c>
    </row>
    <row r="380" ht="12.75" customHeight="1">
      <c r="A380" s="8">
        <v>42563.0</v>
      </c>
      <c r="B380" s="8" t="s">
        <v>2135</v>
      </c>
    </row>
    <row r="381" ht="12.75" customHeight="1">
      <c r="A381" s="8">
        <v>42628.0</v>
      </c>
      <c r="B381" s="8" t="s">
        <v>2135</v>
      </c>
    </row>
    <row r="382" ht="12.75" customHeight="1">
      <c r="A382" s="8">
        <v>42788.0</v>
      </c>
      <c r="B382" s="8" t="s">
        <v>2135</v>
      </c>
    </row>
    <row r="383" ht="12.75" customHeight="1">
      <c r="A383" s="8">
        <v>42823.0</v>
      </c>
      <c r="B383" s="8" t="s">
        <v>2135</v>
      </c>
    </row>
    <row r="384" ht="12.75" customHeight="1">
      <c r="A384" s="8">
        <v>42850.0</v>
      </c>
      <c r="B384" s="8" t="s">
        <v>2135</v>
      </c>
    </row>
    <row r="385" ht="12.75" customHeight="1">
      <c r="A385" s="8">
        <v>42912.0</v>
      </c>
      <c r="B385" s="8" t="s">
        <v>2135</v>
      </c>
    </row>
    <row r="386" ht="12.75" customHeight="1">
      <c r="A386" s="8">
        <v>42945.0</v>
      </c>
      <c r="B386" s="8" t="s">
        <v>2135</v>
      </c>
    </row>
    <row r="387" ht="12.75" customHeight="1">
      <c r="A387" s="8">
        <v>43138.0</v>
      </c>
      <c r="B387" s="8" t="s">
        <v>2135</v>
      </c>
    </row>
    <row r="388" ht="12.75" customHeight="1">
      <c r="A388" s="8">
        <v>43140.0</v>
      </c>
      <c r="B388" s="8" t="s">
        <v>2135</v>
      </c>
    </row>
    <row r="389" ht="12.75" customHeight="1">
      <c r="A389" s="8">
        <v>43203.0</v>
      </c>
      <c r="B389" s="8" t="s">
        <v>2135</v>
      </c>
    </row>
    <row r="390" ht="12.75" customHeight="1">
      <c r="A390" s="8">
        <v>43269.0</v>
      </c>
      <c r="B390" s="8" t="s">
        <v>2135</v>
      </c>
    </row>
    <row r="391" ht="12.75" customHeight="1">
      <c r="A391" s="8">
        <v>43488.0</v>
      </c>
      <c r="B391" s="8" t="s">
        <v>2135</v>
      </c>
    </row>
    <row r="392" ht="12.75" customHeight="1">
      <c r="A392" s="8">
        <v>43494.0</v>
      </c>
      <c r="B392" s="8" t="s">
        <v>2135</v>
      </c>
    </row>
    <row r="393" ht="12.75" customHeight="1">
      <c r="A393" s="8">
        <v>43585.0</v>
      </c>
      <c r="B393" s="8" t="s">
        <v>2135</v>
      </c>
    </row>
    <row r="394" ht="12.75" customHeight="1">
      <c r="A394" s="8">
        <v>43713.0</v>
      </c>
      <c r="B394" s="8" t="s">
        <v>2135</v>
      </c>
    </row>
    <row r="395" ht="12.75" customHeight="1">
      <c r="A395" s="8">
        <v>44098.0</v>
      </c>
      <c r="B395" s="8" t="s">
        <v>2135</v>
      </c>
    </row>
    <row r="396" ht="12.75" customHeight="1">
      <c r="A396" s="8">
        <v>44292.0</v>
      </c>
      <c r="B396" s="8" t="s">
        <v>2135</v>
      </c>
    </row>
    <row r="397" ht="12.75" customHeight="1">
      <c r="A397" s="8">
        <v>44486.0</v>
      </c>
      <c r="B397" s="8" t="s">
        <v>2135</v>
      </c>
    </row>
    <row r="398" ht="12.75" customHeight="1">
      <c r="A398" s="8">
        <v>44579.0</v>
      </c>
      <c r="B398" s="8" t="s">
        <v>2135</v>
      </c>
    </row>
    <row r="399" ht="12.75" customHeight="1">
      <c r="A399" s="8">
        <v>44583.0</v>
      </c>
      <c r="B399" s="8" t="s">
        <v>2135</v>
      </c>
    </row>
    <row r="400" ht="12.75" customHeight="1">
      <c r="A400" s="8">
        <v>44869.0</v>
      </c>
      <c r="B400" s="8" t="s">
        <v>2135</v>
      </c>
    </row>
    <row r="401" ht="12.75" customHeight="1">
      <c r="A401" s="8">
        <v>44962.0</v>
      </c>
      <c r="B401" s="8" t="s">
        <v>2135</v>
      </c>
    </row>
    <row r="402" ht="12.75" customHeight="1">
      <c r="A402" s="8">
        <v>45127.0</v>
      </c>
      <c r="B402" s="8" t="s">
        <v>2135</v>
      </c>
    </row>
    <row r="403" ht="12.75" customHeight="1">
      <c r="A403" s="8">
        <v>45605.0</v>
      </c>
      <c r="B403" s="8" t="s">
        <v>2135</v>
      </c>
    </row>
    <row r="404" ht="12.75" customHeight="1">
      <c r="A404" s="8">
        <v>45632.0</v>
      </c>
      <c r="B404" s="8" t="s">
        <v>2135</v>
      </c>
    </row>
    <row r="405" ht="12.75" customHeight="1">
      <c r="A405" s="8">
        <v>45698.0</v>
      </c>
      <c r="B405" s="8" t="s">
        <v>2135</v>
      </c>
    </row>
    <row r="406" ht="12.75" customHeight="1">
      <c r="A406" s="8">
        <v>45767.0</v>
      </c>
      <c r="B406" s="8" t="s">
        <v>2135</v>
      </c>
    </row>
    <row r="407" ht="12.75" customHeight="1">
      <c r="A407" s="8">
        <v>45794.0</v>
      </c>
      <c r="B407" s="8" t="s">
        <v>2135</v>
      </c>
    </row>
    <row r="408" ht="12.75" customHeight="1">
      <c r="A408" s="8">
        <v>45863.0</v>
      </c>
      <c r="B408" s="8" t="s">
        <v>2135</v>
      </c>
    </row>
    <row r="409" ht="12.75" customHeight="1">
      <c r="A409" s="8">
        <v>46052.0</v>
      </c>
      <c r="B409" s="8" t="s">
        <v>2135</v>
      </c>
    </row>
    <row r="410" ht="12.75" customHeight="1">
      <c r="A410" s="8">
        <v>46276.0</v>
      </c>
      <c r="B410" s="8" t="s">
        <v>2135</v>
      </c>
    </row>
    <row r="411" ht="12.75" customHeight="1">
      <c r="A411" s="8">
        <v>46311.0</v>
      </c>
      <c r="B411" s="8" t="s">
        <v>2135</v>
      </c>
    </row>
    <row r="412" ht="12.75" customHeight="1">
      <c r="A412" s="8">
        <v>46341.0</v>
      </c>
      <c r="B412" s="8" t="s">
        <v>2135</v>
      </c>
    </row>
    <row r="413" ht="12.75" customHeight="1">
      <c r="A413" s="8">
        <v>46375.0</v>
      </c>
      <c r="B413" s="8" t="s">
        <v>2135</v>
      </c>
    </row>
    <row r="414" ht="12.75" customHeight="1">
      <c r="A414" s="8">
        <v>46497.0</v>
      </c>
      <c r="B414" s="8" t="s">
        <v>2135</v>
      </c>
    </row>
    <row r="415" ht="12.75" customHeight="1">
      <c r="A415" s="8">
        <v>46662.0</v>
      </c>
      <c r="B415" s="8" t="s">
        <v>2135</v>
      </c>
    </row>
    <row r="416" ht="12.75" customHeight="1">
      <c r="A416" s="8">
        <v>46852.0</v>
      </c>
      <c r="B416" s="8" t="s">
        <v>2135</v>
      </c>
    </row>
    <row r="417" ht="12.75" customHeight="1">
      <c r="A417" s="8">
        <v>47078.0</v>
      </c>
      <c r="B417" s="8" t="s">
        <v>2135</v>
      </c>
    </row>
    <row r="418" ht="12.75" customHeight="1">
      <c r="A418" s="8">
        <v>47079.0</v>
      </c>
      <c r="B418" s="8" t="s">
        <v>2135</v>
      </c>
    </row>
    <row r="419" ht="12.75" customHeight="1">
      <c r="A419" s="8">
        <v>47109.0</v>
      </c>
      <c r="B419" s="8" t="s">
        <v>2135</v>
      </c>
    </row>
    <row r="420" ht="12.75" customHeight="1">
      <c r="A420" s="8">
        <v>47138.0</v>
      </c>
      <c r="B420" s="8" t="s">
        <v>2135</v>
      </c>
    </row>
    <row r="421" ht="12.75" customHeight="1">
      <c r="A421" s="8">
        <v>47174.0</v>
      </c>
      <c r="B421" s="8" t="s">
        <v>2135</v>
      </c>
    </row>
    <row r="422" ht="12.75" customHeight="1">
      <c r="A422" s="8">
        <v>47265.0</v>
      </c>
      <c r="B422" s="8" t="s">
        <v>2135</v>
      </c>
    </row>
    <row r="423" ht="12.75" customHeight="1">
      <c r="A423" s="8">
        <v>47271.0</v>
      </c>
      <c r="B423" s="8" t="s">
        <v>2135</v>
      </c>
    </row>
    <row r="424" ht="12.75" customHeight="1">
      <c r="A424" s="8">
        <v>47457.0</v>
      </c>
      <c r="B424" s="8" t="s">
        <v>2135</v>
      </c>
    </row>
    <row r="425" ht="12.75" customHeight="1">
      <c r="A425" s="8">
        <v>47494.0</v>
      </c>
      <c r="B425" s="8" t="s">
        <v>2135</v>
      </c>
    </row>
    <row r="426" ht="12.75" customHeight="1">
      <c r="A426" s="8">
        <v>47620.0</v>
      </c>
      <c r="B426" s="8" t="s">
        <v>2135</v>
      </c>
    </row>
    <row r="427" ht="12.75" customHeight="1">
      <c r="A427" s="8">
        <v>47621.0</v>
      </c>
      <c r="B427" s="8" t="s">
        <v>2135</v>
      </c>
    </row>
    <row r="428" ht="12.75" customHeight="1">
      <c r="A428" s="8">
        <v>47813.0</v>
      </c>
      <c r="B428" s="8" t="s">
        <v>2135</v>
      </c>
    </row>
    <row r="429" ht="12.75" customHeight="1">
      <c r="A429" s="8">
        <v>47876.0</v>
      </c>
      <c r="B429" s="8" t="s">
        <v>2135</v>
      </c>
    </row>
    <row r="430" ht="12.75" customHeight="1">
      <c r="A430" s="8">
        <v>47910.0</v>
      </c>
      <c r="B430" s="8" t="s">
        <v>2135</v>
      </c>
    </row>
    <row r="431" ht="12.75" customHeight="1">
      <c r="A431" s="8">
        <v>48293.0</v>
      </c>
      <c r="B431" s="8" t="s">
        <v>2135</v>
      </c>
    </row>
    <row r="432" ht="12.75" customHeight="1">
      <c r="A432" s="8">
        <v>48295.0</v>
      </c>
      <c r="B432" s="8" t="s">
        <v>2135</v>
      </c>
    </row>
    <row r="433" ht="12.75" customHeight="1">
      <c r="A433" s="8">
        <v>48321.0</v>
      </c>
      <c r="B433" s="8" t="s">
        <v>2135</v>
      </c>
    </row>
    <row r="434" ht="12.75" customHeight="1">
      <c r="A434" s="8">
        <v>48353.0</v>
      </c>
      <c r="B434" s="8" t="s">
        <v>2135</v>
      </c>
    </row>
    <row r="435" ht="12.75" customHeight="1">
      <c r="A435" s="8">
        <v>48391.0</v>
      </c>
      <c r="B435" s="8" t="s">
        <v>2135</v>
      </c>
    </row>
    <row r="436" ht="12.75" customHeight="1">
      <c r="A436" s="8">
        <v>48448.0</v>
      </c>
      <c r="B436" s="8" t="s">
        <v>2135</v>
      </c>
    </row>
    <row r="437" ht="12.75" customHeight="1">
      <c r="A437" s="8">
        <v>48486.0</v>
      </c>
      <c r="B437" s="8" t="s">
        <v>2135</v>
      </c>
    </row>
    <row r="438" ht="12.75" customHeight="1">
      <c r="A438" s="8">
        <v>48487.0</v>
      </c>
      <c r="B438" s="8" t="s">
        <v>2135</v>
      </c>
    </row>
    <row r="439" ht="12.75" customHeight="1">
      <c r="A439" s="8">
        <v>48615.0</v>
      </c>
      <c r="B439" s="8" t="s">
        <v>2135</v>
      </c>
    </row>
    <row r="440" ht="12.75" customHeight="1">
      <c r="A440" s="8">
        <v>48710.0</v>
      </c>
      <c r="B440" s="8" t="s">
        <v>2135</v>
      </c>
    </row>
    <row r="441" ht="12.75" customHeight="1">
      <c r="A441" s="8">
        <v>48773.0</v>
      </c>
      <c r="B441" s="8" t="s">
        <v>2135</v>
      </c>
    </row>
    <row r="442" ht="12.75" customHeight="1">
      <c r="A442" s="8">
        <v>48775.0</v>
      </c>
      <c r="B442" s="8" t="s">
        <v>2135</v>
      </c>
    </row>
    <row r="443" ht="12.75" customHeight="1">
      <c r="A443" s="8">
        <v>48931.0</v>
      </c>
      <c r="B443" s="8" t="s">
        <v>2135</v>
      </c>
    </row>
    <row r="444" ht="12.75" customHeight="1">
      <c r="A444" s="8">
        <v>49026.0</v>
      </c>
      <c r="B444" s="8" t="s">
        <v>2135</v>
      </c>
    </row>
    <row r="445" ht="12.75" customHeight="1">
      <c r="A445" s="8">
        <v>49027.0</v>
      </c>
      <c r="B445" s="8" t="s">
        <v>2135</v>
      </c>
    </row>
    <row r="446" ht="12.75" customHeight="1">
      <c r="A446" s="8">
        <v>49123.0</v>
      </c>
      <c r="B446" s="8" t="s">
        <v>2135</v>
      </c>
    </row>
    <row r="447" ht="12.75" customHeight="1">
      <c r="A447" s="8">
        <v>49255.0</v>
      </c>
      <c r="B447" s="8" t="s">
        <v>2135</v>
      </c>
    </row>
    <row r="448" ht="12.75" customHeight="1">
      <c r="A448" s="8">
        <v>49349.0</v>
      </c>
      <c r="B448" s="8" t="s">
        <v>2135</v>
      </c>
    </row>
    <row r="449" ht="12.75" customHeight="1">
      <c r="A449" s="8">
        <v>49412.0</v>
      </c>
      <c r="B449" s="8" t="s">
        <v>2135</v>
      </c>
    </row>
    <row r="450" ht="12.75" customHeight="1">
      <c r="A450" s="8">
        <v>49510.0</v>
      </c>
      <c r="B450" s="8" t="s">
        <v>2135</v>
      </c>
    </row>
    <row r="451" ht="12.75" customHeight="1">
      <c r="A451" s="8">
        <v>49668.0</v>
      </c>
      <c r="B451" s="8" t="s">
        <v>2135</v>
      </c>
    </row>
    <row r="452" ht="12.75" customHeight="1">
      <c r="A452" s="8">
        <v>49762.0</v>
      </c>
      <c r="B452" s="8" t="s">
        <v>2135</v>
      </c>
    </row>
    <row r="453" ht="12.75" customHeight="1">
      <c r="A453" s="8">
        <v>49797.0</v>
      </c>
      <c r="B453" s="8" t="s">
        <v>2135</v>
      </c>
    </row>
    <row r="454" ht="12.75" customHeight="1">
      <c r="A454" s="8">
        <v>49830.0</v>
      </c>
      <c r="B454" s="8" t="s">
        <v>2135</v>
      </c>
    </row>
    <row r="455" ht="12.75" customHeight="1">
      <c r="A455" s="8">
        <v>49924.0</v>
      </c>
      <c r="B455" s="8" t="s">
        <v>2135</v>
      </c>
    </row>
    <row r="456" ht="12.75" customHeight="1">
      <c r="A456" s="8">
        <v>49988.0</v>
      </c>
      <c r="B456" s="8" t="s">
        <v>2135</v>
      </c>
    </row>
    <row r="457" ht="12.75" customHeight="1">
      <c r="A457" s="8">
        <v>50048.0</v>
      </c>
      <c r="B457" s="8" t="s">
        <v>2135</v>
      </c>
    </row>
    <row r="458" ht="12.75" customHeight="1">
      <c r="A458" s="8">
        <v>50081.0</v>
      </c>
      <c r="B458" s="8" t="s">
        <v>2135</v>
      </c>
    </row>
    <row r="459" ht="12.75" customHeight="1">
      <c r="A459" s="8">
        <v>50083.0</v>
      </c>
      <c r="B459" s="8" t="s">
        <v>2135</v>
      </c>
    </row>
    <row r="460" ht="12.75" customHeight="1">
      <c r="A460" s="8">
        <v>50087.0</v>
      </c>
      <c r="B460" s="8" t="s">
        <v>2135</v>
      </c>
    </row>
    <row r="461" ht="12.75" customHeight="1">
      <c r="A461" s="8">
        <v>50147.0</v>
      </c>
      <c r="B461" s="8" t="s">
        <v>2135</v>
      </c>
    </row>
    <row r="462" ht="12.75" customHeight="1">
      <c r="A462" s="8">
        <v>50246.0</v>
      </c>
      <c r="B462" s="8" t="s">
        <v>2135</v>
      </c>
    </row>
    <row r="463" ht="12.75" customHeight="1">
      <c r="A463" s="8">
        <v>50307.0</v>
      </c>
      <c r="B463" s="8" t="s">
        <v>2135</v>
      </c>
    </row>
    <row r="464" ht="12.75" customHeight="1">
      <c r="A464" s="8">
        <v>50374.0</v>
      </c>
      <c r="B464" s="8" t="s">
        <v>2135</v>
      </c>
    </row>
    <row r="465" ht="12.75" customHeight="1">
      <c r="A465" s="8">
        <v>50432.0</v>
      </c>
      <c r="B465" s="8" t="s">
        <v>2135</v>
      </c>
    </row>
    <row r="466" ht="12.75" customHeight="1">
      <c r="A466" s="8">
        <v>50501.0</v>
      </c>
      <c r="B466" s="8" t="s">
        <v>2135</v>
      </c>
    </row>
    <row r="467" ht="12.75" customHeight="1">
      <c r="A467" s="8">
        <v>50564.0</v>
      </c>
      <c r="B467" s="8" t="s">
        <v>2135</v>
      </c>
    </row>
    <row r="468" ht="12.75" customHeight="1">
      <c r="A468" s="8">
        <v>50566.0</v>
      </c>
      <c r="B468" s="8" t="s">
        <v>2135</v>
      </c>
    </row>
    <row r="469" ht="12.75" customHeight="1">
      <c r="A469" s="8">
        <v>50663.0</v>
      </c>
      <c r="B469" s="8" t="s">
        <v>2135</v>
      </c>
    </row>
    <row r="470" ht="12.75" customHeight="1">
      <c r="A470" s="8">
        <v>50721.0</v>
      </c>
      <c r="B470" s="8" t="s">
        <v>2135</v>
      </c>
    </row>
    <row r="471" ht="12.75" customHeight="1">
      <c r="A471" s="8">
        <v>50789.0</v>
      </c>
      <c r="B471" s="8" t="s">
        <v>2135</v>
      </c>
    </row>
    <row r="472" ht="12.75" customHeight="1">
      <c r="A472" s="8">
        <v>50818.0</v>
      </c>
      <c r="B472" s="8" t="s">
        <v>2135</v>
      </c>
    </row>
    <row r="473" ht="12.75" customHeight="1">
      <c r="A473" s="8">
        <v>50823.0</v>
      </c>
      <c r="B473" s="8" t="s">
        <v>2135</v>
      </c>
    </row>
    <row r="474" ht="12.75" customHeight="1">
      <c r="A474" s="8">
        <v>50850.0</v>
      </c>
      <c r="B474" s="8" t="s">
        <v>2135</v>
      </c>
    </row>
    <row r="475" ht="12.75" customHeight="1">
      <c r="A475" s="8">
        <v>50914.0</v>
      </c>
      <c r="B475" s="8" t="s">
        <v>2135</v>
      </c>
    </row>
    <row r="476" ht="12.75" customHeight="1">
      <c r="A476" s="8">
        <v>51075.0</v>
      </c>
      <c r="B476" s="8" t="s">
        <v>2135</v>
      </c>
    </row>
    <row r="477" ht="12.75" customHeight="1">
      <c r="A477" s="8">
        <v>51239.0</v>
      </c>
      <c r="B477" s="8" t="s">
        <v>2135</v>
      </c>
    </row>
    <row r="478" ht="12.75" customHeight="1">
      <c r="A478" s="8">
        <v>51271.0</v>
      </c>
      <c r="B478" s="8" t="s">
        <v>2135</v>
      </c>
    </row>
    <row r="479" ht="12.75" customHeight="1">
      <c r="A479" s="8">
        <v>51302.0</v>
      </c>
      <c r="B479" s="8" t="s">
        <v>2135</v>
      </c>
    </row>
    <row r="480" ht="12.75" customHeight="1">
      <c r="A480" s="8">
        <v>51553.0</v>
      </c>
      <c r="B480" s="8" t="s">
        <v>2135</v>
      </c>
    </row>
    <row r="481" ht="12.75" customHeight="1">
      <c r="A481" s="8">
        <v>51554.0</v>
      </c>
      <c r="B481" s="8" t="s">
        <v>2135</v>
      </c>
    </row>
    <row r="482" ht="12.75" customHeight="1">
      <c r="A482" s="8">
        <v>51559.0</v>
      </c>
      <c r="B482" s="8" t="s">
        <v>2135</v>
      </c>
    </row>
    <row r="483" ht="12.75" customHeight="1">
      <c r="A483" s="8">
        <v>51876.0</v>
      </c>
      <c r="B483" s="8" t="s">
        <v>2135</v>
      </c>
    </row>
    <row r="484" ht="12.75" customHeight="1">
      <c r="A484" s="8">
        <v>51879.0</v>
      </c>
      <c r="B484" s="8" t="s">
        <v>2135</v>
      </c>
    </row>
    <row r="485" ht="12.75" customHeight="1">
      <c r="A485" s="8">
        <v>51940.0</v>
      </c>
      <c r="B485" s="8" t="s">
        <v>2135</v>
      </c>
    </row>
    <row r="486" ht="12.75" customHeight="1">
      <c r="A486" s="8">
        <v>52035.0</v>
      </c>
      <c r="B486" s="8" t="s">
        <v>2135</v>
      </c>
    </row>
    <row r="487" ht="12.75" customHeight="1">
      <c r="A487" s="8">
        <v>52068.0</v>
      </c>
      <c r="B487" s="8" t="s">
        <v>2135</v>
      </c>
    </row>
    <row r="488" ht="12.75" customHeight="1">
      <c r="A488" s="8">
        <v>52258.0</v>
      </c>
      <c r="B488" s="8" t="s">
        <v>2135</v>
      </c>
    </row>
    <row r="489" ht="12.75" customHeight="1">
      <c r="A489" s="8">
        <v>52288.0</v>
      </c>
      <c r="B489" s="8" t="s">
        <v>2135</v>
      </c>
    </row>
    <row r="490" ht="12.75" customHeight="1">
      <c r="A490" s="8">
        <v>52327.0</v>
      </c>
      <c r="B490" s="8" t="s">
        <v>2135</v>
      </c>
    </row>
    <row r="491" ht="12.75" customHeight="1">
      <c r="A491" s="8">
        <v>52518.0</v>
      </c>
      <c r="B491" s="8" t="s">
        <v>2135</v>
      </c>
    </row>
    <row r="492" ht="12.75" customHeight="1">
      <c r="A492" s="8">
        <v>52608.0</v>
      </c>
      <c r="B492" s="8" t="s">
        <v>2135</v>
      </c>
    </row>
    <row r="493" ht="12.75" customHeight="1">
      <c r="A493" s="8">
        <v>52611.0</v>
      </c>
      <c r="B493" s="8" t="s">
        <v>2135</v>
      </c>
    </row>
    <row r="494" ht="12.75" customHeight="1">
      <c r="A494" s="8">
        <v>52678.0</v>
      </c>
      <c r="B494" s="8" t="s">
        <v>2135</v>
      </c>
    </row>
    <row r="495" ht="12.75" customHeight="1">
      <c r="A495" s="8">
        <v>52805.0</v>
      </c>
      <c r="B495" s="8" t="s">
        <v>2135</v>
      </c>
    </row>
    <row r="496" ht="12.75" customHeight="1">
      <c r="A496" s="8">
        <v>53285.0</v>
      </c>
      <c r="B496" s="8" t="s">
        <v>2135</v>
      </c>
    </row>
    <row r="497" ht="12.75" customHeight="1">
      <c r="A497" s="8">
        <v>53536.0</v>
      </c>
      <c r="B497" s="8" t="s">
        <v>2135</v>
      </c>
    </row>
    <row r="498" ht="12.75" customHeight="1">
      <c r="A498" s="8">
        <v>53600.0</v>
      </c>
      <c r="B498" s="8" t="s">
        <v>2135</v>
      </c>
    </row>
    <row r="499" ht="12.75" customHeight="1">
      <c r="A499" s="8">
        <v>53767.0</v>
      </c>
      <c r="B499" s="8" t="s">
        <v>2135</v>
      </c>
    </row>
    <row r="500" ht="12.75" customHeight="1">
      <c r="A500" s="8">
        <v>54086.0</v>
      </c>
      <c r="B500" s="8" t="s">
        <v>2135</v>
      </c>
    </row>
    <row r="501" ht="12.75" customHeight="1">
      <c r="A501" s="8">
        <v>54119.0</v>
      </c>
      <c r="B501" s="8" t="s">
        <v>2135</v>
      </c>
    </row>
    <row r="502" ht="12.75" customHeight="1">
      <c r="A502" s="8">
        <v>54151.0</v>
      </c>
      <c r="B502" s="8" t="s">
        <v>2135</v>
      </c>
    </row>
    <row r="503" ht="12.75" customHeight="1">
      <c r="A503" s="8">
        <v>54215.0</v>
      </c>
      <c r="B503" s="8" t="s">
        <v>2135</v>
      </c>
    </row>
    <row r="504" ht="12.75" customHeight="1">
      <c r="A504" s="8">
        <v>54243.0</v>
      </c>
      <c r="B504" s="8" t="s">
        <v>2135</v>
      </c>
    </row>
    <row r="505" ht="12.75" customHeight="1">
      <c r="A505" s="8">
        <v>54245.0</v>
      </c>
      <c r="B505" s="8" t="s">
        <v>2135</v>
      </c>
    </row>
    <row r="506" ht="12.75" customHeight="1">
      <c r="A506" s="8">
        <v>54339.0</v>
      </c>
      <c r="B506" s="8" t="s">
        <v>2135</v>
      </c>
    </row>
    <row r="507" ht="12.75" customHeight="1">
      <c r="A507" s="8">
        <v>54368.0</v>
      </c>
      <c r="B507" s="8" t="s">
        <v>2135</v>
      </c>
    </row>
    <row r="508" ht="12.75" customHeight="1">
      <c r="A508" s="8">
        <v>54371.0</v>
      </c>
      <c r="B508" s="8" t="s">
        <v>2135</v>
      </c>
    </row>
    <row r="509" ht="12.75" customHeight="1">
      <c r="A509" s="8">
        <v>54563.0</v>
      </c>
      <c r="B509" s="8" t="s">
        <v>2135</v>
      </c>
    </row>
    <row r="510" ht="12.75" customHeight="1">
      <c r="A510" s="8">
        <v>54595.0</v>
      </c>
      <c r="B510" s="8" t="s">
        <v>2135</v>
      </c>
    </row>
    <row r="511" ht="12.75" customHeight="1">
      <c r="A511" s="8">
        <v>54721.0</v>
      </c>
      <c r="B511" s="8" t="s">
        <v>2135</v>
      </c>
    </row>
    <row r="512" ht="12.75" customHeight="1">
      <c r="A512" s="8">
        <v>54755.0</v>
      </c>
      <c r="B512" s="8" t="s">
        <v>2135</v>
      </c>
    </row>
    <row r="513" ht="12.75" customHeight="1">
      <c r="A513" s="8">
        <v>54787.0</v>
      </c>
      <c r="B513" s="8" t="s">
        <v>2135</v>
      </c>
    </row>
    <row r="514" ht="12.75" customHeight="1">
      <c r="A514" s="8">
        <v>54914.0</v>
      </c>
      <c r="B514" s="8" t="s">
        <v>2135</v>
      </c>
    </row>
    <row r="515" ht="12.75" customHeight="1">
      <c r="A515" s="8">
        <v>55172.0</v>
      </c>
      <c r="B515" s="8" t="s">
        <v>2135</v>
      </c>
    </row>
    <row r="516" ht="12.75" customHeight="1">
      <c r="A516" s="8">
        <v>55203.0</v>
      </c>
      <c r="B516" s="8" t="s">
        <v>2135</v>
      </c>
    </row>
    <row r="517" ht="12.75" customHeight="1">
      <c r="A517" s="8">
        <v>55235.0</v>
      </c>
      <c r="B517" s="8" t="s">
        <v>2135</v>
      </c>
    </row>
    <row r="518" ht="12.75" customHeight="1">
      <c r="A518" s="8">
        <v>55330.0</v>
      </c>
      <c r="B518" s="8" t="s">
        <v>2135</v>
      </c>
    </row>
    <row r="519" ht="12.75" customHeight="1">
      <c r="A519" s="8">
        <v>55526.0</v>
      </c>
      <c r="B519" s="8" t="s">
        <v>2135</v>
      </c>
    </row>
    <row r="520" ht="12.75" customHeight="1">
      <c r="A520" s="8">
        <v>55616.0</v>
      </c>
      <c r="B520" s="8" t="s">
        <v>2135</v>
      </c>
    </row>
    <row r="521" ht="12.75" customHeight="1">
      <c r="A521" s="8">
        <v>55618.0</v>
      </c>
      <c r="B521" s="8" t="s">
        <v>2135</v>
      </c>
    </row>
    <row r="522" ht="12.75" customHeight="1">
      <c r="A522" s="8">
        <v>55623.0</v>
      </c>
      <c r="B522" s="8" t="s">
        <v>2135</v>
      </c>
    </row>
    <row r="523" ht="12.75" customHeight="1">
      <c r="A523" s="8">
        <v>55747.0</v>
      </c>
      <c r="B523" s="8" t="s">
        <v>2135</v>
      </c>
    </row>
    <row r="524" ht="12.75" customHeight="1">
      <c r="A524" s="8">
        <v>55776.0</v>
      </c>
      <c r="B524" s="8" t="s">
        <v>2135</v>
      </c>
    </row>
    <row r="525" ht="12.75" customHeight="1">
      <c r="A525" s="8">
        <v>55808.0</v>
      </c>
      <c r="B525" s="8" t="s">
        <v>2135</v>
      </c>
    </row>
    <row r="526" ht="12.75" customHeight="1">
      <c r="A526" s="8">
        <v>55874.0</v>
      </c>
      <c r="B526" s="8" t="s">
        <v>2135</v>
      </c>
    </row>
    <row r="527" ht="12.75" customHeight="1">
      <c r="A527" s="8">
        <v>55877.0</v>
      </c>
      <c r="B527" s="8" t="s">
        <v>2135</v>
      </c>
    </row>
    <row r="528" ht="12.75" customHeight="1">
      <c r="A528" s="8">
        <v>55968.0</v>
      </c>
      <c r="B528" s="8" t="s">
        <v>2135</v>
      </c>
    </row>
    <row r="529" ht="12.75" customHeight="1">
      <c r="A529" s="8">
        <v>56101.0</v>
      </c>
      <c r="B529" s="8" t="s">
        <v>2135</v>
      </c>
    </row>
    <row r="530" ht="12.75" customHeight="1">
      <c r="A530" s="8">
        <v>56128.0</v>
      </c>
      <c r="B530" s="8" t="s">
        <v>2135</v>
      </c>
    </row>
    <row r="531" ht="12.75" customHeight="1">
      <c r="A531" s="8">
        <v>56257.0</v>
      </c>
      <c r="B531" s="8" t="s">
        <v>2135</v>
      </c>
    </row>
    <row r="532" ht="12.75" customHeight="1">
      <c r="A532" s="8">
        <v>56387.0</v>
      </c>
      <c r="B532" s="8" t="s">
        <v>2135</v>
      </c>
    </row>
    <row r="533" ht="12.75" customHeight="1">
      <c r="A533" s="8">
        <v>56452.0</v>
      </c>
      <c r="B533" s="8" t="s">
        <v>2135</v>
      </c>
    </row>
    <row r="534" ht="12.75" customHeight="1">
      <c r="A534" s="8">
        <v>56514.0</v>
      </c>
      <c r="B534" s="8" t="s">
        <v>2135</v>
      </c>
    </row>
    <row r="535" ht="12.75" customHeight="1">
      <c r="A535" s="8">
        <v>56582.0</v>
      </c>
      <c r="B535" s="8" t="s">
        <v>2135</v>
      </c>
    </row>
    <row r="536" ht="12.75" customHeight="1">
      <c r="A536" s="8">
        <v>56612.0</v>
      </c>
      <c r="B536" s="8" t="s">
        <v>2135</v>
      </c>
    </row>
    <row r="537" ht="12.75" customHeight="1">
      <c r="A537" s="8">
        <v>56768.0</v>
      </c>
      <c r="B537" s="8" t="s">
        <v>2135</v>
      </c>
    </row>
    <row r="538" ht="12.75" customHeight="1">
      <c r="A538" s="8">
        <v>56769.0</v>
      </c>
      <c r="B538" s="8" t="s">
        <v>2135</v>
      </c>
    </row>
    <row r="539" ht="12.75" customHeight="1">
      <c r="A539" s="8">
        <v>56868.0</v>
      </c>
      <c r="B539" s="8" t="s">
        <v>2135</v>
      </c>
    </row>
    <row r="540" ht="12.75" customHeight="1">
      <c r="A540" s="8">
        <v>56901.0</v>
      </c>
      <c r="B540" s="8" t="s">
        <v>2135</v>
      </c>
    </row>
    <row r="541" ht="12.75" customHeight="1">
      <c r="A541" s="8">
        <v>56930.0</v>
      </c>
      <c r="B541" s="8" t="s">
        <v>2135</v>
      </c>
    </row>
    <row r="542" ht="12.75" customHeight="1">
      <c r="A542" s="8">
        <v>56931.0</v>
      </c>
      <c r="B542" s="8" t="s">
        <v>2135</v>
      </c>
    </row>
    <row r="543" ht="12.75" customHeight="1">
      <c r="A543" s="8">
        <v>57157.0</v>
      </c>
      <c r="B543" s="8" t="s">
        <v>2135</v>
      </c>
    </row>
    <row r="544" ht="12.75" customHeight="1">
      <c r="A544" s="8">
        <v>57190.0</v>
      </c>
      <c r="B544" s="8" t="s">
        <v>2135</v>
      </c>
    </row>
    <row r="545" ht="12.75" customHeight="1">
      <c r="A545" s="8">
        <v>57248.0</v>
      </c>
      <c r="B545" s="8" t="s">
        <v>2135</v>
      </c>
    </row>
    <row r="546" ht="12.75" customHeight="1">
      <c r="A546" s="8">
        <v>57253.0</v>
      </c>
      <c r="B546" s="8" t="s">
        <v>2135</v>
      </c>
    </row>
    <row r="547" ht="12.75" customHeight="1">
      <c r="A547" s="8">
        <v>57440.0</v>
      </c>
      <c r="B547" s="8" t="s">
        <v>2135</v>
      </c>
    </row>
    <row r="548" ht="12.75" customHeight="1">
      <c r="A548" s="8">
        <v>57510.0</v>
      </c>
      <c r="B548" s="8" t="s">
        <v>2135</v>
      </c>
    </row>
    <row r="549" ht="12.75" customHeight="1">
      <c r="A549" s="8">
        <v>57600.0</v>
      </c>
      <c r="B549" s="8" t="s">
        <v>2135</v>
      </c>
    </row>
    <row r="550" ht="12.75" customHeight="1">
      <c r="A550" s="8">
        <v>57638.0</v>
      </c>
      <c r="B550" s="8" t="s">
        <v>2135</v>
      </c>
    </row>
    <row r="551" ht="12.75" customHeight="1">
      <c r="A551" s="8">
        <v>57986.0</v>
      </c>
      <c r="B551" s="8" t="s">
        <v>2135</v>
      </c>
    </row>
    <row r="552" ht="12.75" customHeight="1">
      <c r="A552" s="8">
        <v>58368.0</v>
      </c>
      <c r="B552" s="8" t="s">
        <v>2135</v>
      </c>
    </row>
    <row r="553" ht="12.75" customHeight="1">
      <c r="A553" s="8">
        <v>58372.0</v>
      </c>
      <c r="B553" s="8" t="s">
        <v>2135</v>
      </c>
    </row>
    <row r="554" ht="12.75" customHeight="1">
      <c r="A554" s="8">
        <v>58470.0</v>
      </c>
      <c r="B554" s="8" t="s">
        <v>2135</v>
      </c>
    </row>
    <row r="555" ht="12.75" customHeight="1">
      <c r="A555" s="8">
        <v>58500.0</v>
      </c>
      <c r="B555" s="8" t="s">
        <v>2135</v>
      </c>
    </row>
    <row r="556" ht="12.75" customHeight="1">
      <c r="A556" s="8">
        <v>58566.0</v>
      </c>
      <c r="B556" s="8" t="s">
        <v>2135</v>
      </c>
    </row>
    <row r="557" ht="12.75" customHeight="1">
      <c r="A557" s="8">
        <v>58688.0</v>
      </c>
      <c r="B557" s="8" t="s">
        <v>2135</v>
      </c>
    </row>
    <row r="558" ht="12.75" customHeight="1">
      <c r="A558" s="8">
        <v>58720.0</v>
      </c>
      <c r="B558" s="8" t="s">
        <v>2135</v>
      </c>
    </row>
    <row r="559" ht="12.75" customHeight="1">
      <c r="A559" s="8">
        <v>58725.0</v>
      </c>
      <c r="B559" s="8" t="s">
        <v>2135</v>
      </c>
    </row>
    <row r="560" ht="12.75" customHeight="1">
      <c r="A560" s="8">
        <v>58818.0</v>
      </c>
      <c r="B560" s="8" t="s">
        <v>2135</v>
      </c>
    </row>
    <row r="561" ht="12.75" customHeight="1">
      <c r="A561" s="8">
        <v>58949.0</v>
      </c>
      <c r="B561" s="8" t="s">
        <v>2135</v>
      </c>
    </row>
    <row r="562" ht="12.75" customHeight="1">
      <c r="A562" s="8">
        <v>59009.0</v>
      </c>
      <c r="B562" s="8" t="s">
        <v>2135</v>
      </c>
    </row>
    <row r="563" ht="12.75" customHeight="1">
      <c r="A563" s="8">
        <v>59047.0</v>
      </c>
      <c r="B563" s="8" t="s">
        <v>2135</v>
      </c>
    </row>
    <row r="564" ht="12.75" customHeight="1">
      <c r="A564" s="8">
        <v>59072.0</v>
      </c>
      <c r="B564" s="8" t="s">
        <v>2135</v>
      </c>
    </row>
    <row r="565" ht="12.75" customHeight="1">
      <c r="A565" s="8">
        <v>59139.0</v>
      </c>
      <c r="B565" s="8" t="s">
        <v>2135</v>
      </c>
    </row>
    <row r="566" ht="12.75" customHeight="1">
      <c r="A566" s="8">
        <v>59171.0</v>
      </c>
      <c r="B566" s="8" t="s">
        <v>2135</v>
      </c>
    </row>
    <row r="567" ht="12.75" customHeight="1">
      <c r="A567" s="8">
        <v>59585.0</v>
      </c>
      <c r="B567" s="8" t="s">
        <v>2135</v>
      </c>
    </row>
    <row r="568" ht="12.75" customHeight="1">
      <c r="A568" s="8">
        <v>59652.0</v>
      </c>
      <c r="B568" s="8" t="s">
        <v>2135</v>
      </c>
    </row>
    <row r="569" ht="12.75" customHeight="1">
      <c r="A569" s="8">
        <v>59680.0</v>
      </c>
      <c r="B569" s="8" t="s">
        <v>2135</v>
      </c>
    </row>
    <row r="570" ht="12.75" customHeight="1">
      <c r="A570" s="8">
        <v>59683.0</v>
      </c>
      <c r="B570" s="8" t="s">
        <v>2135</v>
      </c>
    </row>
    <row r="571" ht="12.75" customHeight="1">
      <c r="A571" s="8">
        <v>59776.0</v>
      </c>
      <c r="B571" s="8" t="s">
        <v>2135</v>
      </c>
    </row>
    <row r="572" ht="12.75" customHeight="1">
      <c r="A572" s="8">
        <v>59879.0</v>
      </c>
      <c r="B572" s="8" t="s">
        <v>2135</v>
      </c>
    </row>
    <row r="573" ht="12.75" customHeight="1">
      <c r="A573" s="8">
        <v>59937.0</v>
      </c>
      <c r="B573" s="8" t="s">
        <v>2135</v>
      </c>
    </row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7" t="s">
        <v>13</v>
      </c>
      <c r="B1" s="7" t="s">
        <v>2136</v>
      </c>
    </row>
    <row r="2" ht="12.75" customHeight="1">
      <c r="A2" s="8" t="s">
        <v>2137</v>
      </c>
      <c r="B2" s="8" t="s">
        <v>2138</v>
      </c>
    </row>
    <row r="3" ht="12.75" customHeight="1">
      <c r="A3" s="8" t="s">
        <v>2139</v>
      </c>
      <c r="B3" s="8" t="s">
        <v>2140</v>
      </c>
    </row>
    <row r="4" ht="12.75" customHeight="1">
      <c r="A4" s="8" t="s">
        <v>2141</v>
      </c>
      <c r="B4" s="8" t="s">
        <v>2142</v>
      </c>
    </row>
    <row r="5" ht="12.75" customHeight="1">
      <c r="A5" s="8" t="s">
        <v>704</v>
      </c>
      <c r="B5" s="8" t="s">
        <v>2143</v>
      </c>
    </row>
    <row r="6" ht="12.75" customHeight="1">
      <c r="A6" s="8" t="s">
        <v>704</v>
      </c>
      <c r="B6" s="8" t="s">
        <v>2144</v>
      </c>
    </row>
    <row r="7" ht="12.75" customHeight="1">
      <c r="A7" s="8" t="s">
        <v>2137</v>
      </c>
      <c r="B7" s="8" t="s">
        <v>2144</v>
      </c>
    </row>
    <row r="8" ht="12.75" customHeight="1">
      <c r="A8" s="8" t="s">
        <v>2139</v>
      </c>
      <c r="B8" s="8" t="s">
        <v>2144</v>
      </c>
    </row>
    <row r="9" ht="12.75" customHeight="1">
      <c r="A9" s="8" t="s">
        <v>2141</v>
      </c>
      <c r="B9" s="8" t="s">
        <v>2144</v>
      </c>
    </row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2022-11-14T03:55:46Z</dcterms:created>
  <dc:creator>Ogbuke, Nnamdi</dc:creator>
</cp:coreProperties>
</file>