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19"/>
  <workbookPr/>
  <mc:AlternateContent xmlns:mc="http://schemas.openxmlformats.org/markup-compatibility/2006">
    <mc:Choice Requires="x15">
      <x15ac:absPath xmlns:x15ac="http://schemas.microsoft.com/office/spreadsheetml/2010/11/ac" url="D:\XLENT LTD\YEAR 2018\SRDS LTD\FS 2022\ASANTE FINANCE\"/>
    </mc:Choice>
  </mc:AlternateContent>
  <xr:revisionPtr revIDLastSave="2" documentId="11_5AC8DBB4F5061FB632481D27775102CE555050D9" xr6:coauthVersionLast="47" xr6:coauthVersionMax="47" xr10:uidLastSave="{600FF2D5-78ED-4E62-AD6A-9604716550D2}"/>
  <bookViews>
    <workbookView xWindow="0" yWindow="0" windowWidth="23040" windowHeight="8112" xr2:uid="{00000000-000D-0000-FFFF-FFFF00000000}"/>
  </bookViews>
  <sheets>
    <sheet name="Sales by Customer Summary " sheetId="7" r:id="rId1"/>
    <sheet name="Sheet1" sheetId="8" r:id="rId2"/>
  </sheets>
  <definedNames>
    <definedName name="_xlnm._FilterDatabase" localSheetId="0" hidden="1">'Sales by Customer Summary '!$A$4:$GB$89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T89" i="7" l="1"/>
  <c r="DT89" i="7"/>
  <c r="CW89" i="7"/>
  <c r="CV89" i="7"/>
  <c r="CR89" i="7"/>
  <c r="CO89" i="7"/>
  <c r="CJ89" i="7"/>
  <c r="BZ89" i="7"/>
  <c r="BW89" i="7"/>
  <c r="BT89" i="7"/>
  <c r="BN89" i="7"/>
  <c r="AF89" i="7"/>
  <c r="D89" i="7"/>
  <c r="CZ88" i="7"/>
  <c r="GB88" i="7" s="1"/>
  <c r="EG87" i="7"/>
  <c r="EB87" i="7"/>
  <c r="DZ87" i="7"/>
  <c r="DX87" i="7"/>
  <c r="DQ87" i="7"/>
  <c r="DM87" i="7"/>
  <c r="DH87" i="7"/>
  <c r="DD87" i="7"/>
  <c r="CP87" i="7"/>
  <c r="CH87" i="7"/>
  <c r="CG87" i="7"/>
  <c r="CD87" i="7"/>
  <c r="CA87" i="7"/>
  <c r="BX87" i="7"/>
  <c r="BU87" i="7"/>
  <c r="BO87" i="7"/>
  <c r="BN87" i="7"/>
  <c r="BM87" i="7"/>
  <c r="BL87" i="7"/>
  <c r="BJ87" i="7"/>
  <c r="BE87" i="7"/>
  <c r="AM87" i="7"/>
  <c r="U87" i="7"/>
  <c r="I87" i="7"/>
  <c r="D87" i="7"/>
  <c r="BH86" i="7"/>
  <c r="AU86" i="7"/>
  <c r="AF86" i="7"/>
  <c r="V86" i="7"/>
  <c r="M86" i="7"/>
  <c r="FW85" i="7"/>
  <c r="FM85" i="7"/>
  <c r="FJ85" i="7"/>
  <c r="FG85" i="7"/>
  <c r="FD85" i="7"/>
  <c r="FC85" i="7"/>
  <c r="EW85" i="7"/>
  <c r="ET85" i="7"/>
  <c r="EQ85" i="7"/>
  <c r="EL85" i="7"/>
  <c r="EF85" i="7"/>
  <c r="EB85" i="7"/>
  <c r="DY85" i="7"/>
  <c r="DS85" i="7"/>
  <c r="DM85" i="7"/>
  <c r="DE85" i="7"/>
  <c r="CY85" i="7"/>
  <c r="CS85" i="7"/>
  <c r="CO85" i="7"/>
  <c r="CG85" i="7"/>
  <c r="CA85" i="7"/>
  <c r="BS85" i="7"/>
  <c r="BH85" i="7"/>
  <c r="BC85" i="7"/>
  <c r="AT85" i="7"/>
  <c r="AQ85" i="7"/>
  <c r="AN85" i="7"/>
  <c r="AH85" i="7"/>
  <c r="AB85" i="7"/>
  <c r="T85" i="7"/>
  <c r="O85" i="7"/>
  <c r="L85" i="7"/>
  <c r="AT84" i="7"/>
  <c r="GB84" i="7" s="1"/>
  <c r="BS83" i="7"/>
  <c r="BJ83" i="7"/>
  <c r="V83" i="7"/>
  <c r="G83" i="7"/>
  <c r="FD82" i="7"/>
  <c r="DS82" i="7"/>
  <c r="DM82" i="7"/>
  <c r="DB82" i="7"/>
  <c r="CV82" i="7"/>
  <c r="CQ82" i="7"/>
  <c r="CN82" i="7"/>
  <c r="CC80" i="7"/>
  <c r="BP80" i="7"/>
  <c r="EK79" i="7"/>
  <c r="EF79" i="7"/>
  <c r="EE79" i="7"/>
  <c r="DU79" i="7"/>
  <c r="DN79" i="7"/>
  <c r="DJ79" i="7"/>
  <c r="DD79" i="7"/>
  <c r="GA78" i="7"/>
  <c r="FN78" i="7"/>
  <c r="EV78" i="7"/>
  <c r="DN78" i="7"/>
  <c r="DC78" i="7"/>
  <c r="DA78" i="7"/>
  <c r="BX78" i="7"/>
  <c r="BV78" i="7"/>
  <c r="BT78" i="7"/>
  <c r="BR78" i="7"/>
  <c r="BP78" i="7"/>
  <c r="FR77" i="7"/>
  <c r="FL77" i="7"/>
  <c r="FD77" i="7"/>
  <c r="DL77" i="7"/>
  <c r="CJ77" i="7"/>
  <c r="BX77" i="7"/>
  <c r="BM77" i="7"/>
  <c r="AX77" i="7"/>
  <c r="FX76" i="7"/>
  <c r="FS76" i="7"/>
  <c r="FR76" i="7"/>
  <c r="FD76" i="7"/>
  <c r="EY76" i="7"/>
  <c r="EE76" i="7"/>
  <c r="CQ76" i="7"/>
  <c r="CO76" i="7"/>
  <c r="BY76" i="7"/>
  <c r="BV75" i="7"/>
  <c r="GB75" i="7" s="1"/>
  <c r="DE74" i="7"/>
  <c r="CV74" i="7"/>
  <c r="CT74" i="7"/>
  <c r="CP74" i="7"/>
  <c r="CN74" i="7"/>
  <c r="CJ74" i="7"/>
  <c r="CD74" i="7"/>
  <c r="BW74" i="7"/>
  <c r="AS74" i="7"/>
  <c r="AH74" i="7"/>
  <c r="EN73" i="7"/>
  <c r="EM73" i="7"/>
  <c r="DX73" i="7"/>
  <c r="DV73" i="7"/>
  <c r="DR73" i="7"/>
  <c r="DN73" i="7"/>
  <c r="DL73" i="7"/>
  <c r="DH73" i="7"/>
  <c r="DF73" i="7"/>
  <c r="CW73" i="7"/>
  <c r="CV73" i="7"/>
  <c r="CQ73" i="7"/>
  <c r="CO73" i="7"/>
  <c r="CJ73" i="7"/>
  <c r="CF73" i="7"/>
  <c r="CE73" i="7"/>
  <c r="CA73" i="7"/>
  <c r="BW73" i="7"/>
  <c r="BT73" i="7"/>
  <c r="BS73" i="7"/>
  <c r="BO73" i="7"/>
  <c r="BM73" i="7"/>
  <c r="BK73" i="7"/>
  <c r="BI73" i="7"/>
  <c r="GA72" i="7"/>
  <c r="FY72" i="7"/>
  <c r="FV72" i="7"/>
  <c r="FU72" i="7"/>
  <c r="FM72" i="7"/>
  <c r="FF72" i="7"/>
  <c r="FB72" i="7"/>
  <c r="ES72" i="7"/>
  <c r="EL72" i="7"/>
  <c r="EK72" i="7"/>
  <c r="EE72" i="7"/>
  <c r="DX72" i="7"/>
  <c r="DJ72" i="7"/>
  <c r="DB72" i="7"/>
  <c r="CH72" i="7"/>
  <c r="CF72" i="7"/>
  <c r="CE72" i="7"/>
  <c r="CA72" i="7"/>
  <c r="BY72" i="7"/>
  <c r="U72" i="7"/>
  <c r="Q72" i="7"/>
  <c r="CE71" i="7"/>
  <c r="CA71" i="7"/>
  <c r="BU71" i="7"/>
  <c r="BP71" i="7"/>
  <c r="BI71" i="7"/>
  <c r="BH71" i="7"/>
  <c r="FL69" i="7"/>
  <c r="EX69" i="7"/>
  <c r="ER69" i="7"/>
  <c r="EA69" i="7"/>
  <c r="DS69" i="7"/>
  <c r="DA69" i="7"/>
  <c r="CQ69" i="7"/>
  <c r="CL69" i="7"/>
  <c r="CC69" i="7"/>
  <c r="BX69" i="7"/>
  <c r="BU69" i="7"/>
  <c r="BH69" i="7"/>
  <c r="BD69" i="7"/>
  <c r="AT69" i="7"/>
  <c r="AL69" i="7"/>
  <c r="AA69" i="7"/>
  <c r="R69" i="7"/>
  <c r="N69" i="7"/>
  <c r="F69" i="7"/>
  <c r="EH68" i="7"/>
  <c r="DN68" i="7"/>
  <c r="CR68" i="7"/>
  <c r="BW68" i="7"/>
  <c r="AR68" i="7"/>
  <c r="AI68" i="7"/>
  <c r="EQ67" i="7"/>
  <c r="EF67" i="7"/>
  <c r="DZ67" i="7"/>
  <c r="DT67" i="7"/>
  <c r="DI67" i="7"/>
  <c r="DD67" i="7"/>
  <c r="CX67" i="7"/>
  <c r="CQ67" i="7"/>
  <c r="AK66" i="7"/>
  <c r="GB66" i="7" s="1"/>
  <c r="DN64" i="7"/>
  <c r="DC64" i="7"/>
  <c r="CZ64" i="7"/>
  <c r="CD64" i="7"/>
  <c r="BW64" i="7"/>
  <c r="BT64" i="7"/>
  <c r="BR64" i="7"/>
  <c r="BP64" i="7"/>
  <c r="BO64" i="7"/>
  <c r="DP63" i="7"/>
  <c r="DB63" i="7"/>
  <c r="CR63" i="7"/>
  <c r="CE63" i="7"/>
  <c r="BW63" i="7"/>
  <c r="BV63" i="7"/>
  <c r="BL63" i="7"/>
  <c r="BJ63" i="7"/>
  <c r="GA62" i="7"/>
  <c r="FY62" i="7"/>
  <c r="FW62" i="7"/>
  <c r="FG62" i="7"/>
  <c r="FF62" i="7"/>
  <c r="DX62" i="7"/>
  <c r="DQ62" i="7"/>
  <c r="CW62" i="7"/>
  <c r="CS62" i="7"/>
  <c r="CQ62" i="7"/>
  <c r="CO62" i="7"/>
  <c r="CN62" i="7"/>
  <c r="CI62" i="7"/>
  <c r="CG62" i="7"/>
  <c r="CF62" i="7"/>
  <c r="CE62" i="7"/>
  <c r="CC62" i="7"/>
  <c r="BY62" i="7"/>
  <c r="BV62" i="7"/>
  <c r="BS62" i="7"/>
  <c r="BR62" i="7"/>
  <c r="BM62" i="7"/>
  <c r="BL62" i="7"/>
  <c r="AR62" i="7"/>
  <c r="AJ62" i="7"/>
  <c r="FX61" i="7"/>
  <c r="FQ61" i="7"/>
  <c r="FI61" i="7"/>
  <c r="FF61" i="7"/>
  <c r="EZ61" i="7"/>
  <c r="EV61" i="7"/>
  <c r="ER61" i="7"/>
  <c r="EN61" i="7"/>
  <c r="EH61" i="7"/>
  <c r="EA61" i="7"/>
  <c r="DU61" i="7"/>
  <c r="DM61" i="7"/>
  <c r="DG61" i="7"/>
  <c r="DC61" i="7"/>
  <c r="CZ61" i="7"/>
  <c r="CX61" i="7"/>
  <c r="CS61" i="7"/>
  <c r="CO61" i="7"/>
  <c r="CL61" i="7"/>
  <c r="CJ61" i="7"/>
  <c r="CG61" i="7"/>
  <c r="CD61" i="7"/>
  <c r="CA61" i="7"/>
  <c r="BX61" i="7"/>
  <c r="BU61" i="7"/>
  <c r="BQ61" i="7"/>
  <c r="BO61" i="7"/>
  <c r="BI61" i="7"/>
  <c r="BH61" i="7"/>
  <c r="AZ61" i="7"/>
  <c r="AS61" i="7"/>
  <c r="AI61" i="7"/>
  <c r="AG61" i="7"/>
  <c r="AD61" i="7"/>
  <c r="R61" i="7"/>
  <c r="I61" i="7"/>
  <c r="FW60" i="7"/>
  <c r="FU60" i="7"/>
  <c r="ER60" i="7"/>
  <c r="EE60" i="7"/>
  <c r="DN60" i="7"/>
  <c r="BW60" i="7"/>
  <c r="BK60" i="7"/>
  <c r="AW60" i="7"/>
  <c r="CP59" i="7"/>
  <c r="GB59" i="7" s="1"/>
  <c r="FO58" i="7"/>
  <c r="FM58" i="7"/>
  <c r="FJ58" i="7"/>
  <c r="FE58" i="7"/>
  <c r="EY58" i="7"/>
  <c r="EX58" i="7"/>
  <c r="EW58" i="7"/>
  <c r="EU58" i="7"/>
  <c r="EJ58" i="7"/>
  <c r="FZ57" i="7"/>
  <c r="FY57" i="7"/>
  <c r="FW57" i="7"/>
  <c r="FV57" i="7"/>
  <c r="FS57" i="7"/>
  <c r="FQ57" i="7"/>
  <c r="FM57" i="7"/>
  <c r="FK57" i="7"/>
  <c r="FJ57" i="7"/>
  <c r="FF57" i="7"/>
  <c r="FE57" i="7"/>
  <c r="EY57" i="7"/>
  <c r="EU57" i="7"/>
  <c r="EK57" i="7"/>
  <c r="EB57" i="7"/>
  <c r="EA57" i="7"/>
  <c r="DX57" i="7"/>
  <c r="FN56" i="7"/>
  <c r="EW56" i="7"/>
  <c r="EK56" i="7"/>
  <c r="EA56" i="7"/>
  <c r="CN56" i="7"/>
  <c r="CG56" i="7"/>
  <c r="CC56" i="7"/>
  <c r="GA55" i="7"/>
  <c r="FW55" i="7"/>
  <c r="FS55" i="7"/>
  <c r="FR55" i="7"/>
  <c r="FJ55" i="7"/>
  <c r="FA55" i="7"/>
  <c r="EX55" i="7"/>
  <c r="ET55" i="7"/>
  <c r="EO55" i="7"/>
  <c r="EM55" i="7"/>
  <c r="EK55" i="7"/>
  <c r="EG55" i="7"/>
  <c r="EC55" i="7"/>
  <c r="DX55" i="7"/>
  <c r="DT55" i="7"/>
  <c r="DP55" i="7"/>
  <c r="DK55" i="7"/>
  <c r="DG55" i="7"/>
  <c r="DF55" i="7"/>
  <c r="CX55" i="7"/>
  <c r="CV55" i="7"/>
  <c r="CS55" i="7"/>
  <c r="CR55" i="7"/>
  <c r="CN55" i="7"/>
  <c r="CI55" i="7"/>
  <c r="CH55" i="7"/>
  <c r="CC55" i="7"/>
  <c r="BX55" i="7"/>
  <c r="BQ55" i="7"/>
  <c r="BI55" i="7"/>
  <c r="BB55" i="7"/>
  <c r="AS55" i="7"/>
  <c r="AE55" i="7"/>
  <c r="AD55" i="7"/>
  <c r="Z55" i="7"/>
  <c r="P55" i="7"/>
  <c r="N55" i="7"/>
  <c r="EJ54" i="7"/>
  <c r="EI54" i="7"/>
  <c r="EH54" i="7"/>
  <c r="EE54" i="7"/>
  <c r="DY54" i="7"/>
  <c r="DX54" i="7"/>
  <c r="DE54" i="7"/>
  <c r="CI54" i="7"/>
  <c r="CE54" i="7"/>
  <c r="CD54" i="7"/>
  <c r="CA54" i="7"/>
  <c r="BY54" i="7"/>
  <c r="BW54" i="7"/>
  <c r="BS54" i="7"/>
  <c r="BR54" i="7"/>
  <c r="BP54" i="7"/>
  <c r="BN54" i="7"/>
  <c r="BK54" i="7"/>
  <c r="BC54" i="7"/>
  <c r="AY54" i="7"/>
  <c r="AU54" i="7"/>
  <c r="AQ54" i="7"/>
  <c r="AN54" i="7"/>
  <c r="AB54" i="7"/>
  <c r="X54" i="7"/>
  <c r="CZ53" i="7"/>
  <c r="GB53" i="7" s="1"/>
  <c r="FL52" i="7"/>
  <c r="EZ52" i="7"/>
  <c r="EV52" i="7"/>
  <c r="ER52" i="7"/>
  <c r="EJ52" i="7"/>
  <c r="DK52" i="7"/>
  <c r="DH52" i="7"/>
  <c r="CX52" i="7"/>
  <c r="CU52" i="7"/>
  <c r="CO52" i="7"/>
  <c r="CM52" i="7"/>
  <c r="CF52" i="7"/>
  <c r="CA52" i="7"/>
  <c r="BU52" i="7"/>
  <c r="BQ52" i="7"/>
  <c r="BN52" i="7"/>
  <c r="BL52" i="7"/>
  <c r="BJ52" i="7"/>
  <c r="BB52" i="7"/>
  <c r="AY52" i="7"/>
  <c r="AX52" i="7"/>
  <c r="AU52" i="7"/>
  <c r="AQ52" i="7"/>
  <c r="AK52" i="7"/>
  <c r="AE52" i="7"/>
  <c r="AD52" i="7"/>
  <c r="W52" i="7"/>
  <c r="FQ51" i="7"/>
  <c r="FH51" i="7"/>
  <c r="FA51" i="7"/>
  <c r="EX51" i="7"/>
  <c r="ER51" i="7"/>
  <c r="DS51" i="7"/>
  <c r="DL51" i="7"/>
  <c r="DI51" i="7"/>
  <c r="CU51" i="7"/>
  <c r="CQ51" i="7"/>
  <c r="CO51" i="7"/>
  <c r="CI51" i="7"/>
  <c r="CD51" i="7"/>
  <c r="BP51" i="7"/>
  <c r="BA51" i="7"/>
  <c r="FN50" i="7"/>
  <c r="GB50" i="7" s="1"/>
  <c r="EW49" i="7"/>
  <c r="BO49" i="7"/>
  <c r="BM49" i="7"/>
  <c r="DS48" i="7"/>
  <c r="DB48" i="7"/>
  <c r="BQ48" i="7"/>
  <c r="EA47" i="7"/>
  <c r="GB47" i="7" s="1"/>
  <c r="FY46" i="7"/>
  <c r="FR46" i="7"/>
  <c r="FD46" i="7"/>
  <c r="EX46" i="7"/>
  <c r="BP46" i="7"/>
  <c r="AX46" i="7"/>
  <c r="AP46" i="7"/>
  <c r="W46" i="7"/>
  <c r="FQ44" i="7"/>
  <c r="EY44" i="7"/>
  <c r="EN44" i="7"/>
  <c r="DN44" i="7"/>
  <c r="DK44" i="7"/>
  <c r="DG44" i="7"/>
  <c r="DB44" i="7"/>
  <c r="CS44" i="7"/>
  <c r="CQ44" i="7"/>
  <c r="BY43" i="7"/>
  <c r="GB43" i="7" s="1"/>
  <c r="E42" i="7"/>
  <c r="GB42" i="7" s="1"/>
  <c r="FV41" i="7"/>
  <c r="FR41" i="7"/>
  <c r="GA40" i="7"/>
  <c r="FY40" i="7"/>
  <c r="FX40" i="7"/>
  <c r="FV40" i="7"/>
  <c r="FS40" i="7"/>
  <c r="FR40" i="7"/>
  <c r="FI40" i="7"/>
  <c r="FF40" i="7"/>
  <c r="FC40" i="7"/>
  <c r="EZ40" i="7"/>
  <c r="EY40" i="7"/>
  <c r="EX40" i="7"/>
  <c r="ET40" i="7"/>
  <c r="EN40" i="7"/>
  <c r="EJ40" i="7"/>
  <c r="EI40" i="7"/>
  <c r="EG40" i="7"/>
  <c r="EC40" i="7"/>
  <c r="DY40" i="7"/>
  <c r="DV40" i="7"/>
  <c r="DT40" i="7"/>
  <c r="CZ40" i="7"/>
  <c r="CV40" i="7"/>
  <c r="CS40" i="7"/>
  <c r="CR40" i="7"/>
  <c r="CQ40" i="7"/>
  <c r="CJ40" i="7"/>
  <c r="CH40" i="7"/>
  <c r="CC40" i="7"/>
  <c r="CB40" i="7"/>
  <c r="BZ40" i="7"/>
  <c r="BX40" i="7"/>
  <c r="BV40" i="7"/>
  <c r="BS40" i="7"/>
  <c r="BQ40" i="7"/>
  <c r="BN40" i="7"/>
  <c r="BL40" i="7"/>
  <c r="BJ40" i="7"/>
  <c r="BD40" i="7"/>
  <c r="AZ40" i="7"/>
  <c r="AX40" i="7"/>
  <c r="AV40" i="7"/>
  <c r="AU40" i="7"/>
  <c r="AS40" i="7"/>
  <c r="AP40" i="7"/>
  <c r="AH40" i="7"/>
  <c r="AF40" i="7"/>
  <c r="Z40" i="7"/>
  <c r="U40" i="7"/>
  <c r="S40" i="7"/>
  <c r="Q40" i="7"/>
  <c r="P40" i="7"/>
  <c r="O40" i="7"/>
  <c r="N40" i="7"/>
  <c r="L40" i="7"/>
  <c r="K40" i="7"/>
  <c r="J40" i="7"/>
  <c r="I40" i="7"/>
  <c r="FS38" i="7"/>
  <c r="FA38" i="7"/>
  <c r="EU38" i="7"/>
  <c r="EI38" i="7"/>
  <c r="DV38" i="7"/>
  <c r="EF37" i="7"/>
  <c r="BZ37" i="7"/>
  <c r="BP37" i="7"/>
  <c r="BH37" i="7"/>
  <c r="BG37" i="7"/>
  <c r="AW37" i="7"/>
  <c r="AT37" i="7"/>
  <c r="BL36" i="7"/>
  <c r="GB36" i="7" s="1"/>
  <c r="BS35" i="7"/>
  <c r="BM35" i="7"/>
  <c r="AP34" i="7"/>
  <c r="GB34" i="7" s="1"/>
  <c r="FY33" i="7"/>
  <c r="ET33" i="7"/>
  <c r="EE33" i="7"/>
  <c r="DP33" i="7"/>
  <c r="DG33" i="7"/>
  <c r="DA33" i="7"/>
  <c r="CQ33" i="7"/>
  <c r="CL33" i="7"/>
  <c r="CC33" i="7"/>
  <c r="BV33" i="7"/>
  <c r="BO33" i="7"/>
  <c r="BI33" i="7"/>
  <c r="BD33" i="7"/>
  <c r="AT33" i="7"/>
  <c r="AA33" i="7"/>
  <c r="W33" i="7"/>
  <c r="R33" i="7"/>
  <c r="N33" i="7"/>
  <c r="F33" i="7"/>
  <c r="EE32" i="7"/>
  <c r="ED32" i="7"/>
  <c r="CN31" i="7"/>
  <c r="BX31" i="7"/>
  <c r="BL31" i="7"/>
  <c r="DC30" i="7"/>
  <c r="DB30" i="7"/>
  <c r="CO30" i="7"/>
  <c r="CN30" i="7"/>
  <c r="CL30" i="7"/>
  <c r="CH30" i="7"/>
  <c r="CF30" i="7"/>
  <c r="CA30" i="7"/>
  <c r="BW30" i="7"/>
  <c r="BR30" i="7"/>
  <c r="BN30" i="7"/>
  <c r="BM30" i="7"/>
  <c r="BL30" i="7"/>
  <c r="BK30" i="7"/>
  <c r="BK29" i="7"/>
  <c r="AF29" i="7"/>
  <c r="ET28" i="7"/>
  <c r="GB28" i="7" s="1"/>
  <c r="GA27" i="7"/>
  <c r="FZ27" i="7"/>
  <c r="FY27" i="7"/>
  <c r="FV27" i="7"/>
  <c r="FU27" i="7"/>
  <c r="FS27" i="7"/>
  <c r="FP27" i="7"/>
  <c r="EM27" i="7"/>
  <c r="EG27" i="7"/>
  <c r="EB27" i="7"/>
  <c r="DQ27" i="7"/>
  <c r="CJ27" i="7"/>
  <c r="CH27" i="7"/>
  <c r="CB27" i="7"/>
  <c r="BY27" i="7"/>
  <c r="BS27" i="7"/>
  <c r="BJ27" i="7"/>
  <c r="AM27" i="7"/>
  <c r="AI27" i="7"/>
  <c r="AD27" i="7"/>
  <c r="AB27" i="7"/>
  <c r="K27" i="7"/>
  <c r="DP26" i="7"/>
  <c r="DH26" i="7"/>
  <c r="DC26" i="7"/>
  <c r="CY26" i="7"/>
  <c r="CT26" i="7"/>
  <c r="FD25" i="7"/>
  <c r="DC25" i="7"/>
  <c r="CY25" i="7"/>
  <c r="CT25" i="7"/>
  <c r="P23" i="7"/>
  <c r="GB23" i="7" s="1"/>
  <c r="FT22" i="7"/>
  <c r="FN22" i="7"/>
  <c r="FL22" i="7"/>
  <c r="DK21" i="7"/>
  <c r="DG21" i="7"/>
  <c r="DD21" i="7"/>
  <c r="DB21" i="7"/>
  <c r="CX21" i="7"/>
  <c r="CP21" i="7"/>
  <c r="CH21" i="7"/>
  <c r="DS20" i="7"/>
  <c r="GB20" i="7" s="1"/>
  <c r="DD19" i="7"/>
  <c r="CW19" i="7"/>
  <c r="EH18" i="7"/>
  <c r="EE18" i="7"/>
  <c r="DX18" i="7"/>
  <c r="CZ18" i="7"/>
  <c r="CX18" i="7"/>
  <c r="CK18" i="7"/>
  <c r="BP18" i="7"/>
  <c r="BM18" i="7"/>
  <c r="FC17" i="7"/>
  <c r="EW17" i="7"/>
  <c r="EL17" i="7"/>
  <c r="DK17" i="7"/>
  <c r="CW17" i="7"/>
  <c r="CU17" i="7"/>
  <c r="CS17" i="7"/>
  <c r="CN17" i="7"/>
  <c r="CM17" i="7"/>
  <c r="CE17" i="7"/>
  <c r="BL17" i="7"/>
  <c r="FM16" i="7"/>
  <c r="FH16" i="7"/>
  <c r="EF16" i="7"/>
  <c r="EB16" i="7"/>
  <c r="DX16" i="7"/>
  <c r="DS16" i="7"/>
  <c r="DO16" i="7"/>
  <c r="DD16" i="7"/>
  <c r="DB16" i="7"/>
  <c r="CY16" i="7"/>
  <c r="CW16" i="7"/>
  <c r="CT16" i="7"/>
  <c r="CR16" i="7"/>
  <c r="CO16" i="7"/>
  <c r="CM16" i="7"/>
  <c r="CJ16" i="7"/>
  <c r="CE16" i="7"/>
  <c r="CB16" i="7"/>
  <c r="CA16" i="7"/>
  <c r="BY16" i="7"/>
  <c r="BV16" i="7"/>
  <c r="BS16" i="7"/>
  <c r="BR16" i="7"/>
  <c r="BN16" i="7"/>
  <c r="BJ16" i="7"/>
  <c r="BF16" i="7"/>
  <c r="AV16" i="7"/>
  <c r="AB16" i="7"/>
  <c r="Y16" i="7"/>
  <c r="U16" i="7"/>
  <c r="Q16" i="7"/>
  <c r="M16" i="7"/>
  <c r="BN14" i="7"/>
  <c r="GB14" i="7" s="1"/>
  <c r="EY13" i="7"/>
  <c r="EV13" i="7"/>
  <c r="DS13" i="7"/>
  <c r="DG13" i="7"/>
  <c r="BX13" i="7"/>
  <c r="BQ13" i="7"/>
  <c r="AX13" i="7"/>
  <c r="AN13" i="7"/>
  <c r="R13" i="7"/>
  <c r="D13" i="7"/>
  <c r="EG12" i="7"/>
  <c r="EA12" i="7"/>
  <c r="DA12" i="7"/>
  <c r="CV12" i="7"/>
  <c r="CQ12" i="7"/>
  <c r="CE12" i="7"/>
  <c r="CB12" i="7"/>
  <c r="BE12" i="7"/>
  <c r="T12" i="7"/>
  <c r="AP11" i="7"/>
  <c r="GB11" i="7" s="1"/>
  <c r="DX10" i="7"/>
  <c r="GB10" i="7" s="1"/>
  <c r="CM9" i="7"/>
  <c r="CL9" i="7"/>
  <c r="CO8" i="7"/>
  <c r="BU8" i="7"/>
  <c r="X7" i="7"/>
  <c r="GB7" i="7" s="1"/>
  <c r="DJ6" i="7"/>
  <c r="CZ6" i="7"/>
  <c r="CX6" i="7"/>
  <c r="BP5" i="7"/>
  <c r="GB35" i="7" l="1"/>
  <c r="GB29" i="7"/>
  <c r="GB8" i="7"/>
  <c r="GB26" i="7"/>
  <c r="GB25" i="7"/>
  <c r="GB22" i="7"/>
  <c r="GB48" i="7"/>
  <c r="GB32" i="7"/>
  <c r="GB80" i="7"/>
  <c r="GB78" i="7"/>
  <c r="GB83" i="7"/>
  <c r="GB13" i="7"/>
  <c r="GB61" i="7"/>
  <c r="GB69" i="7"/>
  <c r="GB6" i="7"/>
  <c r="GB63" i="7"/>
  <c r="GB74" i="7"/>
  <c r="GB19" i="7"/>
  <c r="GB21" i="7"/>
  <c r="GB38" i="7"/>
  <c r="GB46" i="7"/>
  <c r="GB37" i="7"/>
  <c r="GB41" i="7"/>
  <c r="GB52" i="7"/>
  <c r="GB68" i="7"/>
  <c r="GB73" i="7"/>
  <c r="GB82" i="7"/>
  <c r="GB85" i="7"/>
  <c r="GB44" i="7"/>
  <c r="GB71" i="7"/>
  <c r="GB72" i="7"/>
  <c r="GB87" i="7"/>
  <c r="GB16" i="7"/>
  <c r="GB56" i="7"/>
  <c r="GB40" i="7"/>
  <c r="GB51" i="7"/>
  <c r="GB55" i="7"/>
  <c r="GB57" i="7"/>
  <c r="GB64" i="7"/>
  <c r="GB79" i="7"/>
  <c r="GB89" i="7"/>
  <c r="GB30" i="7"/>
  <c r="GB31" i="7"/>
  <c r="GB49" i="7"/>
  <c r="GB60" i="7"/>
  <c r="GB77" i="7"/>
  <c r="GB86" i="7"/>
  <c r="GB18" i="7"/>
  <c r="GB17" i="7"/>
  <c r="GB54" i="7"/>
  <c r="GB58" i="7"/>
  <c r="GB67" i="7"/>
  <c r="GB33" i="7"/>
  <c r="GB9" i="7"/>
  <c r="GB12" i="7"/>
  <c r="GB62" i="7"/>
  <c r="GB76" i="7"/>
  <c r="GB5" i="7"/>
  <c r="GB27" i="7"/>
</calcChain>
</file>

<file path=xl/sharedStrings.xml><?xml version="1.0" encoding="utf-8"?>
<sst xmlns="http://schemas.openxmlformats.org/spreadsheetml/2006/main" count="271" uniqueCount="271">
  <si>
    <t>S.R.D.S Ltd</t>
  </si>
  <si>
    <t>January - June, 2023</t>
  </si>
  <si>
    <t>Customers</t>
  </si>
  <si>
    <t xml:space="preserve">Customer ID </t>
  </si>
  <si>
    <t>1 Jan, 2023</t>
  </si>
  <si>
    <t>2 Jan, 2023</t>
  </si>
  <si>
    <t>3 Jan, 2023</t>
  </si>
  <si>
    <t>4 Jan, 2023</t>
  </si>
  <si>
    <t>5 Jan, 2023</t>
  </si>
  <si>
    <t>6 Jan, 2023</t>
  </si>
  <si>
    <t>7 Jan, 2023</t>
  </si>
  <si>
    <t>8 Jan, 2023</t>
  </si>
  <si>
    <t>9 Jan, 2023</t>
  </si>
  <si>
    <t>10 Jan, 2023</t>
  </si>
  <si>
    <t>11 Jan, 2023</t>
  </si>
  <si>
    <t>12 Jan, 2023</t>
  </si>
  <si>
    <t>13 Jan, 2023</t>
  </si>
  <si>
    <t>14 Jan, 2023</t>
  </si>
  <si>
    <t>15 Jan, 2023</t>
  </si>
  <si>
    <t>16 Jan, 2023</t>
  </si>
  <si>
    <t>17 Jan, 2023</t>
  </si>
  <si>
    <t>18 Jan, 2023</t>
  </si>
  <si>
    <t>19 Jan, 2023</t>
  </si>
  <si>
    <t>20 Jan, 2023</t>
  </si>
  <si>
    <t>21 Jan, 2023</t>
  </si>
  <si>
    <t>22 Jan, 2023</t>
  </si>
  <si>
    <t>23 Jan, 2023</t>
  </si>
  <si>
    <t>24 Jan, 2023</t>
  </si>
  <si>
    <t>25 Jan, 2023</t>
  </si>
  <si>
    <t>26 Jan, 2023</t>
  </si>
  <si>
    <t>27 Jan, 2023</t>
  </si>
  <si>
    <t>28 Jan, 2023</t>
  </si>
  <si>
    <t>29 Jan, 2023</t>
  </si>
  <si>
    <t>30 Jan, 2023</t>
  </si>
  <si>
    <t>31 Jan, 2023</t>
  </si>
  <si>
    <t>1 Feb, 2023</t>
  </si>
  <si>
    <t>2 Feb, 2023</t>
  </si>
  <si>
    <t>3 Feb, 2023</t>
  </si>
  <si>
    <t>4 Feb, 2023</t>
  </si>
  <si>
    <t>5 Feb, 2023</t>
  </si>
  <si>
    <t>6 Feb, 2023</t>
  </si>
  <si>
    <t>7 Feb, 2023</t>
  </si>
  <si>
    <t>8 Feb, 2023</t>
  </si>
  <si>
    <t>9 Feb, 2023</t>
  </si>
  <si>
    <t>10 Feb, 2023</t>
  </si>
  <si>
    <t>11 Feb, 2023</t>
  </si>
  <si>
    <t>12 Feb, 2023</t>
  </si>
  <si>
    <t>13 Feb, 2023</t>
  </si>
  <si>
    <t>14 Feb, 2023</t>
  </si>
  <si>
    <t>15 Feb, 2023</t>
  </si>
  <si>
    <t>16 Feb, 2023</t>
  </si>
  <si>
    <t>17 Feb, 2023</t>
  </si>
  <si>
    <t>18 Feb, 2023</t>
  </si>
  <si>
    <t>19 Feb, 2023</t>
  </si>
  <si>
    <t>20 Feb, 2023</t>
  </si>
  <si>
    <t>21 Feb, 2023</t>
  </si>
  <si>
    <t>22 Feb, 2023</t>
  </si>
  <si>
    <t>23 Feb, 2023</t>
  </si>
  <si>
    <t>24 Feb, 2023</t>
  </si>
  <si>
    <t>25 Feb, 2023</t>
  </si>
  <si>
    <t>26 Feb, 2023</t>
  </si>
  <si>
    <t>27 Feb, 2023</t>
  </si>
  <si>
    <t>28 Feb, 2023</t>
  </si>
  <si>
    <t>1 Mar, 2023</t>
  </si>
  <si>
    <t>2 Mar, 2023</t>
  </si>
  <si>
    <t>3 Mar, 2023</t>
  </si>
  <si>
    <t>4 Mar, 2023</t>
  </si>
  <si>
    <t>5 Mar, 2023</t>
  </si>
  <si>
    <t>6 Mar, 2023</t>
  </si>
  <si>
    <t>7 Mar, 2023</t>
  </si>
  <si>
    <t>8 Mar, 2023</t>
  </si>
  <si>
    <t>9 Mar, 2023</t>
  </si>
  <si>
    <t>10 Mar, 2023</t>
  </si>
  <si>
    <t>11 Mar, 2023</t>
  </si>
  <si>
    <t>12 Mar, 2023</t>
  </si>
  <si>
    <t>13 Mar, 2023</t>
  </si>
  <si>
    <t>14 Mar, 2023</t>
  </si>
  <si>
    <t>15 Mar, 2023</t>
  </si>
  <si>
    <t>16 Mar, 2023</t>
  </si>
  <si>
    <t>17 Mar, 2023</t>
  </si>
  <si>
    <t>18 Mar, 2023</t>
  </si>
  <si>
    <t>19 Mar, 2023</t>
  </si>
  <si>
    <t>20 Mar, 2023</t>
  </si>
  <si>
    <t>21 Mar, 2023</t>
  </si>
  <si>
    <t>22 Mar, 2023</t>
  </si>
  <si>
    <t>23 Mar, 2023</t>
  </si>
  <si>
    <t>24 Mar, 2023</t>
  </si>
  <si>
    <t>25 Mar, 2023</t>
  </si>
  <si>
    <t>26 Mar, 2023</t>
  </si>
  <si>
    <t>27 Mar, 2023</t>
  </si>
  <si>
    <t>28 Mar, 2023</t>
  </si>
  <si>
    <t>29 Mar, 2023</t>
  </si>
  <si>
    <t>30 Mar, 2023</t>
  </si>
  <si>
    <t>31 Mar, 2023</t>
  </si>
  <si>
    <t>1 Apr, 2023</t>
  </si>
  <si>
    <t>2 Apr, 2023</t>
  </si>
  <si>
    <t>3 Apr, 2023</t>
  </si>
  <si>
    <t>4 Apr, 2023</t>
  </si>
  <si>
    <t>5 Apr, 2023</t>
  </si>
  <si>
    <t>6 Apr, 2023</t>
  </si>
  <si>
    <t>7 Apr, 2023</t>
  </si>
  <si>
    <t>8 Apr, 2023</t>
  </si>
  <si>
    <t>9 Apr, 2023</t>
  </si>
  <si>
    <t>10 Apr, 2023</t>
  </si>
  <si>
    <t>11 Apr, 2023</t>
  </si>
  <si>
    <t>12 Apr, 2023</t>
  </si>
  <si>
    <t>13 Apr, 2023</t>
  </si>
  <si>
    <t>14 Apr, 2023</t>
  </si>
  <si>
    <t>15 Apr, 2023</t>
  </si>
  <si>
    <t>16 Apr, 2023</t>
  </si>
  <si>
    <t>17 Apr, 2023</t>
  </si>
  <si>
    <t>18 Apr, 2023</t>
  </si>
  <si>
    <t>19 Apr, 2023</t>
  </si>
  <si>
    <t>20 Apr, 2023</t>
  </si>
  <si>
    <t>21 Apr, 2023</t>
  </si>
  <si>
    <t>22 Apr, 2023</t>
  </si>
  <si>
    <t>23 Apr, 2023</t>
  </si>
  <si>
    <t>24 Apr, 2023</t>
  </si>
  <si>
    <t>25 Apr, 2023</t>
  </si>
  <si>
    <t>26 Apr, 2023</t>
  </si>
  <si>
    <t>27 Apr, 2023</t>
  </si>
  <si>
    <t>28 Apr, 2023</t>
  </si>
  <si>
    <t>29 Apr, 2023</t>
  </si>
  <si>
    <t>30 Apr, 2023</t>
  </si>
  <si>
    <t>1 May, 2023</t>
  </si>
  <si>
    <t>2 May, 2023</t>
  </si>
  <si>
    <t>3 May, 2023</t>
  </si>
  <si>
    <t>4 May, 2023</t>
  </si>
  <si>
    <t>5 May, 2023</t>
  </si>
  <si>
    <t>6 May, 2023</t>
  </si>
  <si>
    <t>7 May, 2023</t>
  </si>
  <si>
    <t>8 May, 2023</t>
  </si>
  <si>
    <t>9 May, 2023</t>
  </si>
  <si>
    <t>10 May, 2023</t>
  </si>
  <si>
    <t>11 May, 2023</t>
  </si>
  <si>
    <t>12 May, 2023</t>
  </si>
  <si>
    <t>13 May, 2023</t>
  </si>
  <si>
    <t>14 May, 2023</t>
  </si>
  <si>
    <t>15 May, 2023</t>
  </si>
  <si>
    <t>16 May, 2023</t>
  </si>
  <si>
    <t>17 May, 2023</t>
  </si>
  <si>
    <t>18 May, 2023</t>
  </si>
  <si>
    <t>19 May, 2023</t>
  </si>
  <si>
    <t>20 May, 2023</t>
  </si>
  <si>
    <t>21 May, 2023</t>
  </si>
  <si>
    <t>22 May, 2023</t>
  </si>
  <si>
    <t>23 May, 2023</t>
  </si>
  <si>
    <t>24 May, 2023</t>
  </si>
  <si>
    <t>25 May, 2023</t>
  </si>
  <si>
    <t>26 May, 2023</t>
  </si>
  <si>
    <t>27 May, 2023</t>
  </si>
  <si>
    <t>28 May, 2023</t>
  </si>
  <si>
    <t>29 May, 2023</t>
  </si>
  <si>
    <t>30 May, 2023</t>
  </si>
  <si>
    <t>31 May, 2023</t>
  </si>
  <si>
    <t>1 Jun, 2023</t>
  </si>
  <si>
    <t>2 Jun, 2023</t>
  </si>
  <si>
    <t>3 Jun, 2023</t>
  </si>
  <si>
    <t>4 Jun, 2023</t>
  </si>
  <si>
    <t>5 Jun, 2023</t>
  </si>
  <si>
    <t>6 Jun, 2023</t>
  </si>
  <si>
    <t>7 Jun, 2023</t>
  </si>
  <si>
    <t>8 Jun, 2023</t>
  </si>
  <si>
    <t>9 Jun, 2023</t>
  </si>
  <si>
    <t>10 Jun, 2023</t>
  </si>
  <si>
    <t>11 Jun, 2023</t>
  </si>
  <si>
    <t>12 Jun, 2023</t>
  </si>
  <si>
    <t>13 Jun, 2023</t>
  </si>
  <si>
    <t>14 Jun, 2023</t>
  </si>
  <si>
    <t>15 Jun, 2023</t>
  </si>
  <si>
    <t>16 Jun, 2023</t>
  </si>
  <si>
    <t>17 Jun, 2023</t>
  </si>
  <si>
    <t>18 Jun, 2023</t>
  </si>
  <si>
    <t>19 Jun, 2023</t>
  </si>
  <si>
    <t>20 Jun, 2023</t>
  </si>
  <si>
    <t>21 Jun, 2023</t>
  </si>
  <si>
    <t>22 Jun, 2023</t>
  </si>
  <si>
    <t>23 Jun, 2023</t>
  </si>
  <si>
    <t>24 Jun, 2023</t>
  </si>
  <si>
    <t>25 Jun, 2023</t>
  </si>
  <si>
    <t>26 Jun, 2023</t>
  </si>
  <si>
    <t>27 Jun, 2023</t>
  </si>
  <si>
    <t>28 Jun, 2023</t>
  </si>
  <si>
    <t>29 Jun, 2023</t>
  </si>
  <si>
    <t>30 Jun, 2023</t>
  </si>
  <si>
    <t>Total</t>
  </si>
  <si>
    <t>Adolate</t>
  </si>
  <si>
    <t>Aline</t>
  </si>
  <si>
    <t>Arbert / Nyagatovu</t>
  </si>
  <si>
    <t>Arthure</t>
  </si>
  <si>
    <t>BATSINDA</t>
  </si>
  <si>
    <t>Batsinda Project</t>
  </si>
  <si>
    <t>Bernard (Papa Caleb)</t>
  </si>
  <si>
    <t>Betty / Nyabisindu</t>
  </si>
  <si>
    <t>Bucyana / Bannyahe 78835156301</t>
  </si>
  <si>
    <t>Celeman</t>
  </si>
  <si>
    <t>Charles</t>
  </si>
  <si>
    <t>Claude / Rwahama</t>
  </si>
  <si>
    <t>clementine</t>
  </si>
  <si>
    <t>Coliba / Rukara</t>
  </si>
  <si>
    <t>Dady / Gisozi</t>
  </si>
  <si>
    <t>Damascene / 108361129</t>
  </si>
  <si>
    <t>David / Birembo</t>
  </si>
  <si>
    <t>Deo Kicukiro</t>
  </si>
  <si>
    <t>Diane / Kacyiru</t>
  </si>
  <si>
    <t>Double Chance</t>
  </si>
  <si>
    <t>Edimon / Nyamata</t>
  </si>
  <si>
    <t>Eric / Bugesera</t>
  </si>
  <si>
    <t>Fabien / Kicukirio</t>
  </si>
  <si>
    <t>Faustin (Sunika)</t>
  </si>
  <si>
    <t>Filao</t>
  </si>
  <si>
    <t>Fiston</t>
  </si>
  <si>
    <t>FURGENCE</t>
  </si>
  <si>
    <t>Gahire</t>
  </si>
  <si>
    <t>Gakwaya &amp; Gatuza (Nduba) / 0788351563</t>
  </si>
  <si>
    <t>Gasongo</t>
  </si>
  <si>
    <t>Gaspard</t>
  </si>
  <si>
    <t>Gentille</t>
  </si>
  <si>
    <t>Germain</t>
  </si>
  <si>
    <t>Gihozo</t>
  </si>
  <si>
    <t>Grain Kinyinya</t>
  </si>
  <si>
    <t>Herman / Mumugi</t>
  </si>
  <si>
    <t>Herman Nyabugogo</t>
  </si>
  <si>
    <t>Honorine</t>
  </si>
  <si>
    <t>ikivi</t>
  </si>
  <si>
    <t>Innocent</t>
  </si>
  <si>
    <t>J.M.V. NYABUGO</t>
  </si>
  <si>
    <t>Jado / Kami</t>
  </si>
  <si>
    <t>Janvier / Kisimenti</t>
  </si>
  <si>
    <t>Jeannine / Voisine</t>
  </si>
  <si>
    <t>jovia</t>
  </si>
  <si>
    <t>Joy Kanombe</t>
  </si>
  <si>
    <t>kabanda</t>
  </si>
  <si>
    <t>Kagwiza</t>
  </si>
  <si>
    <t>Kamodoka</t>
  </si>
  <si>
    <t>KANAKUZE</t>
  </si>
  <si>
    <t>kayitare</t>
  </si>
  <si>
    <t>Kayitesi</t>
  </si>
  <si>
    <t>Kazungu / Mushimire</t>
  </si>
  <si>
    <t>Magrette</t>
  </si>
  <si>
    <t>mama etta</t>
  </si>
  <si>
    <t>mama nelly</t>
  </si>
  <si>
    <t>maurice</t>
  </si>
  <si>
    <t>Mbabazi</t>
  </si>
  <si>
    <t>MICHELLE</t>
  </si>
  <si>
    <t>Mukamusoni</t>
  </si>
  <si>
    <t>Mupenzi</t>
  </si>
  <si>
    <t>Mutsinzi Mugihogere / 111454166</t>
  </si>
  <si>
    <t>Ngabire / Masizi</t>
  </si>
  <si>
    <t>Nkunsi / Kicukiro</t>
  </si>
  <si>
    <t>Ntawigira Emmanuel / Papa Fab</t>
  </si>
  <si>
    <t>Ntwari / Yvette</t>
  </si>
  <si>
    <t>Nyabitare Bonaventure / 0788827066</t>
  </si>
  <si>
    <t>Oleste</t>
  </si>
  <si>
    <t>Peter / 102500107</t>
  </si>
  <si>
    <t>PETER / LE 20</t>
  </si>
  <si>
    <t>Picou / Bralirwa</t>
  </si>
  <si>
    <t>PLACIDE</t>
  </si>
  <si>
    <t>police</t>
  </si>
  <si>
    <t>Raphael /Kanombe</t>
  </si>
  <si>
    <t>RONARD</t>
  </si>
  <si>
    <t>SEBACURUZI</t>
  </si>
  <si>
    <t>Selemani Nyamirambo / 101486430</t>
  </si>
  <si>
    <t>Solange / Bugesera</t>
  </si>
  <si>
    <t>Sultan / 103383876</t>
  </si>
  <si>
    <t>TATE</t>
  </si>
  <si>
    <t>theogene</t>
  </si>
  <si>
    <t>THERESE</t>
  </si>
  <si>
    <t>Uwase</t>
  </si>
  <si>
    <t>Xavier / Kanombe</t>
  </si>
  <si>
    <t>Yvonne / Rwimpyisi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</si>
</sst>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3" fontId="1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quotePrefix="1" applyFont="1" applyAlignment="1">
      <alignment horizontal="left" wrapText="1"/>
    </xf>
    <xf numFmtId="3" fontId="3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right" wrapText="1"/>
    </xf>
    <xf numFmtId="0" fontId="0" fillId="0" borderId="0" xfId="0" applyAlignment="1">
      <alignment horizontal="left"/>
    </xf>
    <xf numFmtId="3" fontId="0" fillId="0" borderId="0" xfId="0" applyNumberForma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4"/>
  <sheetViews>
    <sheetView tabSelected="1" workbookViewId="0">
      <pane xSplit="2" ySplit="4" topLeftCell="C81" activePane="bottomRight" state="frozen"/>
      <selection pane="bottomRight" activeCell="D90" sqref="D90"/>
      <selection pane="bottomLeft" activeCell="A5" sqref="A5"/>
      <selection pane="topRight" activeCell="C1" sqref="C1"/>
    </sheetView>
  </sheetViews>
  <sheetFormatPr defaultRowHeight="14.45"/>
  <cols>
    <col min="1" max="1" width="39.7109375" bestFit="1" customWidth="1"/>
    <col min="2" max="2" width="13.5703125" style="9" bestFit="1" customWidth="1"/>
    <col min="3" max="11" width="13.85546875" style="10" bestFit="1" customWidth="1"/>
    <col min="12" max="33" width="14.7109375" style="10" bestFit="1" customWidth="1"/>
    <col min="34" max="42" width="14" style="10" bestFit="1" customWidth="1"/>
    <col min="43" max="61" width="14.85546875" style="10" bestFit="1" customWidth="1"/>
    <col min="62" max="70" width="14" style="10" bestFit="1" customWidth="1"/>
    <col min="71" max="92" width="14.85546875" style="10" bestFit="1" customWidth="1"/>
    <col min="93" max="93" width="13.7109375" style="10" customWidth="1"/>
    <col min="94" max="94" width="13.7109375" style="10" bestFit="1" customWidth="1"/>
    <col min="95" max="95" width="13.7109375" style="10" customWidth="1"/>
    <col min="96" max="99" width="13.7109375" style="10" bestFit="1" customWidth="1"/>
    <col min="100" max="100" width="13.7109375" style="10" customWidth="1"/>
    <col min="101" max="101" width="13.7109375" style="10" bestFit="1" customWidth="1"/>
    <col min="102" max="122" width="14.5703125" style="10" bestFit="1" customWidth="1"/>
    <col min="123" max="131" width="14.140625" style="10" bestFit="1" customWidth="1"/>
    <col min="132" max="153" width="15" style="10" bestFit="1" customWidth="1"/>
    <col min="154" max="162" width="13.85546875" style="10" bestFit="1" customWidth="1"/>
    <col min="163" max="183" width="14.85546875" style="10" bestFit="1" customWidth="1"/>
    <col min="184" max="184" width="9.140625" style="10" bestFit="1" customWidth="1"/>
  </cols>
  <sheetData>
    <row r="1" spans="1:184" ht="17.649999999999999">
      <c r="A1" s="1" t="s">
        <v>0</v>
      </c>
      <c r="B1" s="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</row>
    <row r="2" spans="1:184">
      <c r="A2" s="2" t="s">
        <v>1</v>
      </c>
      <c r="B2" s="3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</row>
    <row r="4" spans="1:184" s="13" customFormat="1">
      <c r="A4" s="11" t="s">
        <v>2</v>
      </c>
      <c r="B4" s="12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4" t="s">
        <v>39</v>
      </c>
      <c r="AM4" s="4" t="s">
        <v>40</v>
      </c>
      <c r="AN4" s="4" t="s">
        <v>41</v>
      </c>
      <c r="AO4" s="4" t="s">
        <v>42</v>
      </c>
      <c r="AP4" s="4" t="s">
        <v>43</v>
      </c>
      <c r="AQ4" s="4" t="s">
        <v>44</v>
      </c>
      <c r="AR4" s="4" t="s">
        <v>45</v>
      </c>
      <c r="AS4" s="4" t="s">
        <v>46</v>
      </c>
      <c r="AT4" s="4" t="s">
        <v>47</v>
      </c>
      <c r="AU4" s="4" t="s">
        <v>48</v>
      </c>
      <c r="AV4" s="4" t="s">
        <v>49</v>
      </c>
      <c r="AW4" s="4" t="s">
        <v>50</v>
      </c>
      <c r="AX4" s="4" t="s">
        <v>51</v>
      </c>
      <c r="AY4" s="4" t="s">
        <v>52</v>
      </c>
      <c r="AZ4" s="4" t="s">
        <v>53</v>
      </c>
      <c r="BA4" s="4" t="s">
        <v>54</v>
      </c>
      <c r="BB4" s="4" t="s">
        <v>55</v>
      </c>
      <c r="BC4" s="4" t="s">
        <v>56</v>
      </c>
      <c r="BD4" s="4" t="s">
        <v>57</v>
      </c>
      <c r="BE4" s="4" t="s">
        <v>58</v>
      </c>
      <c r="BF4" s="4" t="s">
        <v>59</v>
      </c>
      <c r="BG4" s="4" t="s">
        <v>60</v>
      </c>
      <c r="BH4" s="4" t="s">
        <v>61</v>
      </c>
      <c r="BI4" s="4" t="s">
        <v>62</v>
      </c>
      <c r="BJ4" s="4" t="s">
        <v>63</v>
      </c>
      <c r="BK4" s="4" t="s">
        <v>64</v>
      </c>
      <c r="BL4" s="4" t="s">
        <v>65</v>
      </c>
      <c r="BM4" s="4" t="s">
        <v>66</v>
      </c>
      <c r="BN4" s="4" t="s">
        <v>67</v>
      </c>
      <c r="BO4" s="4" t="s">
        <v>68</v>
      </c>
      <c r="BP4" s="4" t="s">
        <v>69</v>
      </c>
      <c r="BQ4" s="4" t="s">
        <v>70</v>
      </c>
      <c r="BR4" s="4" t="s">
        <v>71</v>
      </c>
      <c r="BS4" s="4" t="s">
        <v>72</v>
      </c>
      <c r="BT4" s="4" t="s">
        <v>73</v>
      </c>
      <c r="BU4" s="4" t="s">
        <v>74</v>
      </c>
      <c r="BV4" s="4" t="s">
        <v>75</v>
      </c>
      <c r="BW4" s="4" t="s">
        <v>76</v>
      </c>
      <c r="BX4" s="4" t="s">
        <v>77</v>
      </c>
      <c r="BY4" s="4" t="s">
        <v>78</v>
      </c>
      <c r="BZ4" s="4" t="s">
        <v>79</v>
      </c>
      <c r="CA4" s="4" t="s">
        <v>80</v>
      </c>
      <c r="CB4" s="4" t="s">
        <v>81</v>
      </c>
      <c r="CC4" s="4" t="s">
        <v>82</v>
      </c>
      <c r="CD4" s="4" t="s">
        <v>83</v>
      </c>
      <c r="CE4" s="4" t="s">
        <v>84</v>
      </c>
      <c r="CF4" s="4" t="s">
        <v>85</v>
      </c>
      <c r="CG4" s="4" t="s">
        <v>86</v>
      </c>
      <c r="CH4" s="4" t="s">
        <v>87</v>
      </c>
      <c r="CI4" s="4" t="s">
        <v>88</v>
      </c>
      <c r="CJ4" s="4" t="s">
        <v>89</v>
      </c>
      <c r="CK4" s="4" t="s">
        <v>90</v>
      </c>
      <c r="CL4" s="4" t="s">
        <v>91</v>
      </c>
      <c r="CM4" s="4" t="s">
        <v>92</v>
      </c>
      <c r="CN4" s="4" t="s">
        <v>93</v>
      </c>
      <c r="CO4" s="4" t="s">
        <v>94</v>
      </c>
      <c r="CP4" s="4" t="s">
        <v>95</v>
      </c>
      <c r="CQ4" s="4" t="s">
        <v>96</v>
      </c>
      <c r="CR4" s="4" t="s">
        <v>97</v>
      </c>
      <c r="CS4" s="4" t="s">
        <v>98</v>
      </c>
      <c r="CT4" s="4" t="s">
        <v>99</v>
      </c>
      <c r="CU4" s="4" t="s">
        <v>100</v>
      </c>
      <c r="CV4" s="4" t="s">
        <v>101</v>
      </c>
      <c r="CW4" s="4" t="s">
        <v>102</v>
      </c>
      <c r="CX4" s="4" t="s">
        <v>103</v>
      </c>
      <c r="CY4" s="4" t="s">
        <v>104</v>
      </c>
      <c r="CZ4" s="4" t="s">
        <v>105</v>
      </c>
      <c r="DA4" s="4" t="s">
        <v>106</v>
      </c>
      <c r="DB4" s="4" t="s">
        <v>107</v>
      </c>
      <c r="DC4" s="4" t="s">
        <v>108</v>
      </c>
      <c r="DD4" s="4" t="s">
        <v>109</v>
      </c>
      <c r="DE4" s="4" t="s">
        <v>110</v>
      </c>
      <c r="DF4" s="4" t="s">
        <v>111</v>
      </c>
      <c r="DG4" s="4" t="s">
        <v>112</v>
      </c>
      <c r="DH4" s="4" t="s">
        <v>113</v>
      </c>
      <c r="DI4" s="4" t="s">
        <v>114</v>
      </c>
      <c r="DJ4" s="4" t="s">
        <v>115</v>
      </c>
      <c r="DK4" s="4" t="s">
        <v>116</v>
      </c>
      <c r="DL4" s="4" t="s">
        <v>117</v>
      </c>
      <c r="DM4" s="4" t="s">
        <v>118</v>
      </c>
      <c r="DN4" s="4" t="s">
        <v>119</v>
      </c>
      <c r="DO4" s="4" t="s">
        <v>120</v>
      </c>
      <c r="DP4" s="4" t="s">
        <v>121</v>
      </c>
      <c r="DQ4" s="4" t="s">
        <v>122</v>
      </c>
      <c r="DR4" s="4" t="s">
        <v>123</v>
      </c>
      <c r="DS4" s="4" t="s">
        <v>124</v>
      </c>
      <c r="DT4" s="4" t="s">
        <v>125</v>
      </c>
      <c r="DU4" s="4" t="s">
        <v>126</v>
      </c>
      <c r="DV4" s="4" t="s">
        <v>127</v>
      </c>
      <c r="DW4" s="4" t="s">
        <v>128</v>
      </c>
      <c r="DX4" s="4" t="s">
        <v>129</v>
      </c>
      <c r="DY4" s="4" t="s">
        <v>130</v>
      </c>
      <c r="DZ4" s="4" t="s">
        <v>131</v>
      </c>
      <c r="EA4" s="4" t="s">
        <v>132</v>
      </c>
      <c r="EB4" s="4" t="s">
        <v>133</v>
      </c>
      <c r="EC4" s="4" t="s">
        <v>134</v>
      </c>
      <c r="ED4" s="4" t="s">
        <v>135</v>
      </c>
      <c r="EE4" s="4" t="s">
        <v>136</v>
      </c>
      <c r="EF4" s="4" t="s">
        <v>137</v>
      </c>
      <c r="EG4" s="4" t="s">
        <v>138</v>
      </c>
      <c r="EH4" s="4" t="s">
        <v>139</v>
      </c>
      <c r="EI4" s="4" t="s">
        <v>140</v>
      </c>
      <c r="EJ4" s="4" t="s">
        <v>141</v>
      </c>
      <c r="EK4" s="4" t="s">
        <v>142</v>
      </c>
      <c r="EL4" s="4" t="s">
        <v>143</v>
      </c>
      <c r="EM4" s="4" t="s">
        <v>144</v>
      </c>
      <c r="EN4" s="4" t="s">
        <v>145</v>
      </c>
      <c r="EO4" s="4" t="s">
        <v>146</v>
      </c>
      <c r="EP4" s="4" t="s">
        <v>147</v>
      </c>
      <c r="EQ4" s="4" t="s">
        <v>148</v>
      </c>
      <c r="ER4" s="4" t="s">
        <v>149</v>
      </c>
      <c r="ES4" s="4" t="s">
        <v>150</v>
      </c>
      <c r="ET4" s="4" t="s">
        <v>151</v>
      </c>
      <c r="EU4" s="4" t="s">
        <v>152</v>
      </c>
      <c r="EV4" s="4" t="s">
        <v>153</v>
      </c>
      <c r="EW4" s="4" t="s">
        <v>154</v>
      </c>
      <c r="EX4" s="4" t="s">
        <v>155</v>
      </c>
      <c r="EY4" s="4" t="s">
        <v>156</v>
      </c>
      <c r="EZ4" s="4" t="s">
        <v>157</v>
      </c>
      <c r="FA4" s="4" t="s">
        <v>158</v>
      </c>
      <c r="FB4" s="4" t="s">
        <v>159</v>
      </c>
      <c r="FC4" s="4" t="s">
        <v>160</v>
      </c>
      <c r="FD4" s="4" t="s">
        <v>161</v>
      </c>
      <c r="FE4" s="4" t="s">
        <v>162</v>
      </c>
      <c r="FF4" s="4" t="s">
        <v>163</v>
      </c>
      <c r="FG4" s="4" t="s">
        <v>164</v>
      </c>
      <c r="FH4" s="4" t="s">
        <v>165</v>
      </c>
      <c r="FI4" s="4" t="s">
        <v>166</v>
      </c>
      <c r="FJ4" s="4" t="s">
        <v>167</v>
      </c>
      <c r="FK4" s="4" t="s">
        <v>168</v>
      </c>
      <c r="FL4" s="4" t="s">
        <v>169</v>
      </c>
      <c r="FM4" s="4" t="s">
        <v>170</v>
      </c>
      <c r="FN4" s="4" t="s">
        <v>171</v>
      </c>
      <c r="FO4" s="4" t="s">
        <v>172</v>
      </c>
      <c r="FP4" s="4" t="s">
        <v>173</v>
      </c>
      <c r="FQ4" s="4" t="s">
        <v>174</v>
      </c>
      <c r="FR4" s="4" t="s">
        <v>175</v>
      </c>
      <c r="FS4" s="4" t="s">
        <v>176</v>
      </c>
      <c r="FT4" s="4" t="s">
        <v>177</v>
      </c>
      <c r="FU4" s="4" t="s">
        <v>178</v>
      </c>
      <c r="FV4" s="4" t="s">
        <v>179</v>
      </c>
      <c r="FW4" s="4" t="s">
        <v>180</v>
      </c>
      <c r="FX4" s="4" t="s">
        <v>181</v>
      </c>
      <c r="FY4" s="4" t="s">
        <v>182</v>
      </c>
      <c r="FZ4" s="4" t="s">
        <v>183</v>
      </c>
      <c r="GA4" s="4" t="s">
        <v>184</v>
      </c>
      <c r="GB4" s="4" t="s">
        <v>185</v>
      </c>
    </row>
    <row r="5" spans="1:184">
      <c r="A5" s="5" t="s">
        <v>186</v>
      </c>
      <c r="B5" s="6">
        <v>788436979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8">
        <f>967254.23</f>
        <v>967254.23</v>
      </c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8">
        <f t="shared" ref="GB5:GB14" si="0">((((((((((((((((((((((((((((((((((((((((((((((((((((((((((((((((((((((((((((((((((((((((((((((((((((((((((((((((((((((((((((((((((((((((((((((((((((((((((((((((((((((((((((((((((((C5)+(D5))+(E5))+(F5))+(G5))+(H5))+(I5))+(J5))+(K5))+(L5))+(M5))+(N5))+(O5))+(P5))+(Q5))+(R5))+(S5))+(T5))+(U5))+(V5))+(W5))+(X5))+(Y5))+(Z5))+(AA5))+(AB5))+(AC5))+(AD5))+(AE5))+(AF5))+(AG5))+(AH5))+(AI5))+(AJ5))+(AK5))+(AL5))+(AM5))+(AN5))+(AO5))+(AP5))+(AQ5))+(AR5))+(AS5))+(AT5))+(AU5))+(AV5))+(AW5))+(AX5))+(AY5))+(AZ5))+(BA5))+(BB5))+(BC5))+(BD5))+(BE5))+(BF5))+(BG5))+(BH5))+(BI5))+(BJ5))+(BK5))+(BL5))+(BM5))+(BN5))+(BO5))+(BP5))+(BQ5))+(BR5))+(BS5))+(BT5))+(BU5))+(BV5))+(BW5))+(BX5))+(BY5))+(BZ5))+(CA5))+(CB5))+(CC5))+(CD5))+(CE5))+(CF5))+(CG5))+(CH5))+(CI5))+(CJ5))+(CK5))+(CL5))+(CM5))+(CN5))+(CO5))+(CP5))+(CQ5))+(CR5))+(CS5))+(CT5))+(CU5))+(CV5))+(CW5))+(CX5))+(CY5))+(CZ5))+(DA5))+(DB5))+(DC5))+(DD5))+(DE5))+(DF5))+(DG5))+(DH5))+(DI5))+(DJ5))+(DK5))+(DL5))+(DM5))+(DN5))+(DO5))+(DP5))+(DQ5))+(DR5))+(DS5))+(DT5))+(DU5))+(DV5))+(DW5))+(DX5))+(DY5))+(DZ5))+(EA5))+(EB5))+(EC5))+(ED5))+(EE5))+(EF5))+(EG5))+(EH5))+(EI5))+(EJ5))+(EK5))+(EL5))+(EM5))+(EN5))+(EO5))+(EP5))+(EQ5))+(ER5))+(ES5))+(ET5))+(EU5))+(EV5))+(EW5))+(EX5))+(EY5))+(EZ5))+(FA5))+(FB5))+(FC5))+(FD5))+(FE5))+(FF5))+(FG5))+(FH5))+(FI5))+(FJ5))+(FK5))+(FL5))+(FM5))+(FN5))+(FO5))+(FP5))+(FQ5))+(FR5))+(FS5))+(FT5))+(FU5))+(FV5))+(FW5))+(FX5))+(FY5))+(FZ5))+(GA5)</f>
        <v>967254.23</v>
      </c>
    </row>
    <row r="6" spans="1:184">
      <c r="A6" s="5" t="s">
        <v>187</v>
      </c>
      <c r="B6" s="6">
        <v>781143620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8">
        <f>726350.85</f>
        <v>726350.85</v>
      </c>
      <c r="CY6" s="7"/>
      <c r="CZ6" s="8">
        <f>647661.02</f>
        <v>647661.02</v>
      </c>
      <c r="DA6" s="7"/>
      <c r="DB6" s="7"/>
      <c r="DC6" s="7"/>
      <c r="DD6" s="7"/>
      <c r="DE6" s="7"/>
      <c r="DF6" s="7"/>
      <c r="DG6" s="7"/>
      <c r="DH6" s="7"/>
      <c r="DI6" s="7"/>
      <c r="DJ6" s="8">
        <f>343550.85</f>
        <v>343550.85</v>
      </c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8">
        <f t="shared" si="0"/>
        <v>1717562.7200000002</v>
      </c>
    </row>
    <row r="7" spans="1:184">
      <c r="A7" s="5" t="s">
        <v>188</v>
      </c>
      <c r="B7" s="6">
        <v>786764619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>
        <f>847305.08</f>
        <v>847305.08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8">
        <f t="shared" si="0"/>
        <v>847305.08</v>
      </c>
    </row>
    <row r="8" spans="1:184">
      <c r="A8" s="5" t="s">
        <v>189</v>
      </c>
      <c r="B8" s="6">
        <v>785759053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8">
        <f>450547.45</f>
        <v>450547.45</v>
      </c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8">
        <f>18905.08</f>
        <v>18905.080000000002</v>
      </c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8">
        <f t="shared" si="0"/>
        <v>469452.53</v>
      </c>
    </row>
    <row r="9" spans="1:184">
      <c r="A9" s="5" t="s">
        <v>190</v>
      </c>
      <c r="B9" s="6">
        <v>789454493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8">
        <f>98338.98</f>
        <v>98338.98</v>
      </c>
      <c r="CM9" s="8">
        <f>548703.39</f>
        <v>548703.39</v>
      </c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8">
        <f t="shared" si="0"/>
        <v>647042.37</v>
      </c>
    </row>
    <row r="10" spans="1:184">
      <c r="A10" s="5" t="s">
        <v>191</v>
      </c>
      <c r="B10" s="6">
        <v>784152555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8">
        <f>594772.89</f>
        <v>594772.89</v>
      </c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8">
        <f t="shared" si="0"/>
        <v>594772.89</v>
      </c>
    </row>
    <row r="11" spans="1:184">
      <c r="A11" s="5" t="s">
        <v>192</v>
      </c>
      <c r="B11" s="6">
        <v>788303547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8">
        <f>178962.71</f>
        <v>178962.71</v>
      </c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8">
        <f t="shared" si="0"/>
        <v>178962.71</v>
      </c>
    </row>
    <row r="12" spans="1:184">
      <c r="A12" s="5" t="s">
        <v>193</v>
      </c>
      <c r="B12" s="6">
        <v>788743263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8">
        <f>634559.32</f>
        <v>634559.31999999995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8">
        <f>1256476.28</f>
        <v>1256476.28</v>
      </c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8">
        <f>751966.1</f>
        <v>751966.1</v>
      </c>
      <c r="CC12" s="7"/>
      <c r="CD12" s="7"/>
      <c r="CE12" s="8">
        <f>962169.48</f>
        <v>962169.48</v>
      </c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8">
        <f>1248711.86</f>
        <v>1248711.8600000001</v>
      </c>
      <c r="CR12" s="7"/>
      <c r="CS12" s="7"/>
      <c r="CT12" s="7"/>
      <c r="CU12" s="7"/>
      <c r="CV12" s="8">
        <f>1591644.06</f>
        <v>1591644.06</v>
      </c>
      <c r="CW12" s="7"/>
      <c r="CX12" s="7"/>
      <c r="CY12" s="7"/>
      <c r="CZ12" s="7"/>
      <c r="DA12" s="8">
        <f>349288.14</f>
        <v>349288.14</v>
      </c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8">
        <f>1282610.17</f>
        <v>1282610.17</v>
      </c>
      <c r="EB12" s="7"/>
      <c r="EC12" s="7"/>
      <c r="ED12" s="7"/>
      <c r="EE12" s="7"/>
      <c r="EF12" s="7"/>
      <c r="EG12" s="8">
        <f>450983.05</f>
        <v>450983.05</v>
      </c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8">
        <f t="shared" si="0"/>
        <v>8528408.459999999</v>
      </c>
    </row>
    <row r="13" spans="1:184">
      <c r="A13" s="5" t="s">
        <v>194</v>
      </c>
      <c r="B13" s="6">
        <v>78835156301</v>
      </c>
      <c r="C13" s="7"/>
      <c r="D13" s="8">
        <f>457372.87</f>
        <v>457372.87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8">
        <f>541499.99</f>
        <v>541499.99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8">
        <f>692381.35</f>
        <v>692381.35</v>
      </c>
      <c r="AO13" s="7"/>
      <c r="AP13" s="7"/>
      <c r="AQ13" s="7"/>
      <c r="AR13" s="7"/>
      <c r="AS13" s="7"/>
      <c r="AT13" s="7"/>
      <c r="AU13" s="7"/>
      <c r="AV13" s="7"/>
      <c r="AW13" s="7"/>
      <c r="AX13" s="8">
        <f>681347.46</f>
        <v>681347.46</v>
      </c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8">
        <f>659754.24</f>
        <v>659754.23999999999</v>
      </c>
      <c r="BR13" s="7"/>
      <c r="BS13" s="7"/>
      <c r="BT13" s="7"/>
      <c r="BU13" s="7"/>
      <c r="BV13" s="7"/>
      <c r="BW13" s="7"/>
      <c r="BX13" s="8">
        <f>502288.14</f>
        <v>502288.14</v>
      </c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8">
        <f>853855.92</f>
        <v>853855.92</v>
      </c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8">
        <f>732300</f>
        <v>732300</v>
      </c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8">
        <f>684118.64</f>
        <v>684118.64</v>
      </c>
      <c r="EW13" s="7"/>
      <c r="EX13" s="7"/>
      <c r="EY13" s="8">
        <f>640652.55</f>
        <v>640652.55000000005</v>
      </c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8">
        <f t="shared" si="0"/>
        <v>6445571.1600000001</v>
      </c>
    </row>
    <row r="14" spans="1:184">
      <c r="A14" s="5" t="s">
        <v>195</v>
      </c>
      <c r="B14" s="6">
        <v>788404647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8">
        <f>3598186.44</f>
        <v>3598186.44</v>
      </c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8">
        <f t="shared" si="0"/>
        <v>3598186.44</v>
      </c>
    </row>
    <row r="15" spans="1:184">
      <c r="A15" s="5" t="s">
        <v>196</v>
      </c>
      <c r="B15" s="6">
        <v>788542865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280713.56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8">
        <v>299918.65000000002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0</v>
      </c>
      <c r="DZ15" s="7">
        <v>0</v>
      </c>
      <c r="EA15" s="7">
        <v>0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7">
        <v>0</v>
      </c>
      <c r="EU15" s="7">
        <v>0</v>
      </c>
      <c r="EV15" s="7">
        <v>0</v>
      </c>
      <c r="EW15" s="7">
        <v>0</v>
      </c>
      <c r="EX15" s="7">
        <v>0</v>
      </c>
      <c r="EY15" s="7">
        <v>0</v>
      </c>
      <c r="EZ15" s="7">
        <v>0</v>
      </c>
      <c r="FA15" s="7">
        <v>0</v>
      </c>
      <c r="FB15" s="7">
        <v>0</v>
      </c>
      <c r="FC15" s="7">
        <v>0</v>
      </c>
      <c r="FD15" s="7">
        <v>0</v>
      </c>
      <c r="FE15" s="7">
        <v>0</v>
      </c>
      <c r="FF15" s="7">
        <v>0</v>
      </c>
      <c r="FG15" s="7">
        <v>0</v>
      </c>
      <c r="FH15" s="7">
        <v>0</v>
      </c>
      <c r="FI15" s="7">
        <v>0</v>
      </c>
      <c r="FJ15" s="7">
        <v>0</v>
      </c>
      <c r="FK15" s="7">
        <v>0</v>
      </c>
      <c r="FL15" s="7">
        <v>0</v>
      </c>
      <c r="FM15" s="7">
        <v>0</v>
      </c>
      <c r="FN15" s="7">
        <v>0</v>
      </c>
      <c r="FO15" s="7">
        <v>0</v>
      </c>
      <c r="FP15" s="7">
        <v>0</v>
      </c>
      <c r="FQ15" s="7">
        <v>0</v>
      </c>
      <c r="FR15" s="7">
        <v>0</v>
      </c>
      <c r="FS15" s="7">
        <v>0</v>
      </c>
      <c r="FT15" s="7">
        <v>0</v>
      </c>
      <c r="FU15" s="7">
        <v>0</v>
      </c>
      <c r="FV15" s="7">
        <v>0</v>
      </c>
      <c r="FW15" s="7">
        <v>0</v>
      </c>
      <c r="FX15" s="7">
        <v>0</v>
      </c>
      <c r="FY15" s="7">
        <v>0</v>
      </c>
      <c r="FZ15" s="7">
        <v>0</v>
      </c>
      <c r="GA15" s="7">
        <v>0</v>
      </c>
      <c r="GB15" s="8">
        <v>580632.21</v>
      </c>
    </row>
    <row r="16" spans="1:184">
      <c r="A16" s="5" t="s">
        <v>197</v>
      </c>
      <c r="B16" s="6">
        <v>7884832250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8">
        <f>1084237.29</f>
        <v>1084237.29</v>
      </c>
      <c r="N16" s="7"/>
      <c r="O16" s="7"/>
      <c r="P16" s="7"/>
      <c r="Q16" s="8">
        <f>289576.27</f>
        <v>289576.27</v>
      </c>
      <c r="R16" s="7"/>
      <c r="S16" s="7"/>
      <c r="T16" s="7"/>
      <c r="U16" s="8">
        <f>1216084.73</f>
        <v>1216084.73</v>
      </c>
      <c r="V16" s="7"/>
      <c r="W16" s="7"/>
      <c r="X16" s="7"/>
      <c r="Y16" s="8">
        <f>575627.12</f>
        <v>575627.12</v>
      </c>
      <c r="Z16" s="7"/>
      <c r="AA16" s="7"/>
      <c r="AB16" s="8">
        <f>1109059.33</f>
        <v>1109059.33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8">
        <f>979932.19</f>
        <v>979932.19</v>
      </c>
      <c r="AW16" s="7"/>
      <c r="AX16" s="7"/>
      <c r="AY16" s="7"/>
      <c r="AZ16" s="7"/>
      <c r="BA16" s="7"/>
      <c r="BB16" s="7"/>
      <c r="BC16" s="7"/>
      <c r="BD16" s="7"/>
      <c r="BE16" s="7"/>
      <c r="BF16" s="8">
        <f>952033.9</f>
        <v>952033.9</v>
      </c>
      <c r="BG16" s="7"/>
      <c r="BH16" s="7"/>
      <c r="BI16" s="7"/>
      <c r="BJ16" s="8">
        <f>2678389.84</f>
        <v>2678389.84</v>
      </c>
      <c r="BK16" s="7"/>
      <c r="BL16" s="7"/>
      <c r="BM16" s="7"/>
      <c r="BN16" s="8">
        <f>926152.54</f>
        <v>926152.54</v>
      </c>
      <c r="BO16" s="7"/>
      <c r="BP16" s="7"/>
      <c r="BQ16" s="7"/>
      <c r="BR16" s="8">
        <f>1491015.25</f>
        <v>1491015.25</v>
      </c>
      <c r="BS16" s="8">
        <f>1088084.75</f>
        <v>1088084.75</v>
      </c>
      <c r="BT16" s="7"/>
      <c r="BU16" s="7"/>
      <c r="BV16" s="8">
        <f>1807322.03</f>
        <v>1807322.03</v>
      </c>
      <c r="BW16" s="7"/>
      <c r="BX16" s="7"/>
      <c r="BY16" s="8">
        <f>1378440.68</f>
        <v>1378440.68</v>
      </c>
      <c r="BZ16" s="7"/>
      <c r="CA16" s="8">
        <f>584559.32</f>
        <v>584559.31999999995</v>
      </c>
      <c r="CB16" s="8">
        <f>1003076.28</f>
        <v>1003076.28</v>
      </c>
      <c r="CC16" s="7"/>
      <c r="CD16" s="7"/>
      <c r="CE16" s="8">
        <f>1845915.26</f>
        <v>1845915.26</v>
      </c>
      <c r="CF16" s="7"/>
      <c r="CG16" s="7"/>
      <c r="CH16" s="7"/>
      <c r="CI16" s="7"/>
      <c r="CJ16" s="8">
        <f>1070677.96</f>
        <v>1070677.96</v>
      </c>
      <c r="CK16" s="7"/>
      <c r="CL16" s="7"/>
      <c r="CM16" s="8">
        <f>1106305.08</f>
        <v>1106305.08</v>
      </c>
      <c r="CN16" s="7"/>
      <c r="CO16" s="8">
        <f>880389.82</f>
        <v>880389.82</v>
      </c>
      <c r="CP16" s="7"/>
      <c r="CQ16" s="7"/>
      <c r="CR16" s="8">
        <f>1280508.47</f>
        <v>1280508.47</v>
      </c>
      <c r="CS16" s="7"/>
      <c r="CT16" s="8">
        <f>1022584.73</f>
        <v>1022584.73</v>
      </c>
      <c r="CU16" s="7"/>
      <c r="CV16" s="7"/>
      <c r="CW16" s="8">
        <f>1210084.74</f>
        <v>1210084.74</v>
      </c>
      <c r="CX16" s="7"/>
      <c r="CY16" s="8">
        <f>1054576.28</f>
        <v>1054576.28</v>
      </c>
      <c r="CZ16" s="7"/>
      <c r="DA16" s="7"/>
      <c r="DB16" s="8">
        <f>831237.29</f>
        <v>831237.29</v>
      </c>
      <c r="DC16" s="7"/>
      <c r="DD16" s="8">
        <f>1069211.86</f>
        <v>1069211.8600000001</v>
      </c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8">
        <f>2580474.58</f>
        <v>2580474.58</v>
      </c>
      <c r="DP16" s="7"/>
      <c r="DQ16" s="7"/>
      <c r="DR16" s="7"/>
      <c r="DS16" s="8">
        <f>1821372.89</f>
        <v>1821372.89</v>
      </c>
      <c r="DT16" s="7"/>
      <c r="DU16" s="7"/>
      <c r="DV16" s="7"/>
      <c r="DW16" s="7"/>
      <c r="DX16" s="8">
        <f>2339271.19</f>
        <v>2339271.19</v>
      </c>
      <c r="DY16" s="7"/>
      <c r="DZ16" s="7"/>
      <c r="EA16" s="7"/>
      <c r="EB16" s="8">
        <f>883940.68</f>
        <v>883940.68</v>
      </c>
      <c r="EC16" s="7"/>
      <c r="ED16" s="7"/>
      <c r="EE16" s="7"/>
      <c r="EF16" s="8">
        <f>704245.76</f>
        <v>704245.76000000001</v>
      </c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8">
        <f>414279.66</f>
        <v>414279.66</v>
      </c>
      <c r="FI16" s="7"/>
      <c r="FJ16" s="7"/>
      <c r="FK16" s="7"/>
      <c r="FL16" s="7"/>
      <c r="FM16" s="8">
        <f>691749.15</f>
        <v>691749.15</v>
      </c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8">
        <f t="shared" ref="GB16:GB23" si="1">((((((((((((((((((((((((((((((((((((((((((((((((((((((((((((((((((((((((((((((((((((((((((((((((((((((((((((((((((((((((((((((((((((((((((((((((((((((((((((((((((((((((((((((((((((C16)+(D16))+(E16))+(F16))+(G16))+(H16))+(I16))+(J16))+(K16))+(L16))+(M16))+(N16))+(O16))+(P16))+(Q16))+(R16))+(S16))+(T16))+(U16))+(V16))+(W16))+(X16))+(Y16))+(Z16))+(AA16))+(AB16))+(AC16))+(AD16))+(AE16))+(AF16))+(AG16))+(AH16))+(AI16))+(AJ16))+(AK16))+(AL16))+(AM16))+(AN16))+(AO16))+(AP16))+(AQ16))+(AR16))+(AS16))+(AT16))+(AU16))+(AV16))+(AW16))+(AX16))+(AY16))+(AZ16))+(BA16))+(BB16))+(BC16))+(BD16))+(BE16))+(BF16))+(BG16))+(BH16))+(BI16))+(BJ16))+(BK16))+(BL16))+(BM16))+(BN16))+(BO16))+(BP16))+(BQ16))+(BR16))+(BS16))+(BT16))+(BU16))+(BV16))+(BW16))+(BX16))+(BY16))+(BZ16))+(CA16))+(CB16))+(CC16))+(CD16))+(CE16))+(CF16))+(CG16))+(CH16))+(CI16))+(CJ16))+(CK16))+(CL16))+(CM16))+(CN16))+(CO16))+(CP16))+(CQ16))+(CR16))+(CS16))+(CT16))+(CU16))+(CV16))+(CW16))+(CX16))+(CY16))+(CZ16))+(DA16))+(DB16))+(DC16))+(DD16))+(DE16))+(DF16))+(DG16))+(DH16))+(DI16))+(DJ16))+(DK16))+(DL16))+(DM16))+(DN16))+(DO16))+(DP16))+(DQ16))+(DR16))+(DS16))+(DT16))+(DU16))+(DV16))+(DW16))+(DX16))+(DY16))+(DZ16))+(EA16))+(EB16))+(EC16))+(ED16))+(EE16))+(EF16))+(EG16))+(EH16))+(EI16))+(EJ16))+(EK16))+(EL16))+(EM16))+(EN16))+(EO16))+(EP16))+(EQ16))+(ER16))+(ES16))+(ET16))+(EU16))+(EV16))+(EW16))+(EX16))+(EY16))+(EZ16))+(FA16))+(FB16))+(FC16))+(FD16))+(FE16))+(FF16))+(FG16))+(FH16))+(FI16))+(FJ16))+(FK16))+(FL16))+(FM16))+(FN16))+(FO16))+(FP16))+(FQ16))+(FR16))+(FS16))+(FT16))+(FU16))+(FV16))+(FW16))+(FX16))+(FY16))+(FZ16))+(GA16)</f>
        <v>37970416.919999987</v>
      </c>
    </row>
    <row r="17" spans="1:184">
      <c r="A17" s="5" t="s">
        <v>198</v>
      </c>
      <c r="B17" s="6">
        <v>783059997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8">
        <f>469644.07</f>
        <v>469644.07</v>
      </c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8">
        <f>384669.49</f>
        <v>384669.49</v>
      </c>
      <c r="CF17" s="7"/>
      <c r="CG17" s="7"/>
      <c r="CH17" s="7"/>
      <c r="CI17" s="7"/>
      <c r="CJ17" s="7"/>
      <c r="CK17" s="7"/>
      <c r="CL17" s="7"/>
      <c r="CM17" s="8">
        <f>476847.46</f>
        <v>476847.46</v>
      </c>
      <c r="CN17" s="8">
        <f>413016.96</f>
        <v>413016.96</v>
      </c>
      <c r="CO17" s="7"/>
      <c r="CP17" s="7"/>
      <c r="CQ17" s="7"/>
      <c r="CR17" s="7"/>
      <c r="CS17" s="8">
        <f>442720.34</f>
        <v>442720.34</v>
      </c>
      <c r="CT17" s="7"/>
      <c r="CU17" s="8">
        <f>479389.84</f>
        <v>479389.84</v>
      </c>
      <c r="CV17" s="7"/>
      <c r="CW17" s="8">
        <f>521610.16</f>
        <v>521610.16</v>
      </c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8">
        <f>326372.88</f>
        <v>326372.88</v>
      </c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8">
        <f>430644.07</f>
        <v>430644.07</v>
      </c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8">
        <f>295864.41</f>
        <v>295864.40999999997</v>
      </c>
      <c r="EX17" s="7"/>
      <c r="EY17" s="7"/>
      <c r="EZ17" s="7"/>
      <c r="FA17" s="7"/>
      <c r="FB17" s="7"/>
      <c r="FC17" s="8">
        <f>758171.18</f>
        <v>758171.18</v>
      </c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8">
        <f t="shared" si="1"/>
        <v>4998950.8599999994</v>
      </c>
    </row>
    <row r="18" spans="1:184">
      <c r="A18" s="5" t="s">
        <v>199</v>
      </c>
      <c r="B18" s="6">
        <v>788859389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8">
        <f>2551525.42</f>
        <v>2551525.42</v>
      </c>
      <c r="BN18" s="7"/>
      <c r="BO18" s="7"/>
      <c r="BP18" s="8">
        <f>1250338.98</f>
        <v>1250338.98</v>
      </c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8">
        <f>4026779.66</f>
        <v>4026779.66</v>
      </c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8">
        <f>2500677.97</f>
        <v>2500677.9700000002</v>
      </c>
      <c r="CY18" s="7"/>
      <c r="CZ18" s="8">
        <f>3427949.15</f>
        <v>3427949.15</v>
      </c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8">
        <f>8010508.47</f>
        <v>8010508.4699999997</v>
      </c>
      <c r="DY18" s="7"/>
      <c r="DZ18" s="7"/>
      <c r="EA18" s="7"/>
      <c r="EB18" s="7"/>
      <c r="EC18" s="7"/>
      <c r="ED18" s="7"/>
      <c r="EE18" s="8">
        <f>1335084.75</f>
        <v>1335084.75</v>
      </c>
      <c r="EF18" s="7"/>
      <c r="EG18" s="7"/>
      <c r="EH18" s="8">
        <f>2670169.49</f>
        <v>2670169.4900000002</v>
      </c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8">
        <f t="shared" si="1"/>
        <v>25773033.890000001</v>
      </c>
    </row>
    <row r="19" spans="1:184">
      <c r="A19" s="5" t="s">
        <v>200</v>
      </c>
      <c r="B19" s="6">
        <v>788345897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8">
        <f>578364.4</f>
        <v>578364.4</v>
      </c>
      <c r="CX19" s="7"/>
      <c r="CY19" s="7"/>
      <c r="CZ19" s="7"/>
      <c r="DA19" s="7"/>
      <c r="DB19" s="7"/>
      <c r="DC19" s="7"/>
      <c r="DD19" s="8">
        <f>521779.66</f>
        <v>521779.66</v>
      </c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8">
        <f t="shared" si="1"/>
        <v>1100144.06</v>
      </c>
    </row>
    <row r="20" spans="1:184">
      <c r="A20" s="5" t="s">
        <v>201</v>
      </c>
      <c r="B20" s="6">
        <v>108361129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8">
        <f>3878135.59</f>
        <v>3878135.59</v>
      </c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8">
        <f t="shared" si="1"/>
        <v>3878135.59</v>
      </c>
    </row>
    <row r="21" spans="1:184">
      <c r="A21" s="5" t="s">
        <v>202</v>
      </c>
      <c r="B21" s="6">
        <v>788463450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8">
        <f>649150.86</f>
        <v>649150.86</v>
      </c>
      <c r="CI21" s="7"/>
      <c r="CJ21" s="7"/>
      <c r="CK21" s="7"/>
      <c r="CL21" s="7"/>
      <c r="CM21" s="7"/>
      <c r="CN21" s="7"/>
      <c r="CO21" s="7"/>
      <c r="CP21" s="8">
        <f>643462.71</f>
        <v>643462.71</v>
      </c>
      <c r="CQ21" s="7"/>
      <c r="CR21" s="7"/>
      <c r="CS21" s="7"/>
      <c r="CT21" s="7"/>
      <c r="CU21" s="7"/>
      <c r="CV21" s="7"/>
      <c r="CW21" s="7"/>
      <c r="CX21" s="8">
        <f>654711.85</f>
        <v>654711.85</v>
      </c>
      <c r="CY21" s="7"/>
      <c r="CZ21" s="7"/>
      <c r="DA21" s="7"/>
      <c r="DB21" s="8">
        <f>882898.31</f>
        <v>882898.31</v>
      </c>
      <c r="DC21" s="7"/>
      <c r="DD21" s="8">
        <f>355091.52</f>
        <v>355091.52</v>
      </c>
      <c r="DE21" s="7"/>
      <c r="DF21" s="7"/>
      <c r="DG21" s="8">
        <f>264533.91</f>
        <v>264533.90999999997</v>
      </c>
      <c r="DH21" s="7"/>
      <c r="DI21" s="7"/>
      <c r="DJ21" s="7"/>
      <c r="DK21" s="8">
        <f>423394.92</f>
        <v>423394.92</v>
      </c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8">
        <f t="shared" si="1"/>
        <v>3873244.08</v>
      </c>
    </row>
    <row r="22" spans="1:184">
      <c r="A22" s="5" t="s">
        <v>203</v>
      </c>
      <c r="B22" s="6">
        <v>788791818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8">
        <f>1110525.43</f>
        <v>1110525.43</v>
      </c>
      <c r="FM22" s="7"/>
      <c r="FN22" s="8">
        <f>976576.27</f>
        <v>976576.27</v>
      </c>
      <c r="FO22" s="7"/>
      <c r="FP22" s="7"/>
      <c r="FQ22" s="7"/>
      <c r="FR22" s="7"/>
      <c r="FS22" s="7"/>
      <c r="FT22" s="8">
        <f>966132.2</f>
        <v>966132.2</v>
      </c>
      <c r="FU22" s="7"/>
      <c r="FV22" s="7"/>
      <c r="FW22" s="7"/>
      <c r="FX22" s="7"/>
      <c r="FY22" s="7"/>
      <c r="FZ22" s="7"/>
      <c r="GA22" s="7"/>
      <c r="GB22" s="8">
        <f t="shared" si="1"/>
        <v>3053233.9</v>
      </c>
    </row>
    <row r="23" spans="1:184">
      <c r="A23" s="5" t="s">
        <v>204</v>
      </c>
      <c r="B23" s="6">
        <v>789401757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8">
        <f>1080262.71</f>
        <v>1080262.71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8">
        <f t="shared" si="1"/>
        <v>1080262.71</v>
      </c>
    </row>
    <row r="24" spans="1:184">
      <c r="A24" s="5" t="s">
        <v>205</v>
      </c>
      <c r="B24" s="6">
        <v>788737046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1135016.94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662847.46</v>
      </c>
      <c r="DK24" s="7">
        <v>0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v>0</v>
      </c>
      <c r="DR24" s="7">
        <v>0</v>
      </c>
      <c r="DS24" s="7">
        <v>0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  <c r="EQ24" s="7">
        <v>0</v>
      </c>
      <c r="ER24" s="7">
        <v>0</v>
      </c>
      <c r="ES24" s="7">
        <v>0</v>
      </c>
      <c r="ET24" s="7">
        <v>0</v>
      </c>
      <c r="EU24" s="7">
        <v>0</v>
      </c>
      <c r="EV24" s="7">
        <v>0</v>
      </c>
      <c r="EW24" s="7">
        <v>0</v>
      </c>
      <c r="EX24" s="7">
        <v>0</v>
      </c>
      <c r="EY24" s="7">
        <v>0</v>
      </c>
      <c r="EZ24" s="7">
        <v>0</v>
      </c>
      <c r="FA24" s="7">
        <v>0</v>
      </c>
      <c r="FB24" s="7">
        <v>0</v>
      </c>
      <c r="FC24" s="7">
        <v>0</v>
      </c>
      <c r="FD24" s="7">
        <v>0</v>
      </c>
      <c r="FE24" s="7">
        <v>0</v>
      </c>
      <c r="FF24" s="7">
        <v>0</v>
      </c>
      <c r="FG24" s="7">
        <v>0</v>
      </c>
      <c r="FH24" s="7">
        <v>0</v>
      </c>
      <c r="FI24" s="7">
        <v>0</v>
      </c>
      <c r="FJ24" s="7">
        <v>0</v>
      </c>
      <c r="FK24" s="7">
        <v>0</v>
      </c>
      <c r="FL24" s="7">
        <v>0</v>
      </c>
      <c r="FM24" s="7">
        <v>0</v>
      </c>
      <c r="FN24" s="7">
        <v>0</v>
      </c>
      <c r="FO24" s="7">
        <v>0</v>
      </c>
      <c r="FP24" s="7">
        <v>0</v>
      </c>
      <c r="FQ24" s="7">
        <v>0</v>
      </c>
      <c r="FR24" s="7">
        <v>0</v>
      </c>
      <c r="FS24" s="7">
        <v>0</v>
      </c>
      <c r="FT24" s="7">
        <v>0</v>
      </c>
      <c r="FU24" s="7">
        <v>0</v>
      </c>
      <c r="FV24" s="7">
        <v>0</v>
      </c>
      <c r="FW24" s="7">
        <v>0</v>
      </c>
      <c r="FX24" s="7">
        <v>0</v>
      </c>
      <c r="FY24" s="7">
        <v>0</v>
      </c>
      <c r="FZ24" s="7">
        <v>0</v>
      </c>
      <c r="GA24" s="7">
        <v>0</v>
      </c>
      <c r="GB24" s="7">
        <v>1797864.4</v>
      </c>
    </row>
    <row r="25" spans="1:184">
      <c r="A25" s="5" t="s">
        <v>206</v>
      </c>
      <c r="B25" s="6">
        <v>784002515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8">
        <f>1254644.06</f>
        <v>1254644.06</v>
      </c>
      <c r="CU25" s="7"/>
      <c r="CV25" s="7"/>
      <c r="CW25" s="7"/>
      <c r="CX25" s="7"/>
      <c r="CY25" s="8">
        <f>1165203.38</f>
        <v>1165203.3799999999</v>
      </c>
      <c r="CZ25" s="7"/>
      <c r="DA25" s="7"/>
      <c r="DB25" s="7"/>
      <c r="DC25" s="8">
        <f>1112415.25</f>
        <v>1112415.25</v>
      </c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8">
        <f>1700508.47</f>
        <v>1700508.47</v>
      </c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8">
        <f t="shared" ref="GB25:GB38" si="2">((((((((((((((((((((((((((((((((((((((((((((((((((((((((((((((((((((((((((((((((((((((((((((((((((((((((((((((((((((((((((((((((((((((((((((((((((((((((((((((((((((((((((((((((((((C25)+(D25))+(E25))+(F25))+(G25))+(H25))+(I25))+(J25))+(K25))+(L25))+(M25))+(N25))+(O25))+(P25))+(Q25))+(R25))+(S25))+(T25))+(U25))+(V25))+(W25))+(X25))+(Y25))+(Z25))+(AA25))+(AB25))+(AC25))+(AD25))+(AE25))+(AF25))+(AG25))+(AH25))+(AI25))+(AJ25))+(AK25))+(AL25))+(AM25))+(AN25))+(AO25))+(AP25))+(AQ25))+(AR25))+(AS25))+(AT25))+(AU25))+(AV25))+(AW25))+(AX25))+(AY25))+(AZ25))+(BA25))+(BB25))+(BC25))+(BD25))+(BE25))+(BF25))+(BG25))+(BH25))+(BI25))+(BJ25))+(BK25))+(BL25))+(BM25))+(BN25))+(BO25))+(BP25))+(BQ25))+(BR25))+(BS25))+(BT25))+(BU25))+(BV25))+(BW25))+(BX25))+(BY25))+(BZ25))+(CA25))+(CB25))+(CC25))+(CD25))+(CE25))+(CF25))+(CG25))+(CH25))+(CI25))+(CJ25))+(CK25))+(CL25))+(CM25))+(CN25))+(CO25))+(CP25))+(CQ25))+(CR25))+(CS25))+(CT25))+(CU25))+(CV25))+(CW25))+(CX25))+(CY25))+(CZ25))+(DA25))+(DB25))+(DC25))+(DD25))+(DE25))+(DF25))+(DG25))+(DH25))+(DI25))+(DJ25))+(DK25))+(DL25))+(DM25))+(DN25))+(DO25))+(DP25))+(DQ25))+(DR25))+(DS25))+(DT25))+(DU25))+(DV25))+(DW25))+(DX25))+(DY25))+(DZ25))+(EA25))+(EB25))+(EC25))+(ED25))+(EE25))+(EF25))+(EG25))+(EH25))+(EI25))+(EJ25))+(EK25))+(EL25))+(EM25))+(EN25))+(EO25))+(EP25))+(EQ25))+(ER25))+(ES25))+(ET25))+(EU25))+(EV25))+(EW25))+(EX25))+(EY25))+(EZ25))+(FA25))+(FB25))+(FC25))+(FD25))+(FE25))+(FF25))+(FG25))+(FH25))+(FI25))+(FJ25))+(FK25))+(FL25))+(FM25))+(FN25))+(FO25))+(FP25))+(FQ25))+(FR25))+(FS25))+(FT25))+(FU25))+(FV25))+(FW25))+(FX25))+(FY25))+(FZ25))+(GA25)</f>
        <v>5232771.16</v>
      </c>
    </row>
    <row r="26" spans="1:184">
      <c r="A26" s="5" t="s">
        <v>207</v>
      </c>
      <c r="B26" s="6">
        <v>785512410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8">
        <f>2688203.39</f>
        <v>2688203.39</v>
      </c>
      <c r="CU26" s="7"/>
      <c r="CV26" s="7"/>
      <c r="CW26" s="7"/>
      <c r="CX26" s="7"/>
      <c r="CY26" s="8">
        <f>2217738.98</f>
        <v>2217738.98</v>
      </c>
      <c r="CZ26" s="7"/>
      <c r="DA26" s="7"/>
      <c r="DB26" s="7"/>
      <c r="DC26" s="8">
        <f>2154949.15</f>
        <v>2154949.15</v>
      </c>
      <c r="DD26" s="7"/>
      <c r="DE26" s="7"/>
      <c r="DF26" s="7"/>
      <c r="DG26" s="7"/>
      <c r="DH26" s="8">
        <f>2538135.59</f>
        <v>2538135.59</v>
      </c>
      <c r="DI26" s="7"/>
      <c r="DJ26" s="7"/>
      <c r="DK26" s="7"/>
      <c r="DL26" s="7"/>
      <c r="DM26" s="7"/>
      <c r="DN26" s="7"/>
      <c r="DO26" s="7"/>
      <c r="DP26" s="8">
        <f>3927330.5</f>
        <v>3927330.5</v>
      </c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8">
        <f t="shared" si="2"/>
        <v>13526357.609999999</v>
      </c>
    </row>
    <row r="27" spans="1:184">
      <c r="A27" s="5" t="s">
        <v>208</v>
      </c>
      <c r="B27" s="6">
        <v>782502007</v>
      </c>
      <c r="C27" s="7"/>
      <c r="D27" s="7"/>
      <c r="E27" s="7"/>
      <c r="F27" s="7"/>
      <c r="G27" s="7"/>
      <c r="H27" s="7"/>
      <c r="I27" s="7"/>
      <c r="J27" s="7"/>
      <c r="K27" s="8">
        <f>479881.35</f>
        <v>479881.35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8">
        <f>157800.85</f>
        <v>157800.85</v>
      </c>
      <c r="AC27" s="7"/>
      <c r="AD27" s="8">
        <f>130594.92</f>
        <v>130594.92</v>
      </c>
      <c r="AE27" s="7"/>
      <c r="AF27" s="7"/>
      <c r="AG27" s="7"/>
      <c r="AH27" s="7"/>
      <c r="AI27" s="8">
        <f>302178.82</f>
        <v>302178.82</v>
      </c>
      <c r="AJ27" s="7"/>
      <c r="AK27" s="7"/>
      <c r="AL27" s="7"/>
      <c r="AM27" s="8">
        <f>295811.87</f>
        <v>295811.87</v>
      </c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8">
        <f>259103.4</f>
        <v>259103.4</v>
      </c>
      <c r="BK27" s="7"/>
      <c r="BL27" s="7"/>
      <c r="BM27" s="7"/>
      <c r="BN27" s="7"/>
      <c r="BO27" s="7"/>
      <c r="BP27" s="7"/>
      <c r="BQ27" s="7"/>
      <c r="BR27" s="7"/>
      <c r="BS27" s="8">
        <f>450259.33</f>
        <v>450259.33</v>
      </c>
      <c r="BT27" s="7"/>
      <c r="BU27" s="7"/>
      <c r="BV27" s="7"/>
      <c r="BW27" s="7"/>
      <c r="BX27" s="7"/>
      <c r="BY27" s="8">
        <f>387272.88</f>
        <v>387272.88</v>
      </c>
      <c r="BZ27" s="7"/>
      <c r="CA27" s="7"/>
      <c r="CB27" s="8">
        <f>220830.5</f>
        <v>220830.5</v>
      </c>
      <c r="CC27" s="7"/>
      <c r="CD27" s="7"/>
      <c r="CE27" s="7"/>
      <c r="CF27" s="7"/>
      <c r="CG27" s="7"/>
      <c r="CH27" s="8">
        <f>535025.44</f>
        <v>535025.43999999994</v>
      </c>
      <c r="CI27" s="7"/>
      <c r="CJ27" s="8">
        <f>359638.98</f>
        <v>359638.98</v>
      </c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8">
        <f>397416.96</f>
        <v>397416.96000000002</v>
      </c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8">
        <f>353335.59</f>
        <v>353335.59</v>
      </c>
      <c r="EC27" s="7"/>
      <c r="ED27" s="7"/>
      <c r="EE27" s="7"/>
      <c r="EF27" s="7"/>
      <c r="EG27" s="8">
        <f>245205.09</f>
        <v>245205.09</v>
      </c>
      <c r="EH27" s="7"/>
      <c r="EI27" s="7"/>
      <c r="EJ27" s="7"/>
      <c r="EK27" s="7"/>
      <c r="EL27" s="7"/>
      <c r="EM27" s="8">
        <f>197723.72</f>
        <v>197723.72</v>
      </c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8">
        <f>224806.79</f>
        <v>224806.79</v>
      </c>
      <c r="FQ27" s="7"/>
      <c r="FR27" s="7"/>
      <c r="FS27" s="8">
        <f>426813.56</f>
        <v>426813.56</v>
      </c>
      <c r="FT27" s="7"/>
      <c r="FU27" s="8">
        <f>132791.53</f>
        <v>132791.53</v>
      </c>
      <c r="FV27" s="8">
        <f>164111.86</f>
        <v>164111.85999999999</v>
      </c>
      <c r="FW27" s="7"/>
      <c r="FX27" s="7"/>
      <c r="FY27" s="8">
        <f>286854.24</f>
        <v>286854.24</v>
      </c>
      <c r="FZ27" s="8">
        <f>447364.41</f>
        <v>447364.41</v>
      </c>
      <c r="GA27" s="8">
        <f>169793.22</f>
        <v>169793.22</v>
      </c>
      <c r="GB27" s="8">
        <f t="shared" si="2"/>
        <v>6624615.3099999996</v>
      </c>
    </row>
    <row r="28" spans="1:184">
      <c r="A28" s="5" t="s">
        <v>209</v>
      </c>
      <c r="B28" s="6">
        <v>788821066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8">
        <f>559703.38</f>
        <v>559703.38</v>
      </c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8">
        <f t="shared" si="2"/>
        <v>559703.38</v>
      </c>
    </row>
    <row r="29" spans="1:184">
      <c r="A29" s="5" t="s">
        <v>210</v>
      </c>
      <c r="B29" s="6">
        <v>788433417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>
        <f>1538915.25</f>
        <v>1538915.25</v>
      </c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8">
        <f>1119662.72</f>
        <v>1119662.72</v>
      </c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8">
        <f t="shared" si="2"/>
        <v>2658577.9699999997</v>
      </c>
    </row>
    <row r="30" spans="1:184">
      <c r="A30" s="5" t="s">
        <v>211</v>
      </c>
      <c r="B30" s="6">
        <v>789854994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8">
        <f>1180000</f>
        <v>1180000</v>
      </c>
      <c r="BL30" s="8">
        <f>1105057.62</f>
        <v>1105057.6200000001</v>
      </c>
      <c r="BM30" s="8">
        <f>709135.59</f>
        <v>709135.59</v>
      </c>
      <c r="BN30" s="8">
        <f>1044891.52</f>
        <v>1044891.52</v>
      </c>
      <c r="BO30" s="7"/>
      <c r="BP30" s="7"/>
      <c r="BQ30" s="7"/>
      <c r="BR30" s="8">
        <f>1267779.66</f>
        <v>1267779.6599999999</v>
      </c>
      <c r="BS30" s="7"/>
      <c r="BT30" s="7"/>
      <c r="BU30" s="7"/>
      <c r="BV30" s="7"/>
      <c r="BW30" s="8">
        <f>505644.07</f>
        <v>505644.07</v>
      </c>
      <c r="BX30" s="7"/>
      <c r="BY30" s="7"/>
      <c r="BZ30" s="7"/>
      <c r="CA30" s="8">
        <f>1882745.77</f>
        <v>1882745.77</v>
      </c>
      <c r="CB30" s="7"/>
      <c r="CC30" s="7"/>
      <c r="CD30" s="7"/>
      <c r="CE30" s="7"/>
      <c r="CF30" s="8">
        <f>693652.54</f>
        <v>693652.54</v>
      </c>
      <c r="CG30" s="7"/>
      <c r="CH30" s="8">
        <f>2954640.67</f>
        <v>2954640.67</v>
      </c>
      <c r="CI30" s="7"/>
      <c r="CJ30" s="7"/>
      <c r="CK30" s="7"/>
      <c r="CL30" s="8">
        <f>1339779.66</f>
        <v>1339779.6599999999</v>
      </c>
      <c r="CM30" s="7"/>
      <c r="CN30" s="8">
        <f>1806213.55</f>
        <v>1806213.55</v>
      </c>
      <c r="CO30" s="8">
        <f>834364.41</f>
        <v>834364.41</v>
      </c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8">
        <f>1847805.09</f>
        <v>1847805.09</v>
      </c>
      <c r="DC30" s="8">
        <f>1381305.08</f>
        <v>1381305.08</v>
      </c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8">
        <f t="shared" si="2"/>
        <v>18553015.230000004</v>
      </c>
    </row>
    <row r="31" spans="1:184">
      <c r="A31" s="5" t="s">
        <v>212</v>
      </c>
      <c r="B31" s="6">
        <v>788442378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8">
        <f>871881.36</f>
        <v>871881.36</v>
      </c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8">
        <f>686644.06</f>
        <v>686644.06</v>
      </c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8">
        <f>1030423.73</f>
        <v>1030423.73</v>
      </c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8">
        <f t="shared" si="2"/>
        <v>2588949.15</v>
      </c>
    </row>
    <row r="32" spans="1:184">
      <c r="A32" s="5" t="s">
        <v>213</v>
      </c>
      <c r="B32" s="6">
        <v>788680511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8">
        <f>3295338.98</f>
        <v>3295338.98</v>
      </c>
      <c r="EE32" s="8">
        <f>2551525.42</f>
        <v>2551525.42</v>
      </c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8">
        <f t="shared" si="2"/>
        <v>5846864.4000000004</v>
      </c>
    </row>
    <row r="33" spans="1:184">
      <c r="A33" s="5" t="s">
        <v>214</v>
      </c>
      <c r="B33" s="6">
        <v>78835156302</v>
      </c>
      <c r="C33" s="7"/>
      <c r="D33" s="7"/>
      <c r="E33" s="7"/>
      <c r="F33" s="8">
        <f>1011779.66</f>
        <v>1011779.66</v>
      </c>
      <c r="G33" s="7"/>
      <c r="H33" s="7"/>
      <c r="I33" s="7"/>
      <c r="J33" s="7"/>
      <c r="K33" s="7"/>
      <c r="L33" s="7"/>
      <c r="M33" s="7"/>
      <c r="N33" s="8">
        <f>1044257.63</f>
        <v>1044257.63</v>
      </c>
      <c r="O33" s="7"/>
      <c r="P33" s="7"/>
      <c r="Q33" s="7"/>
      <c r="R33" s="8">
        <f>1405135.59</f>
        <v>1405135.59</v>
      </c>
      <c r="S33" s="7"/>
      <c r="T33" s="7"/>
      <c r="U33" s="7"/>
      <c r="V33" s="7"/>
      <c r="W33" s="8">
        <f>704050.84</f>
        <v>704050.84</v>
      </c>
      <c r="X33" s="7"/>
      <c r="Y33" s="7"/>
      <c r="Z33" s="7"/>
      <c r="AA33" s="8">
        <f>619694.92</f>
        <v>619694.92000000004</v>
      </c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8">
        <f>1968050.84</f>
        <v>1968050.84</v>
      </c>
      <c r="AU33" s="7"/>
      <c r="AV33" s="7"/>
      <c r="AW33" s="7"/>
      <c r="AX33" s="7"/>
      <c r="AY33" s="7"/>
      <c r="AZ33" s="7"/>
      <c r="BA33" s="7"/>
      <c r="BB33" s="7"/>
      <c r="BC33" s="7"/>
      <c r="BD33" s="8">
        <f>1008389.82</f>
        <v>1008389.82</v>
      </c>
      <c r="BE33" s="7"/>
      <c r="BF33" s="7"/>
      <c r="BG33" s="7"/>
      <c r="BH33" s="7"/>
      <c r="BI33" s="8">
        <f>1714949.16</f>
        <v>1714949.16</v>
      </c>
      <c r="BJ33" s="7"/>
      <c r="BK33" s="7"/>
      <c r="BL33" s="7"/>
      <c r="BM33" s="7"/>
      <c r="BN33" s="7"/>
      <c r="BO33" s="8">
        <f>1165627.12</f>
        <v>1165627.1200000001</v>
      </c>
      <c r="BP33" s="7"/>
      <c r="BQ33" s="7"/>
      <c r="BR33" s="7"/>
      <c r="BS33" s="7"/>
      <c r="BT33" s="7"/>
      <c r="BU33" s="7"/>
      <c r="BV33" s="8">
        <f>1551779.65</f>
        <v>1551779.65</v>
      </c>
      <c r="BW33" s="7"/>
      <c r="BX33" s="7"/>
      <c r="BY33" s="7"/>
      <c r="BZ33" s="7"/>
      <c r="CA33" s="7"/>
      <c r="CB33" s="7"/>
      <c r="CC33" s="8">
        <f>1353406.77</f>
        <v>1353406.77</v>
      </c>
      <c r="CD33" s="7"/>
      <c r="CE33" s="7"/>
      <c r="CF33" s="7"/>
      <c r="CG33" s="7"/>
      <c r="CH33" s="7"/>
      <c r="CI33" s="7"/>
      <c r="CJ33" s="7"/>
      <c r="CK33" s="7"/>
      <c r="CL33" s="8">
        <f>1135542.37</f>
        <v>1135542.3700000001</v>
      </c>
      <c r="CM33" s="7"/>
      <c r="CN33" s="7"/>
      <c r="CO33" s="7"/>
      <c r="CP33" s="7"/>
      <c r="CQ33" s="8">
        <f>1562796.61</f>
        <v>1562796.61</v>
      </c>
      <c r="CR33" s="7"/>
      <c r="CS33" s="7"/>
      <c r="CT33" s="7"/>
      <c r="CU33" s="7"/>
      <c r="CV33" s="7"/>
      <c r="CW33" s="7"/>
      <c r="CX33" s="7"/>
      <c r="CY33" s="7"/>
      <c r="CZ33" s="7"/>
      <c r="DA33" s="8">
        <f>1211423.72</f>
        <v>1211423.72</v>
      </c>
      <c r="DB33" s="7"/>
      <c r="DC33" s="7"/>
      <c r="DD33" s="7"/>
      <c r="DE33" s="7"/>
      <c r="DF33" s="7"/>
      <c r="DG33" s="8">
        <f>1032542.38</f>
        <v>1032542.38</v>
      </c>
      <c r="DH33" s="7"/>
      <c r="DI33" s="7"/>
      <c r="DJ33" s="7"/>
      <c r="DK33" s="7"/>
      <c r="DL33" s="7"/>
      <c r="DM33" s="7"/>
      <c r="DN33" s="7"/>
      <c r="DO33" s="7"/>
      <c r="DP33" s="8">
        <f>1190237.28</f>
        <v>1190237.28</v>
      </c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8">
        <f>991864.41</f>
        <v>991864.41</v>
      </c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8">
        <f>1062203.39</f>
        <v>1062203.3899999999</v>
      </c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8">
        <f>1189322.03</f>
        <v>1189322.03</v>
      </c>
      <c r="FZ33" s="7"/>
      <c r="GA33" s="7"/>
      <c r="GB33" s="8">
        <f t="shared" si="2"/>
        <v>22923054.189999998</v>
      </c>
    </row>
    <row r="34" spans="1:184">
      <c r="A34" s="5" t="s">
        <v>215</v>
      </c>
      <c r="B34" s="6">
        <v>787858509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8">
        <f>11910.17</f>
        <v>11910.17</v>
      </c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8">
        <f t="shared" si="2"/>
        <v>11910.17</v>
      </c>
    </row>
    <row r="35" spans="1:184">
      <c r="A35" s="5" t="s">
        <v>216</v>
      </c>
      <c r="B35" s="6">
        <v>788331541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8">
        <f>2913855.92</f>
        <v>2913855.92</v>
      </c>
      <c r="BN35" s="7"/>
      <c r="BO35" s="7"/>
      <c r="BP35" s="7"/>
      <c r="BQ35" s="7"/>
      <c r="BR35" s="7"/>
      <c r="BS35" s="8">
        <f>2696906.78</f>
        <v>2696906.78</v>
      </c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8">
        <f t="shared" si="2"/>
        <v>5610762.6999999993</v>
      </c>
    </row>
    <row r="36" spans="1:184">
      <c r="A36" s="5" t="s">
        <v>217</v>
      </c>
      <c r="B36" s="6">
        <v>783044801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8">
        <f>1015398.31</f>
        <v>1015398.31</v>
      </c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8">
        <f t="shared" si="2"/>
        <v>1015398.31</v>
      </c>
    </row>
    <row r="37" spans="1:184">
      <c r="A37" s="5" t="s">
        <v>218</v>
      </c>
      <c r="B37" s="6">
        <v>785058362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8">
        <f>1484847.46</f>
        <v>1484847.46</v>
      </c>
      <c r="AU37" s="7"/>
      <c r="AV37" s="7"/>
      <c r="AW37" s="8">
        <f>1375618.64</f>
        <v>1375618.64</v>
      </c>
      <c r="AX37" s="7"/>
      <c r="AY37" s="7"/>
      <c r="AZ37" s="7"/>
      <c r="BA37" s="7"/>
      <c r="BB37" s="7"/>
      <c r="BC37" s="7"/>
      <c r="BD37" s="7"/>
      <c r="BE37" s="7"/>
      <c r="BF37" s="7"/>
      <c r="BG37" s="8">
        <f>1642737.29</f>
        <v>1642737.29</v>
      </c>
      <c r="BH37" s="8">
        <f>200915.25</f>
        <v>200915.25</v>
      </c>
      <c r="BI37" s="7"/>
      <c r="BJ37" s="7"/>
      <c r="BK37" s="7"/>
      <c r="BL37" s="7"/>
      <c r="BM37" s="7"/>
      <c r="BN37" s="7"/>
      <c r="BO37" s="7"/>
      <c r="BP37" s="8">
        <f>1039322.02</f>
        <v>1039322.02</v>
      </c>
      <c r="BQ37" s="7"/>
      <c r="BR37" s="7"/>
      <c r="BS37" s="7"/>
      <c r="BT37" s="7"/>
      <c r="BU37" s="7"/>
      <c r="BV37" s="7"/>
      <c r="BW37" s="7"/>
      <c r="BX37" s="7"/>
      <c r="BY37" s="7"/>
      <c r="BZ37" s="8">
        <f>871457.63</f>
        <v>871457.63</v>
      </c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8">
        <f>577711.86</f>
        <v>577711.86</v>
      </c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8">
        <f t="shared" si="2"/>
        <v>7192610.1500000004</v>
      </c>
    </row>
    <row r="38" spans="1:184">
      <c r="A38" s="5" t="s">
        <v>219</v>
      </c>
      <c r="B38" s="6">
        <v>787855061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8">
        <f>928332.2</f>
        <v>928332.2</v>
      </c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8">
        <f>817627.11</f>
        <v>817627.11</v>
      </c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8">
        <f>193906.78</f>
        <v>193906.78</v>
      </c>
      <c r="EV38" s="7"/>
      <c r="EW38" s="7"/>
      <c r="EX38" s="7"/>
      <c r="EY38" s="7"/>
      <c r="EZ38" s="7"/>
      <c r="FA38" s="8">
        <f>596161.02</f>
        <v>596161.02</v>
      </c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8">
        <f>387423.73</f>
        <v>387423.73</v>
      </c>
      <c r="FT38" s="7"/>
      <c r="FU38" s="7"/>
      <c r="FV38" s="7"/>
      <c r="FW38" s="7"/>
      <c r="FX38" s="7"/>
      <c r="FY38" s="7"/>
      <c r="FZ38" s="7"/>
      <c r="GA38" s="7"/>
      <c r="GB38" s="8">
        <f t="shared" si="2"/>
        <v>2923450.8400000003</v>
      </c>
    </row>
    <row r="39" spans="1:184">
      <c r="A39" s="5" t="s">
        <v>220</v>
      </c>
      <c r="B39" s="6">
        <v>788625584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2090898.31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1683152.53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0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v>0</v>
      </c>
      <c r="DR39" s="7">
        <v>0</v>
      </c>
      <c r="DS39" s="7">
        <v>0</v>
      </c>
      <c r="DT39" s="7">
        <v>0</v>
      </c>
      <c r="DU39" s="7">
        <v>0</v>
      </c>
      <c r="DV39" s="7">
        <v>0</v>
      </c>
      <c r="DW39" s="7">
        <v>0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789449.15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</v>
      </c>
      <c r="EM39" s="7">
        <v>0</v>
      </c>
      <c r="EN39" s="7">
        <v>0</v>
      </c>
      <c r="EO39" s="7">
        <v>0</v>
      </c>
      <c r="EP39" s="7">
        <v>0</v>
      </c>
      <c r="EQ39" s="7">
        <v>625822.03</v>
      </c>
      <c r="ER39" s="7">
        <v>0</v>
      </c>
      <c r="ES39" s="7">
        <v>0</v>
      </c>
      <c r="ET39" s="7">
        <v>0</v>
      </c>
      <c r="EU39" s="7">
        <v>0</v>
      </c>
      <c r="EV39" s="7">
        <v>0</v>
      </c>
      <c r="EW39" s="7">
        <v>0</v>
      </c>
      <c r="EX39" s="7">
        <v>485338.98</v>
      </c>
      <c r="EY39" s="7">
        <v>0</v>
      </c>
      <c r="EZ39" s="7">
        <v>0</v>
      </c>
      <c r="FA39" s="7">
        <v>0</v>
      </c>
      <c r="FB39" s="7">
        <v>0</v>
      </c>
      <c r="FC39" s="7">
        <v>0</v>
      </c>
      <c r="FD39" s="7">
        <v>530364.4</v>
      </c>
      <c r="FE39" s="7">
        <v>0</v>
      </c>
      <c r="FF39" s="7">
        <v>0</v>
      </c>
      <c r="FG39" s="7">
        <v>331423.73</v>
      </c>
      <c r="FH39" s="7">
        <v>0</v>
      </c>
      <c r="FI39" s="7">
        <v>0</v>
      </c>
      <c r="FJ39" s="7">
        <v>0</v>
      </c>
      <c r="FK39" s="7">
        <v>0</v>
      </c>
      <c r="FL39" s="7">
        <v>0</v>
      </c>
      <c r="FM39" s="7">
        <v>0</v>
      </c>
      <c r="FN39" s="7">
        <v>0</v>
      </c>
      <c r="FO39" s="7">
        <v>0</v>
      </c>
      <c r="FP39" s="7">
        <v>0</v>
      </c>
      <c r="FQ39" s="7">
        <v>0</v>
      </c>
      <c r="FR39" s="7">
        <v>1294898.3</v>
      </c>
      <c r="FS39" s="7">
        <v>0</v>
      </c>
      <c r="FT39" s="7">
        <v>0</v>
      </c>
      <c r="FU39" s="7">
        <v>0</v>
      </c>
      <c r="FV39" s="7">
        <v>0</v>
      </c>
      <c r="FW39" s="7">
        <v>0</v>
      </c>
      <c r="FX39" s="7">
        <v>1250991.52</v>
      </c>
      <c r="FY39" s="7">
        <v>0</v>
      </c>
      <c r="FZ39" s="7">
        <v>0</v>
      </c>
      <c r="GA39" s="7">
        <v>0</v>
      </c>
      <c r="GB39" s="7">
        <v>9082338.9500000011</v>
      </c>
    </row>
    <row r="40" spans="1:184">
      <c r="A40" s="5" t="s">
        <v>221</v>
      </c>
      <c r="B40" s="6">
        <v>78883268401</v>
      </c>
      <c r="C40" s="7"/>
      <c r="D40" s="7"/>
      <c r="E40" s="7"/>
      <c r="F40" s="7"/>
      <c r="G40" s="7"/>
      <c r="H40" s="7"/>
      <c r="I40" s="8">
        <f>563762.71</f>
        <v>563762.71</v>
      </c>
      <c r="J40" s="8">
        <f>687101.69</f>
        <v>687101.69</v>
      </c>
      <c r="K40" s="8">
        <f>971525.42</f>
        <v>971525.42</v>
      </c>
      <c r="L40" s="8">
        <f>1068983.05</f>
        <v>1068983.05</v>
      </c>
      <c r="M40" s="7"/>
      <c r="N40" s="8">
        <f>788177.97</f>
        <v>788177.97</v>
      </c>
      <c r="O40" s="8">
        <f>1009237.29</f>
        <v>1009237.29</v>
      </c>
      <c r="P40" s="8">
        <f>807016.95</f>
        <v>807016.95</v>
      </c>
      <c r="Q40" s="8">
        <f>1065381.36</f>
        <v>1065381.3600000001</v>
      </c>
      <c r="R40" s="7"/>
      <c r="S40" s="8">
        <f>959237.29</f>
        <v>959237.29</v>
      </c>
      <c r="T40" s="7"/>
      <c r="U40" s="8">
        <f>1799940.67</f>
        <v>1799940.67</v>
      </c>
      <c r="V40" s="7"/>
      <c r="W40" s="7"/>
      <c r="X40" s="7"/>
      <c r="Y40" s="7"/>
      <c r="Z40" s="8">
        <f>663567.8</f>
        <v>663567.80000000005</v>
      </c>
      <c r="AA40" s="7"/>
      <c r="AB40" s="7"/>
      <c r="AC40" s="7"/>
      <c r="AD40" s="7"/>
      <c r="AE40" s="7"/>
      <c r="AF40" s="8">
        <f>791372.89</f>
        <v>791372.89</v>
      </c>
      <c r="AG40" s="7"/>
      <c r="AH40" s="8">
        <f>1026186.44</f>
        <v>1026186.44</v>
      </c>
      <c r="AI40" s="7"/>
      <c r="AJ40" s="7"/>
      <c r="AK40" s="7"/>
      <c r="AL40" s="7"/>
      <c r="AM40" s="7"/>
      <c r="AN40" s="7"/>
      <c r="AO40" s="7"/>
      <c r="AP40" s="8">
        <f>1062237.29</f>
        <v>1062237.29</v>
      </c>
      <c r="AQ40" s="7"/>
      <c r="AR40" s="7"/>
      <c r="AS40" s="8">
        <f>857262.71</f>
        <v>857262.71</v>
      </c>
      <c r="AT40" s="7"/>
      <c r="AU40" s="8">
        <f>721635.59</f>
        <v>721635.59</v>
      </c>
      <c r="AV40" s="8">
        <f>822762.71</f>
        <v>822762.71</v>
      </c>
      <c r="AW40" s="7"/>
      <c r="AX40" s="8">
        <f>740262.72</f>
        <v>740262.72</v>
      </c>
      <c r="AY40" s="7"/>
      <c r="AZ40" s="8">
        <f>775694.91</f>
        <v>775694.91</v>
      </c>
      <c r="BA40" s="7"/>
      <c r="BB40" s="7"/>
      <c r="BC40" s="7"/>
      <c r="BD40" s="8">
        <f>841584.74</f>
        <v>841584.74</v>
      </c>
      <c r="BE40" s="7"/>
      <c r="BF40" s="7"/>
      <c r="BG40" s="7"/>
      <c r="BH40" s="7"/>
      <c r="BI40" s="7"/>
      <c r="BJ40" s="8">
        <f>1060313.56</f>
        <v>1060313.56</v>
      </c>
      <c r="BK40" s="7"/>
      <c r="BL40" s="8">
        <f>1078288.13</f>
        <v>1078288.1299999999</v>
      </c>
      <c r="BM40" s="7"/>
      <c r="BN40" s="8">
        <f>1051186.45</f>
        <v>1051186.45</v>
      </c>
      <c r="BO40" s="7"/>
      <c r="BP40" s="7"/>
      <c r="BQ40" s="8">
        <f>770822.04</f>
        <v>770822.04</v>
      </c>
      <c r="BR40" s="7"/>
      <c r="BS40" s="8">
        <f>1121949.16</f>
        <v>1121949.1599999999</v>
      </c>
      <c r="BT40" s="7"/>
      <c r="BU40" s="7"/>
      <c r="BV40" s="8">
        <f>987822.04</f>
        <v>987822.04</v>
      </c>
      <c r="BW40" s="7"/>
      <c r="BX40" s="8">
        <f>1125338.98</f>
        <v>1125338.98</v>
      </c>
      <c r="BY40" s="7"/>
      <c r="BZ40" s="8">
        <f>1169228.81</f>
        <v>1169228.81</v>
      </c>
      <c r="CA40" s="7"/>
      <c r="CB40" s="8">
        <f>699813.56</f>
        <v>699813.56</v>
      </c>
      <c r="CC40" s="8">
        <f>610796.61</f>
        <v>610796.61</v>
      </c>
      <c r="CD40" s="7"/>
      <c r="CE40" s="7"/>
      <c r="CF40" s="7"/>
      <c r="CG40" s="7"/>
      <c r="CH40" s="8">
        <f>869550.84</f>
        <v>869550.84</v>
      </c>
      <c r="CI40" s="7"/>
      <c r="CJ40" s="8">
        <f>1120254.24</f>
        <v>1120254.24</v>
      </c>
      <c r="CK40" s="7"/>
      <c r="CL40" s="7"/>
      <c r="CM40" s="7"/>
      <c r="CN40" s="7"/>
      <c r="CO40" s="7"/>
      <c r="CP40" s="7"/>
      <c r="CQ40" s="8">
        <f>1256957.62</f>
        <v>1256957.6200000001</v>
      </c>
      <c r="CR40" s="8">
        <f>1068788.14</f>
        <v>1068788.1399999999</v>
      </c>
      <c r="CS40" s="8">
        <f>442932.21</f>
        <v>442932.21</v>
      </c>
      <c r="CT40" s="7"/>
      <c r="CU40" s="7"/>
      <c r="CV40" s="8">
        <f>678203.39</f>
        <v>678203.39</v>
      </c>
      <c r="CW40" s="7"/>
      <c r="CX40" s="7"/>
      <c r="CY40" s="7"/>
      <c r="CZ40" s="8">
        <f>1130847.46</f>
        <v>1130847.46</v>
      </c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8">
        <f>701720.35</f>
        <v>701720.35</v>
      </c>
      <c r="DU40" s="7"/>
      <c r="DV40" s="8">
        <f>743457.63</f>
        <v>743457.63</v>
      </c>
      <c r="DW40" s="7"/>
      <c r="DX40" s="7"/>
      <c r="DY40" s="8">
        <f>875059.33</f>
        <v>875059.33</v>
      </c>
      <c r="DZ40" s="7"/>
      <c r="EA40" s="7"/>
      <c r="EB40" s="7"/>
      <c r="EC40" s="8">
        <f>827601.7</f>
        <v>827601.7</v>
      </c>
      <c r="ED40" s="7"/>
      <c r="EE40" s="7"/>
      <c r="EF40" s="7"/>
      <c r="EG40" s="8">
        <f>780837.29</f>
        <v>780837.29</v>
      </c>
      <c r="EH40" s="7"/>
      <c r="EI40" s="8">
        <f>908144.07</f>
        <v>908144.07</v>
      </c>
      <c r="EJ40" s="8">
        <f>1118908.48</f>
        <v>1118908.48</v>
      </c>
      <c r="EK40" s="7"/>
      <c r="EL40" s="7"/>
      <c r="EM40" s="7"/>
      <c r="EN40" s="8">
        <f>1125974.58</f>
        <v>1125974.58</v>
      </c>
      <c r="EO40" s="7"/>
      <c r="EP40" s="7"/>
      <c r="EQ40" s="7"/>
      <c r="ER40" s="7"/>
      <c r="ES40" s="7"/>
      <c r="ET40" s="8">
        <f>1050762.71</f>
        <v>1050762.71</v>
      </c>
      <c r="EU40" s="7"/>
      <c r="EV40" s="7"/>
      <c r="EW40" s="7"/>
      <c r="EX40" s="8">
        <f>553559.32</f>
        <v>553559.31999999995</v>
      </c>
      <c r="EY40" s="8">
        <f>575822.04</f>
        <v>575822.04</v>
      </c>
      <c r="EZ40" s="8">
        <f>1694822.04</f>
        <v>1694822.04</v>
      </c>
      <c r="FA40" s="7"/>
      <c r="FB40" s="7"/>
      <c r="FC40" s="8">
        <f>558220.35</f>
        <v>558220.35</v>
      </c>
      <c r="FD40" s="7"/>
      <c r="FE40" s="7"/>
      <c r="FF40" s="8">
        <f>916372.88</f>
        <v>916372.88</v>
      </c>
      <c r="FG40" s="7"/>
      <c r="FH40" s="7"/>
      <c r="FI40" s="8">
        <f>1181750.86</f>
        <v>1181750.8600000001</v>
      </c>
      <c r="FJ40" s="7"/>
      <c r="FK40" s="7"/>
      <c r="FL40" s="7"/>
      <c r="FM40" s="7"/>
      <c r="FN40" s="7"/>
      <c r="FO40" s="7"/>
      <c r="FP40" s="7"/>
      <c r="FQ40" s="7"/>
      <c r="FR40" s="8">
        <f>1104576.28</f>
        <v>1104576.28</v>
      </c>
      <c r="FS40" s="8">
        <f>1219177.96</f>
        <v>1219177.96</v>
      </c>
      <c r="FT40" s="7"/>
      <c r="FU40" s="7"/>
      <c r="FV40" s="8">
        <f>1142923.72</f>
        <v>1142923.72</v>
      </c>
      <c r="FW40" s="7"/>
      <c r="FX40" s="8">
        <f>1329008.47</f>
        <v>1329008.47</v>
      </c>
      <c r="FY40" s="8">
        <f>985033.9</f>
        <v>985033.9</v>
      </c>
      <c r="FZ40" s="7"/>
      <c r="GA40" s="8">
        <f>948169.5</f>
        <v>948169.5</v>
      </c>
      <c r="GB40" s="8">
        <f>((((((((((((((((((((((((((((((((((((((((((((((((((((((((((((((((((((((((((((((((((((((((((((((((((((((((((((((((((((((((((((((((((((((((((((((((((((((((((((((((((((((((((((((((((((C40)+(D40))+(E40))+(F40))+(G40))+(H40))+(I40))+(J40))+(K40))+(L40))+(M40))+(N40))+(O40))+(P40))+(Q40))+(R40))+(S40))+(T40))+(U40))+(V40))+(W40))+(X40))+(Y40))+(Z40))+(AA40))+(AB40))+(AC40))+(AD40))+(AE40))+(AF40))+(AG40))+(AH40))+(AI40))+(AJ40))+(AK40))+(AL40))+(AM40))+(AN40))+(AO40))+(AP40))+(AQ40))+(AR40))+(AS40))+(AT40))+(AU40))+(AV40))+(AW40))+(AX40))+(AY40))+(AZ40))+(BA40))+(BB40))+(BC40))+(BD40))+(BE40))+(BF40))+(BG40))+(BH40))+(BI40))+(BJ40))+(BK40))+(BL40))+(BM40))+(BN40))+(BO40))+(BP40))+(BQ40))+(BR40))+(BS40))+(BT40))+(BU40))+(BV40))+(BW40))+(BX40))+(BY40))+(BZ40))+(CA40))+(CB40))+(CC40))+(CD40))+(CE40))+(CF40))+(CG40))+(CH40))+(CI40))+(CJ40))+(CK40))+(CL40))+(CM40))+(CN40))+(CO40))+(CP40))+(CQ40))+(CR40))+(CS40))+(CT40))+(CU40))+(CV40))+(CW40))+(CX40))+(CY40))+(CZ40))+(DA40))+(DB40))+(DC40))+(DD40))+(DE40))+(DF40))+(DG40))+(DH40))+(DI40))+(DJ40))+(DK40))+(DL40))+(DM40))+(DN40))+(DO40))+(DP40))+(DQ40))+(DR40))+(DS40))+(DT40))+(DU40))+(DV40))+(DW40))+(DX40))+(DY40))+(DZ40))+(EA40))+(EB40))+(EC40))+(ED40))+(EE40))+(EF40))+(EG40))+(EH40))+(EI40))+(EJ40))+(EK40))+(EL40))+(EM40))+(EN40))+(EO40))+(EP40))+(EQ40))+(ER40))+(ES40))+(ET40))+(EU40))+(EV40))+(EW40))+(EX40))+(EY40))+(EZ40))+(FA40))+(FB40))+(FC40))+(FD40))+(FE40))+(FF40))+(FG40))+(FH40))+(FI40))+(FJ40))+(FK40))+(FL40))+(FM40))+(FN40))+(FO40))+(FP40))+(FQ40))+(FR40))+(FS40))+(FT40))+(FU40))+(FV40))+(FW40))+(FX40))+(FY40))+(FZ40))+(GA40)</f>
        <v>54607928.899999991</v>
      </c>
    </row>
    <row r="41" spans="1:184">
      <c r="A41" s="5" t="s">
        <v>222</v>
      </c>
      <c r="B41" s="6">
        <v>78883268402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8">
        <f>794533.9</f>
        <v>794533.9</v>
      </c>
      <c r="FS41" s="7"/>
      <c r="FT41" s="7"/>
      <c r="FU41" s="7"/>
      <c r="FV41" s="8">
        <f>485305.08</f>
        <v>485305.08</v>
      </c>
      <c r="FW41" s="7"/>
      <c r="FX41" s="7"/>
      <c r="FY41" s="7"/>
      <c r="FZ41" s="7"/>
      <c r="GA41" s="7"/>
      <c r="GB41" s="8">
        <f>((((((((((((((((((((((((((((((((((((((((((((((((((((((((((((((((((((((((((((((((((((((((((((((((((((((((((((((((((((((((((((((((((((((((((((((((((((((((((((((((((((((((((((((((((((C41)+(D41))+(E41))+(F41))+(G41))+(H41))+(I41))+(J41))+(K41))+(L41))+(M41))+(N41))+(O41))+(P41))+(Q41))+(R41))+(S41))+(T41))+(U41))+(V41))+(W41))+(X41))+(Y41))+(Z41))+(AA41))+(AB41))+(AC41))+(AD41))+(AE41))+(AF41))+(AG41))+(AH41))+(AI41))+(AJ41))+(AK41))+(AL41))+(AM41))+(AN41))+(AO41))+(AP41))+(AQ41))+(AR41))+(AS41))+(AT41))+(AU41))+(AV41))+(AW41))+(AX41))+(AY41))+(AZ41))+(BA41))+(BB41))+(BC41))+(BD41))+(BE41))+(BF41))+(BG41))+(BH41))+(BI41))+(BJ41))+(BK41))+(BL41))+(BM41))+(BN41))+(BO41))+(BP41))+(BQ41))+(BR41))+(BS41))+(BT41))+(BU41))+(BV41))+(BW41))+(BX41))+(BY41))+(BZ41))+(CA41))+(CB41))+(CC41))+(CD41))+(CE41))+(CF41))+(CG41))+(CH41))+(CI41))+(CJ41))+(CK41))+(CL41))+(CM41))+(CN41))+(CO41))+(CP41))+(CQ41))+(CR41))+(CS41))+(CT41))+(CU41))+(CV41))+(CW41))+(CX41))+(CY41))+(CZ41))+(DA41))+(DB41))+(DC41))+(DD41))+(DE41))+(DF41))+(DG41))+(DH41))+(DI41))+(DJ41))+(DK41))+(DL41))+(DM41))+(DN41))+(DO41))+(DP41))+(DQ41))+(DR41))+(DS41))+(DT41))+(DU41))+(DV41))+(DW41))+(DX41))+(DY41))+(DZ41))+(EA41))+(EB41))+(EC41))+(ED41))+(EE41))+(EF41))+(EG41))+(EH41))+(EI41))+(EJ41))+(EK41))+(EL41))+(EM41))+(EN41))+(EO41))+(EP41))+(EQ41))+(ER41))+(ES41))+(ET41))+(EU41))+(EV41))+(EW41))+(EX41))+(EY41))+(EZ41))+(FA41))+(FB41))+(FC41))+(FD41))+(FE41))+(FF41))+(FG41))+(FH41))+(FI41))+(FJ41))+(FK41))+(FL41))+(FM41))+(FN41))+(FO41))+(FP41))+(FQ41))+(FR41))+(FS41))+(FT41))+(FU41))+(FV41))+(FW41))+(FX41))+(FY41))+(FZ41))+(GA41)</f>
        <v>1279838.98</v>
      </c>
    </row>
    <row r="42" spans="1:184">
      <c r="A42" s="5" t="s">
        <v>223</v>
      </c>
      <c r="B42" s="6">
        <v>786055057</v>
      </c>
      <c r="C42" s="7"/>
      <c r="D42" s="7"/>
      <c r="E42" s="8">
        <f>34420.34</f>
        <v>34420.339999999997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8">
        <f>((((((((((((((((((((((((((((((((((((((((((((((((((((((((((((((((((((((((((((((((((((((((((((((((((((((((((((((((((((((((((((((((((((((((((((((((((((((((((((((((((((((((((((((((((((C42)+(D42))+(E42))+(F42))+(G42))+(H42))+(I42))+(J42))+(K42))+(L42))+(M42))+(N42))+(O42))+(P42))+(Q42))+(R42))+(S42))+(T42))+(U42))+(V42))+(W42))+(X42))+(Y42))+(Z42))+(AA42))+(AB42))+(AC42))+(AD42))+(AE42))+(AF42))+(AG42))+(AH42))+(AI42))+(AJ42))+(AK42))+(AL42))+(AM42))+(AN42))+(AO42))+(AP42))+(AQ42))+(AR42))+(AS42))+(AT42))+(AU42))+(AV42))+(AW42))+(AX42))+(AY42))+(AZ42))+(BA42))+(BB42))+(BC42))+(BD42))+(BE42))+(BF42))+(BG42))+(BH42))+(BI42))+(BJ42))+(BK42))+(BL42))+(BM42))+(BN42))+(BO42))+(BP42))+(BQ42))+(BR42))+(BS42))+(BT42))+(BU42))+(BV42))+(BW42))+(BX42))+(BY42))+(BZ42))+(CA42))+(CB42))+(CC42))+(CD42))+(CE42))+(CF42))+(CG42))+(CH42))+(CI42))+(CJ42))+(CK42))+(CL42))+(CM42))+(CN42))+(CO42))+(CP42))+(CQ42))+(CR42))+(CS42))+(CT42))+(CU42))+(CV42))+(CW42))+(CX42))+(CY42))+(CZ42))+(DA42))+(DB42))+(DC42))+(DD42))+(DE42))+(DF42))+(DG42))+(DH42))+(DI42))+(DJ42))+(DK42))+(DL42))+(DM42))+(DN42))+(DO42))+(DP42))+(DQ42))+(DR42))+(DS42))+(DT42))+(DU42))+(DV42))+(DW42))+(DX42))+(DY42))+(DZ42))+(EA42))+(EB42))+(EC42))+(ED42))+(EE42))+(EF42))+(EG42))+(EH42))+(EI42))+(EJ42))+(EK42))+(EL42))+(EM42))+(EN42))+(EO42))+(EP42))+(EQ42))+(ER42))+(ES42))+(ET42))+(EU42))+(EV42))+(EW42))+(EX42))+(EY42))+(EZ42))+(FA42))+(FB42))+(FC42))+(FD42))+(FE42))+(FF42))+(FG42))+(FH42))+(FI42))+(FJ42))+(FK42))+(FL42))+(FM42))+(FN42))+(FO42))+(FP42))+(FQ42))+(FR42))+(FS42))+(FT42))+(FU42))+(FV42))+(FW42))+(FX42))+(FY42))+(FZ42))+(GA42)</f>
        <v>34420.339999999997</v>
      </c>
    </row>
    <row r="43" spans="1:184">
      <c r="A43" s="5" t="s">
        <v>224</v>
      </c>
      <c r="B43" s="6">
        <v>788408935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8">
        <f>2734067.8</f>
        <v>2734067.8</v>
      </c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8">
        <f>((((((((((((((((((((((((((((((((((((((((((((((((((((((((((((((((((((((((((((((((((((((((((((((((((((((((((((((((((((((((((((((((((((((((((((((((((((((((((((((((((((((((((((((((((((C43)+(D43))+(E43))+(F43))+(G43))+(H43))+(I43))+(J43))+(K43))+(L43))+(M43))+(N43))+(O43))+(P43))+(Q43))+(R43))+(S43))+(T43))+(U43))+(V43))+(W43))+(X43))+(Y43))+(Z43))+(AA43))+(AB43))+(AC43))+(AD43))+(AE43))+(AF43))+(AG43))+(AH43))+(AI43))+(AJ43))+(AK43))+(AL43))+(AM43))+(AN43))+(AO43))+(AP43))+(AQ43))+(AR43))+(AS43))+(AT43))+(AU43))+(AV43))+(AW43))+(AX43))+(AY43))+(AZ43))+(BA43))+(BB43))+(BC43))+(BD43))+(BE43))+(BF43))+(BG43))+(BH43))+(BI43))+(BJ43))+(BK43))+(BL43))+(BM43))+(BN43))+(BO43))+(BP43))+(BQ43))+(BR43))+(BS43))+(BT43))+(BU43))+(BV43))+(BW43))+(BX43))+(BY43))+(BZ43))+(CA43))+(CB43))+(CC43))+(CD43))+(CE43))+(CF43))+(CG43))+(CH43))+(CI43))+(CJ43))+(CK43))+(CL43))+(CM43))+(CN43))+(CO43))+(CP43))+(CQ43))+(CR43))+(CS43))+(CT43))+(CU43))+(CV43))+(CW43))+(CX43))+(CY43))+(CZ43))+(DA43))+(DB43))+(DC43))+(DD43))+(DE43))+(DF43))+(DG43))+(DH43))+(DI43))+(DJ43))+(DK43))+(DL43))+(DM43))+(DN43))+(DO43))+(DP43))+(DQ43))+(DR43))+(DS43))+(DT43))+(DU43))+(DV43))+(DW43))+(DX43))+(DY43))+(DZ43))+(EA43))+(EB43))+(EC43))+(ED43))+(EE43))+(EF43))+(EG43))+(EH43))+(EI43))+(EJ43))+(EK43))+(EL43))+(EM43))+(EN43))+(EO43))+(EP43))+(EQ43))+(ER43))+(ES43))+(ET43))+(EU43))+(EV43))+(EW43))+(EX43))+(EY43))+(EZ43))+(FA43))+(FB43))+(FC43))+(FD43))+(FE43))+(FF43))+(FG43))+(FH43))+(FI43))+(FJ43))+(FK43))+(FL43))+(FM43))+(FN43))+(FO43))+(FP43))+(FQ43))+(FR43))+(FS43))+(FT43))+(FU43))+(FV43))+(FW43))+(FX43))+(FY43))+(FZ43))+(GA43)</f>
        <v>2734067.8</v>
      </c>
    </row>
    <row r="44" spans="1:184">
      <c r="A44" s="5" t="s">
        <v>225</v>
      </c>
      <c r="B44" s="6">
        <v>788399191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8">
        <f>715262.71</f>
        <v>715262.71</v>
      </c>
      <c r="CR44" s="7"/>
      <c r="CS44" s="8">
        <f>530677.97</f>
        <v>530677.97</v>
      </c>
      <c r="CT44" s="7"/>
      <c r="CU44" s="7"/>
      <c r="CV44" s="7"/>
      <c r="CW44" s="7"/>
      <c r="CX44" s="7"/>
      <c r="CY44" s="7"/>
      <c r="CZ44" s="7"/>
      <c r="DA44" s="7"/>
      <c r="DB44" s="8">
        <f>549957.63</f>
        <v>549957.63</v>
      </c>
      <c r="DC44" s="7"/>
      <c r="DD44" s="7"/>
      <c r="DE44" s="7"/>
      <c r="DF44" s="7"/>
      <c r="DG44" s="8">
        <f>549110.17</f>
        <v>549110.17000000004</v>
      </c>
      <c r="DH44" s="7"/>
      <c r="DI44" s="7"/>
      <c r="DJ44" s="7"/>
      <c r="DK44" s="8">
        <f>635372.88</f>
        <v>635372.88</v>
      </c>
      <c r="DL44" s="7"/>
      <c r="DM44" s="7"/>
      <c r="DN44" s="8">
        <f>546567.79</f>
        <v>546567.79</v>
      </c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8">
        <f>16994.92</f>
        <v>16994.919999999998</v>
      </c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8">
        <f>562245.76</f>
        <v>562245.76</v>
      </c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8">
        <f>416025.42</f>
        <v>416025.42</v>
      </c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8">
        <f>((((((((((((((((((((((((((((((((((((((((((((((((((((((((((((((((((((((((((((((((((((((((((((((((((((((((((((((((((((((((((((((((((((((((((((((((((((((((((((((((((((((((((((((((((((C44)+(D44))+(E44))+(F44))+(G44))+(H44))+(I44))+(J44))+(K44))+(L44))+(M44))+(N44))+(O44))+(P44))+(Q44))+(R44))+(S44))+(T44))+(U44))+(V44))+(W44))+(X44))+(Y44))+(Z44))+(AA44))+(AB44))+(AC44))+(AD44))+(AE44))+(AF44))+(AG44))+(AH44))+(AI44))+(AJ44))+(AK44))+(AL44))+(AM44))+(AN44))+(AO44))+(AP44))+(AQ44))+(AR44))+(AS44))+(AT44))+(AU44))+(AV44))+(AW44))+(AX44))+(AY44))+(AZ44))+(BA44))+(BB44))+(BC44))+(BD44))+(BE44))+(BF44))+(BG44))+(BH44))+(BI44))+(BJ44))+(BK44))+(BL44))+(BM44))+(BN44))+(BO44))+(BP44))+(BQ44))+(BR44))+(BS44))+(BT44))+(BU44))+(BV44))+(BW44))+(BX44))+(BY44))+(BZ44))+(CA44))+(CB44))+(CC44))+(CD44))+(CE44))+(CF44))+(CG44))+(CH44))+(CI44))+(CJ44))+(CK44))+(CL44))+(CM44))+(CN44))+(CO44))+(CP44))+(CQ44))+(CR44))+(CS44))+(CT44))+(CU44))+(CV44))+(CW44))+(CX44))+(CY44))+(CZ44))+(DA44))+(DB44))+(DC44))+(DD44))+(DE44))+(DF44))+(DG44))+(DH44))+(DI44))+(DJ44))+(DK44))+(DL44))+(DM44))+(DN44))+(DO44))+(DP44))+(DQ44))+(DR44))+(DS44))+(DT44))+(DU44))+(DV44))+(DW44))+(DX44))+(DY44))+(DZ44))+(EA44))+(EB44))+(EC44))+(ED44))+(EE44))+(EF44))+(EG44))+(EH44))+(EI44))+(EJ44))+(EK44))+(EL44))+(EM44))+(EN44))+(EO44))+(EP44))+(EQ44))+(ER44))+(ES44))+(ET44))+(EU44))+(EV44))+(EW44))+(EX44))+(EY44))+(EZ44))+(FA44))+(FB44))+(FC44))+(FD44))+(FE44))+(FF44))+(FG44))+(FH44))+(FI44))+(FJ44))+(FK44))+(FL44))+(FM44))+(FN44))+(FO44))+(FP44))+(FQ44))+(FR44))+(FS44))+(FT44))+(FU44))+(FV44))+(FW44))+(FX44))+(FY44))+(FZ44))+(GA44)</f>
        <v>4522215.25</v>
      </c>
    </row>
    <row r="45" spans="1:184">
      <c r="A45" s="5" t="s">
        <v>226</v>
      </c>
      <c r="B45" s="6">
        <v>788851050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1027457.63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1030000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722305.08</v>
      </c>
      <c r="AF45" s="7">
        <v>0</v>
      </c>
      <c r="AG45" s="7">
        <v>0</v>
      </c>
      <c r="AH45" s="7">
        <v>0</v>
      </c>
      <c r="AI45" s="7">
        <v>934627.12</v>
      </c>
      <c r="AJ45" s="7">
        <v>0</v>
      </c>
      <c r="AK45" s="7">
        <v>0</v>
      </c>
      <c r="AL45" s="7">
        <v>0</v>
      </c>
      <c r="AM45" s="7">
        <v>0</v>
      </c>
      <c r="AN45" s="7">
        <v>1288559.32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1278406.78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943559.32</v>
      </c>
      <c r="BH45" s="7">
        <v>0</v>
      </c>
      <c r="BI45" s="7">
        <v>0</v>
      </c>
      <c r="BJ45" s="7">
        <v>0</v>
      </c>
      <c r="BK45" s="7">
        <v>1197864.4099999999</v>
      </c>
      <c r="BL45" s="7">
        <v>0</v>
      </c>
      <c r="BM45" s="7">
        <v>1033779.65</v>
      </c>
      <c r="BN45" s="7">
        <v>0</v>
      </c>
      <c r="BO45" s="7">
        <v>1701423.73</v>
      </c>
      <c r="BP45" s="7">
        <v>0</v>
      </c>
      <c r="BQ45" s="7">
        <v>0</v>
      </c>
      <c r="BR45" s="7">
        <v>0</v>
      </c>
      <c r="BS45" s="7">
        <v>991016.95</v>
      </c>
      <c r="BT45" s="7">
        <v>0</v>
      </c>
      <c r="BU45" s="7">
        <v>0</v>
      </c>
      <c r="BV45" s="7">
        <v>2027796.62</v>
      </c>
      <c r="BW45" s="7">
        <v>0</v>
      </c>
      <c r="BX45" s="7">
        <v>777389.84</v>
      </c>
      <c r="BY45" s="7">
        <v>0</v>
      </c>
      <c r="BZ45" s="7">
        <v>950338.98</v>
      </c>
      <c r="CA45" s="7">
        <v>0</v>
      </c>
      <c r="CB45" s="7">
        <v>993771.19</v>
      </c>
      <c r="CC45" s="7">
        <v>0</v>
      </c>
      <c r="CD45" s="7">
        <v>756052.55</v>
      </c>
      <c r="CE45" s="7">
        <v>645983.05000000005</v>
      </c>
      <c r="CF45" s="7">
        <v>0</v>
      </c>
      <c r="CG45" s="7">
        <v>1126432.22</v>
      </c>
      <c r="CH45" s="7">
        <v>0</v>
      </c>
      <c r="CI45" s="7">
        <v>466694.91</v>
      </c>
      <c r="CJ45" s="7">
        <v>309847.46000000002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555288.13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>
        <v>0</v>
      </c>
      <c r="DO45" s="7">
        <v>0</v>
      </c>
      <c r="DP45" s="7">
        <v>0</v>
      </c>
      <c r="DQ45" s="7">
        <v>0</v>
      </c>
      <c r="DR45" s="7">
        <v>481101.69</v>
      </c>
      <c r="DS45" s="7">
        <v>0</v>
      </c>
      <c r="DT45" s="7">
        <v>0</v>
      </c>
      <c r="DU45" s="7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512938.98</v>
      </c>
      <c r="EL45" s="7">
        <v>0</v>
      </c>
      <c r="EM45" s="7">
        <v>0</v>
      </c>
      <c r="EN45" s="7">
        <v>0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7">
        <v>0</v>
      </c>
      <c r="EZ45" s="7">
        <v>0</v>
      </c>
      <c r="FA45" s="7">
        <v>0</v>
      </c>
      <c r="FB45" s="7">
        <v>0</v>
      </c>
      <c r="FC45" s="7">
        <v>1009357.63</v>
      </c>
      <c r="FD45" s="7">
        <v>0</v>
      </c>
      <c r="FE45" s="7">
        <v>0</v>
      </c>
      <c r="FF45" s="7">
        <v>0</v>
      </c>
      <c r="FG45" s="7">
        <v>0</v>
      </c>
      <c r="FH45" s="7">
        <v>0</v>
      </c>
      <c r="FI45" s="7">
        <v>0</v>
      </c>
      <c r="FJ45" s="7">
        <v>0</v>
      </c>
      <c r="FK45" s="7">
        <v>0</v>
      </c>
      <c r="FL45" s="7">
        <v>0</v>
      </c>
      <c r="FM45" s="7">
        <v>0</v>
      </c>
      <c r="FN45" s="7">
        <v>0</v>
      </c>
      <c r="FO45" s="7">
        <v>0</v>
      </c>
      <c r="FP45" s="7">
        <v>0</v>
      </c>
      <c r="FQ45" s="7">
        <v>0</v>
      </c>
      <c r="FR45" s="7">
        <v>0</v>
      </c>
      <c r="FS45" s="7">
        <v>0</v>
      </c>
      <c r="FT45" s="7">
        <v>0</v>
      </c>
      <c r="FU45" s="7">
        <v>0</v>
      </c>
      <c r="FV45" s="7">
        <v>0</v>
      </c>
      <c r="FW45" s="7">
        <v>0</v>
      </c>
      <c r="FX45" s="7">
        <v>0</v>
      </c>
      <c r="FY45" s="7">
        <v>0</v>
      </c>
      <c r="FZ45" s="7">
        <v>0</v>
      </c>
      <c r="GA45" s="7">
        <v>0</v>
      </c>
      <c r="GB45" s="7">
        <v>22761993.240000002</v>
      </c>
    </row>
    <row r="46" spans="1:184">
      <c r="A46" s="5" t="s">
        <v>227</v>
      </c>
      <c r="B46" s="6">
        <v>788489073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>
        <f>608889.83</f>
        <v>608889.82999999996</v>
      </c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8">
        <f>486610.17</f>
        <v>486610.17</v>
      </c>
      <c r="AQ46" s="7"/>
      <c r="AR46" s="7"/>
      <c r="AS46" s="7"/>
      <c r="AT46" s="7"/>
      <c r="AU46" s="7"/>
      <c r="AV46" s="7"/>
      <c r="AW46" s="7"/>
      <c r="AX46" s="8">
        <f>704686.45</f>
        <v>704686.45</v>
      </c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8">
        <f>1072372.88</f>
        <v>1072372.8799999999</v>
      </c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8">
        <f>446533.9</f>
        <v>446533.9</v>
      </c>
      <c r="EY46" s="7"/>
      <c r="EZ46" s="7"/>
      <c r="FA46" s="7"/>
      <c r="FB46" s="7"/>
      <c r="FC46" s="7"/>
      <c r="FD46" s="8">
        <f>713430.51</f>
        <v>713430.51</v>
      </c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8">
        <f>485550.85</f>
        <v>485550.85</v>
      </c>
      <c r="FS46" s="7"/>
      <c r="FT46" s="7"/>
      <c r="FU46" s="7"/>
      <c r="FV46" s="7"/>
      <c r="FW46" s="7"/>
      <c r="FX46" s="7"/>
      <c r="FY46" s="8">
        <f>333364.41</f>
        <v>333364.40999999997</v>
      </c>
      <c r="FZ46" s="7"/>
      <c r="GA46" s="7"/>
      <c r="GB46" s="8">
        <f t="shared" ref="GB46:GB64" si="3">((((((((((((((((((((((((((((((((((((((((((((((((((((((((((((((((((((((((((((((((((((((((((((((((((((((((((((((((((((((((((((((((((((((((((((((((((((((((((((((((((((((((((((((((((((C46)+(D46))+(E46))+(F46))+(G46))+(H46))+(I46))+(J46))+(K46))+(L46))+(M46))+(N46))+(O46))+(P46))+(Q46))+(R46))+(S46))+(T46))+(U46))+(V46))+(W46))+(X46))+(Y46))+(Z46))+(AA46))+(AB46))+(AC46))+(AD46))+(AE46))+(AF46))+(AG46))+(AH46))+(AI46))+(AJ46))+(AK46))+(AL46))+(AM46))+(AN46))+(AO46))+(AP46))+(AQ46))+(AR46))+(AS46))+(AT46))+(AU46))+(AV46))+(AW46))+(AX46))+(AY46))+(AZ46))+(BA46))+(BB46))+(BC46))+(BD46))+(BE46))+(BF46))+(BG46))+(BH46))+(BI46))+(BJ46))+(BK46))+(BL46))+(BM46))+(BN46))+(BO46))+(BP46))+(BQ46))+(BR46))+(BS46))+(BT46))+(BU46))+(BV46))+(BW46))+(BX46))+(BY46))+(BZ46))+(CA46))+(CB46))+(CC46))+(CD46))+(CE46))+(CF46))+(CG46))+(CH46))+(CI46))+(CJ46))+(CK46))+(CL46))+(CM46))+(CN46))+(CO46))+(CP46))+(CQ46))+(CR46))+(CS46))+(CT46))+(CU46))+(CV46))+(CW46))+(CX46))+(CY46))+(CZ46))+(DA46))+(DB46))+(DC46))+(DD46))+(DE46))+(DF46))+(DG46))+(DH46))+(DI46))+(DJ46))+(DK46))+(DL46))+(DM46))+(DN46))+(DO46))+(DP46))+(DQ46))+(DR46))+(DS46))+(DT46))+(DU46))+(DV46))+(DW46))+(DX46))+(DY46))+(DZ46))+(EA46))+(EB46))+(EC46))+(ED46))+(EE46))+(EF46))+(EG46))+(EH46))+(EI46))+(EJ46))+(EK46))+(EL46))+(EM46))+(EN46))+(EO46))+(EP46))+(EQ46))+(ER46))+(ES46))+(ET46))+(EU46))+(EV46))+(EW46))+(EX46))+(EY46))+(EZ46))+(FA46))+(FB46))+(FC46))+(FD46))+(FE46))+(FF46))+(FG46))+(FH46))+(FI46))+(FJ46))+(FK46))+(FL46))+(FM46))+(FN46))+(FO46))+(FP46))+(FQ46))+(FR46))+(FS46))+(FT46))+(FU46))+(FV46))+(FW46))+(FX46))+(FY46))+(FZ46))+(GA46)</f>
        <v>4851439</v>
      </c>
    </row>
    <row r="47" spans="1:184">
      <c r="A47" s="5" t="s">
        <v>228</v>
      </c>
      <c r="B47" s="6">
        <v>785205528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8">
        <f>944796.61</f>
        <v>944796.61</v>
      </c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8">
        <f t="shared" si="3"/>
        <v>944796.61</v>
      </c>
    </row>
    <row r="48" spans="1:184">
      <c r="A48" s="5" t="s">
        <v>229</v>
      </c>
      <c r="B48" s="6">
        <v>783733027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8">
        <f>264272.88</f>
        <v>264272.88</v>
      </c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8">
        <f>72989.83</f>
        <v>72989.83</v>
      </c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8">
        <f>105411.87</f>
        <v>105411.87</v>
      </c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8">
        <f t="shared" si="3"/>
        <v>442674.58</v>
      </c>
    </row>
    <row r="49" spans="1:184">
      <c r="A49" s="5" t="s">
        <v>230</v>
      </c>
      <c r="B49" s="6">
        <v>788502802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8">
        <f>873918.64</f>
        <v>873918.64</v>
      </c>
      <c r="BN49" s="7"/>
      <c r="BO49" s="8">
        <f>208118.64</f>
        <v>208118.64</v>
      </c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8">
        <f>153228.82</f>
        <v>153228.82</v>
      </c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8">
        <f t="shared" si="3"/>
        <v>1235266.1000000001</v>
      </c>
    </row>
    <row r="50" spans="1:184">
      <c r="A50" s="5" t="s">
        <v>231</v>
      </c>
      <c r="B50" s="6">
        <v>780382840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8">
        <f>382745.77</f>
        <v>382745.77</v>
      </c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8">
        <f t="shared" si="3"/>
        <v>382745.77</v>
      </c>
    </row>
    <row r="51" spans="1:184">
      <c r="A51" s="5" t="s">
        <v>232</v>
      </c>
      <c r="B51" s="6">
        <v>788226075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>
        <f>1041864.41</f>
        <v>1041864.41</v>
      </c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8">
        <f>1093135.6</f>
        <v>1093135.6000000001</v>
      </c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8">
        <f>1143593.22</f>
        <v>1143593.22</v>
      </c>
      <c r="CE51" s="7"/>
      <c r="CF51" s="7"/>
      <c r="CG51" s="7"/>
      <c r="CH51" s="7"/>
      <c r="CI51" s="8">
        <f>1074703.39</f>
        <v>1074703.3899999999</v>
      </c>
      <c r="CJ51" s="7"/>
      <c r="CK51" s="7"/>
      <c r="CL51" s="7"/>
      <c r="CM51" s="7"/>
      <c r="CN51" s="7"/>
      <c r="CO51" s="8">
        <f>1504059.33</f>
        <v>1504059.33</v>
      </c>
      <c r="CP51" s="7"/>
      <c r="CQ51" s="8">
        <f>1112627.11</f>
        <v>1112627.1100000001</v>
      </c>
      <c r="CR51" s="7"/>
      <c r="CS51" s="7"/>
      <c r="CT51" s="7"/>
      <c r="CU51" s="8">
        <f>1285364.41</f>
        <v>1285364.4099999999</v>
      </c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8">
        <f>1095677.96</f>
        <v>1095677.96</v>
      </c>
      <c r="DJ51" s="7"/>
      <c r="DK51" s="7"/>
      <c r="DL51" s="8">
        <f>1108601.7</f>
        <v>1108601.7</v>
      </c>
      <c r="DM51" s="7"/>
      <c r="DN51" s="7"/>
      <c r="DO51" s="7"/>
      <c r="DP51" s="7"/>
      <c r="DQ51" s="7"/>
      <c r="DR51" s="7"/>
      <c r="DS51" s="8">
        <f>1016211.86</f>
        <v>1016211.86</v>
      </c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8">
        <f>1151610.17</f>
        <v>1151610.17</v>
      </c>
      <c r="ES51" s="7"/>
      <c r="ET51" s="7"/>
      <c r="EU51" s="7"/>
      <c r="EV51" s="7"/>
      <c r="EW51" s="7"/>
      <c r="EX51" s="8">
        <f>1031483.05</f>
        <v>1031483.05</v>
      </c>
      <c r="EY51" s="7"/>
      <c r="EZ51" s="7"/>
      <c r="FA51" s="8">
        <f>1125847.45</f>
        <v>1125847.45</v>
      </c>
      <c r="FB51" s="7"/>
      <c r="FC51" s="7"/>
      <c r="FD51" s="7"/>
      <c r="FE51" s="7"/>
      <c r="FF51" s="7"/>
      <c r="FG51" s="7"/>
      <c r="FH51" s="8">
        <f>1156059.33</f>
        <v>1156059.33</v>
      </c>
      <c r="FI51" s="7"/>
      <c r="FJ51" s="7"/>
      <c r="FK51" s="7"/>
      <c r="FL51" s="7"/>
      <c r="FM51" s="7"/>
      <c r="FN51" s="7"/>
      <c r="FO51" s="7"/>
      <c r="FP51" s="7"/>
      <c r="FQ51" s="8">
        <f>1238949.15</f>
        <v>1238949.1499999999</v>
      </c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8">
        <f t="shared" si="3"/>
        <v>17179788.139999997</v>
      </c>
    </row>
    <row r="52" spans="1:184">
      <c r="A52" s="5" t="s">
        <v>233</v>
      </c>
      <c r="B52" s="6">
        <v>783102812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>
        <f>966211.87</f>
        <v>966211.87</v>
      </c>
      <c r="X52" s="7"/>
      <c r="Y52" s="7"/>
      <c r="Z52" s="7"/>
      <c r="AA52" s="7"/>
      <c r="AB52" s="7"/>
      <c r="AC52" s="7"/>
      <c r="AD52" s="8">
        <f>686635.59</f>
        <v>686635.59</v>
      </c>
      <c r="AE52" s="8">
        <f>712966.08</f>
        <v>712966.08</v>
      </c>
      <c r="AF52" s="7"/>
      <c r="AG52" s="7"/>
      <c r="AH52" s="7"/>
      <c r="AI52" s="7"/>
      <c r="AJ52" s="7"/>
      <c r="AK52" s="8">
        <f>887559.32</f>
        <v>887559.32</v>
      </c>
      <c r="AL52" s="7"/>
      <c r="AM52" s="7"/>
      <c r="AN52" s="7"/>
      <c r="AO52" s="7"/>
      <c r="AP52" s="7"/>
      <c r="AQ52" s="8">
        <f>778718.64</f>
        <v>778718.64</v>
      </c>
      <c r="AR52" s="7"/>
      <c r="AS52" s="7"/>
      <c r="AT52" s="7"/>
      <c r="AU52" s="8">
        <f>1030847.46</f>
        <v>1030847.46</v>
      </c>
      <c r="AV52" s="7"/>
      <c r="AW52" s="7"/>
      <c r="AX52" s="8">
        <f>488305.09</f>
        <v>488305.09</v>
      </c>
      <c r="AY52" s="8">
        <f>127576.27</f>
        <v>127576.27</v>
      </c>
      <c r="AZ52" s="7"/>
      <c r="BA52" s="7"/>
      <c r="BB52" s="8">
        <f>766567.79</f>
        <v>766567.79</v>
      </c>
      <c r="BC52" s="7"/>
      <c r="BD52" s="7"/>
      <c r="BE52" s="7"/>
      <c r="BF52" s="7"/>
      <c r="BG52" s="7"/>
      <c r="BH52" s="7"/>
      <c r="BI52" s="7"/>
      <c r="BJ52" s="8">
        <f>1176220.33</f>
        <v>1176220.33</v>
      </c>
      <c r="BK52" s="7"/>
      <c r="BL52" s="8">
        <f>619115.25</f>
        <v>619115.25</v>
      </c>
      <c r="BM52" s="7"/>
      <c r="BN52" s="8">
        <f>1074491.53</f>
        <v>1074491.53</v>
      </c>
      <c r="BO52" s="7"/>
      <c r="BP52" s="7"/>
      <c r="BQ52" s="8">
        <f>1248711.86</f>
        <v>1248711.8600000001</v>
      </c>
      <c r="BR52" s="7"/>
      <c r="BS52" s="7"/>
      <c r="BT52" s="7"/>
      <c r="BU52" s="8">
        <f>833837.28</f>
        <v>833837.28</v>
      </c>
      <c r="BV52" s="7"/>
      <c r="BW52" s="7"/>
      <c r="BX52" s="7"/>
      <c r="BY52" s="7"/>
      <c r="BZ52" s="7"/>
      <c r="CA52" s="8">
        <f>889362.71</f>
        <v>889362.71</v>
      </c>
      <c r="CB52" s="7"/>
      <c r="CC52" s="7"/>
      <c r="CD52" s="7"/>
      <c r="CE52" s="7"/>
      <c r="CF52" s="8">
        <f>912364.41</f>
        <v>912364.41</v>
      </c>
      <c r="CG52" s="7"/>
      <c r="CH52" s="7"/>
      <c r="CI52" s="7"/>
      <c r="CJ52" s="7"/>
      <c r="CK52" s="7"/>
      <c r="CL52" s="7"/>
      <c r="CM52" s="8">
        <f>836593.22</f>
        <v>836593.22</v>
      </c>
      <c r="CN52" s="7"/>
      <c r="CO52" s="8">
        <f>871033.9</f>
        <v>871033.9</v>
      </c>
      <c r="CP52" s="7"/>
      <c r="CQ52" s="7"/>
      <c r="CR52" s="7"/>
      <c r="CS52" s="7"/>
      <c r="CT52" s="7"/>
      <c r="CU52" s="8">
        <f>818703.39</f>
        <v>818703.39</v>
      </c>
      <c r="CV52" s="7"/>
      <c r="CW52" s="7"/>
      <c r="CX52" s="8">
        <f>758288.14</f>
        <v>758288.14</v>
      </c>
      <c r="CY52" s="7"/>
      <c r="CZ52" s="7"/>
      <c r="DA52" s="7"/>
      <c r="DB52" s="7"/>
      <c r="DC52" s="7"/>
      <c r="DD52" s="7"/>
      <c r="DE52" s="7"/>
      <c r="DF52" s="7"/>
      <c r="DG52" s="7"/>
      <c r="DH52" s="8">
        <f>527288.13</f>
        <v>527288.13</v>
      </c>
      <c r="DI52" s="7"/>
      <c r="DJ52" s="7"/>
      <c r="DK52" s="8">
        <f>950728.82</f>
        <v>950728.82</v>
      </c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8">
        <f>608220.34</f>
        <v>608220.34</v>
      </c>
      <c r="EK52" s="7"/>
      <c r="EL52" s="7"/>
      <c r="EM52" s="7"/>
      <c r="EN52" s="7"/>
      <c r="EO52" s="7"/>
      <c r="EP52" s="7"/>
      <c r="EQ52" s="7"/>
      <c r="ER52" s="8">
        <f>1085084.75</f>
        <v>1085084.75</v>
      </c>
      <c r="ES52" s="7"/>
      <c r="ET52" s="7"/>
      <c r="EU52" s="7"/>
      <c r="EV52" s="8">
        <f>847533.9</f>
        <v>847533.9</v>
      </c>
      <c r="EW52" s="7"/>
      <c r="EX52" s="7"/>
      <c r="EY52" s="7"/>
      <c r="EZ52" s="8">
        <f>829084.74</f>
        <v>829084.74</v>
      </c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8">
        <f>439118.65</f>
        <v>439118.65</v>
      </c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8">
        <f t="shared" si="3"/>
        <v>21771169.459999993</v>
      </c>
    </row>
    <row r="53" spans="1:184">
      <c r="A53" s="5" t="s">
        <v>234</v>
      </c>
      <c r="B53" s="6">
        <v>788644964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8">
        <f>2060915.25</f>
        <v>2060915.25</v>
      </c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8">
        <f t="shared" si="3"/>
        <v>2060915.25</v>
      </c>
    </row>
    <row r="54" spans="1:184">
      <c r="A54" s="5" t="s">
        <v>235</v>
      </c>
      <c r="B54" s="6">
        <v>785184988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8">
        <f>309635.59</f>
        <v>309635.59000000003</v>
      </c>
      <c r="Y54" s="7"/>
      <c r="Z54" s="7"/>
      <c r="AA54" s="7"/>
      <c r="AB54" s="8">
        <f>365601.7</f>
        <v>365601.7</v>
      </c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8">
        <f>282305.09</f>
        <v>282305.09000000003</v>
      </c>
      <c r="AO54" s="7"/>
      <c r="AP54" s="7"/>
      <c r="AQ54" s="8">
        <f>298177.96</f>
        <v>298177.96000000002</v>
      </c>
      <c r="AR54" s="7"/>
      <c r="AS54" s="7"/>
      <c r="AT54" s="7"/>
      <c r="AU54" s="8">
        <f>606983.05</f>
        <v>606983.05000000005</v>
      </c>
      <c r="AV54" s="7"/>
      <c r="AW54" s="7"/>
      <c r="AX54" s="7"/>
      <c r="AY54" s="8">
        <f>281652.54</f>
        <v>281652.53999999998</v>
      </c>
      <c r="AZ54" s="7"/>
      <c r="BA54" s="7"/>
      <c r="BB54" s="7"/>
      <c r="BC54" s="8">
        <f>165711.86</f>
        <v>165711.85999999999</v>
      </c>
      <c r="BD54" s="7"/>
      <c r="BE54" s="7"/>
      <c r="BF54" s="7"/>
      <c r="BG54" s="7"/>
      <c r="BH54" s="7"/>
      <c r="BI54" s="7"/>
      <c r="BJ54" s="7"/>
      <c r="BK54" s="8">
        <f>517542.37</f>
        <v>517542.37</v>
      </c>
      <c r="BL54" s="7"/>
      <c r="BM54" s="7"/>
      <c r="BN54" s="8">
        <f>263627.12</f>
        <v>263627.12</v>
      </c>
      <c r="BO54" s="7"/>
      <c r="BP54" s="8">
        <f>660813.56</f>
        <v>660813.56000000006</v>
      </c>
      <c r="BQ54" s="7"/>
      <c r="BR54" s="8">
        <f>573462.71</f>
        <v>573462.71</v>
      </c>
      <c r="BS54" s="8">
        <f>435728.81</f>
        <v>435728.81</v>
      </c>
      <c r="BT54" s="7"/>
      <c r="BU54" s="7"/>
      <c r="BV54" s="7"/>
      <c r="BW54" s="8">
        <f>234657.62</f>
        <v>234657.62</v>
      </c>
      <c r="BX54" s="7"/>
      <c r="BY54" s="8">
        <f>702550.84</f>
        <v>702550.84</v>
      </c>
      <c r="BZ54" s="7"/>
      <c r="CA54" s="8">
        <f>310059.32</f>
        <v>310059.32</v>
      </c>
      <c r="CB54" s="7"/>
      <c r="CC54" s="7"/>
      <c r="CD54" s="8">
        <f>221483.05</f>
        <v>221483.05</v>
      </c>
      <c r="CE54" s="8">
        <f>301372.88</f>
        <v>301372.88</v>
      </c>
      <c r="CF54" s="7"/>
      <c r="CG54" s="7"/>
      <c r="CH54" s="7"/>
      <c r="CI54" s="8">
        <f>471355.93</f>
        <v>471355.93</v>
      </c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8">
        <f>678101.69</f>
        <v>678101.69</v>
      </c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8">
        <f>615847.46</f>
        <v>615847.46</v>
      </c>
      <c r="DY54" s="8">
        <f>364542.38</f>
        <v>364542.38</v>
      </c>
      <c r="DZ54" s="7"/>
      <c r="EA54" s="7"/>
      <c r="EB54" s="7"/>
      <c r="EC54" s="7"/>
      <c r="ED54" s="7"/>
      <c r="EE54" s="8">
        <f>400330.51</f>
        <v>400330.51</v>
      </c>
      <c r="EF54" s="7"/>
      <c r="EG54" s="7"/>
      <c r="EH54" s="8">
        <f>263627.12</f>
        <v>263627.12</v>
      </c>
      <c r="EI54" s="8">
        <f>164864.41</f>
        <v>164864.41</v>
      </c>
      <c r="EJ54" s="8">
        <f>310466.1</f>
        <v>310466.09999999998</v>
      </c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8">
        <f t="shared" si="3"/>
        <v>9800501.6699999981</v>
      </c>
    </row>
    <row r="55" spans="1:184">
      <c r="A55" s="5" t="s">
        <v>236</v>
      </c>
      <c r="B55" s="6">
        <v>788444531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8">
        <f>601050.85</f>
        <v>601050.85</v>
      </c>
      <c r="O55" s="7"/>
      <c r="P55" s="8">
        <f>642737.29</f>
        <v>642737.29</v>
      </c>
      <c r="Q55" s="7"/>
      <c r="R55" s="7"/>
      <c r="S55" s="7"/>
      <c r="T55" s="7"/>
      <c r="U55" s="7"/>
      <c r="V55" s="7"/>
      <c r="W55" s="7"/>
      <c r="X55" s="7"/>
      <c r="Y55" s="7"/>
      <c r="Z55" s="8">
        <f>618000.01</f>
        <v>618000.01</v>
      </c>
      <c r="AA55" s="7"/>
      <c r="AB55" s="7"/>
      <c r="AC55" s="7"/>
      <c r="AD55" s="8">
        <f>524322.04</f>
        <v>524322.04</v>
      </c>
      <c r="AE55" s="8">
        <f>433415.24</f>
        <v>433415.24</v>
      </c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8">
        <f>573932.2</f>
        <v>573932.19999999995</v>
      </c>
      <c r="AT55" s="7"/>
      <c r="AU55" s="7"/>
      <c r="AV55" s="7"/>
      <c r="AW55" s="7"/>
      <c r="AX55" s="7"/>
      <c r="AY55" s="7"/>
      <c r="AZ55" s="7"/>
      <c r="BA55" s="7"/>
      <c r="BB55" s="8">
        <f>690749.17</f>
        <v>690749.17</v>
      </c>
      <c r="BC55" s="7"/>
      <c r="BD55" s="7"/>
      <c r="BE55" s="7"/>
      <c r="BF55" s="7"/>
      <c r="BG55" s="7"/>
      <c r="BH55" s="7"/>
      <c r="BI55" s="8">
        <f>920008.48</f>
        <v>920008.48</v>
      </c>
      <c r="BJ55" s="7"/>
      <c r="BK55" s="7"/>
      <c r="BL55" s="7"/>
      <c r="BM55" s="7"/>
      <c r="BN55" s="7"/>
      <c r="BO55" s="7"/>
      <c r="BP55" s="7"/>
      <c r="BQ55" s="8">
        <f>379796.61</f>
        <v>379796.61</v>
      </c>
      <c r="BR55" s="7"/>
      <c r="BS55" s="7"/>
      <c r="BT55" s="7"/>
      <c r="BU55" s="7"/>
      <c r="BV55" s="7"/>
      <c r="BW55" s="7"/>
      <c r="BX55" s="8">
        <f>413271.19</f>
        <v>413271.19</v>
      </c>
      <c r="BY55" s="7"/>
      <c r="BZ55" s="7"/>
      <c r="CA55" s="7"/>
      <c r="CB55" s="7"/>
      <c r="CC55" s="8">
        <f>494237.29</f>
        <v>494237.29</v>
      </c>
      <c r="CD55" s="7"/>
      <c r="CE55" s="7"/>
      <c r="CF55" s="7"/>
      <c r="CG55" s="7"/>
      <c r="CH55" s="8">
        <f>611008.48</f>
        <v>611008.48</v>
      </c>
      <c r="CI55" s="8">
        <f>545508.47</f>
        <v>545508.47</v>
      </c>
      <c r="CJ55" s="7"/>
      <c r="CK55" s="7"/>
      <c r="CL55" s="7"/>
      <c r="CM55" s="7"/>
      <c r="CN55" s="8">
        <f>481296.61</f>
        <v>481296.61</v>
      </c>
      <c r="CO55" s="7"/>
      <c r="CP55" s="7"/>
      <c r="CQ55" s="7"/>
      <c r="CR55" s="8">
        <f>487881.36</f>
        <v>487881.36</v>
      </c>
      <c r="CS55" s="8">
        <f>350754.24</f>
        <v>350754.24</v>
      </c>
      <c r="CT55" s="7"/>
      <c r="CU55" s="7"/>
      <c r="CV55" s="8">
        <f>833413.54</f>
        <v>833413.54</v>
      </c>
      <c r="CW55" s="7"/>
      <c r="CX55" s="8">
        <f>527923.73</f>
        <v>527923.73</v>
      </c>
      <c r="CY55" s="7"/>
      <c r="CZ55" s="7"/>
      <c r="DA55" s="7"/>
      <c r="DB55" s="7"/>
      <c r="DC55" s="7"/>
      <c r="DD55" s="7"/>
      <c r="DE55" s="7"/>
      <c r="DF55" s="8">
        <f>513305.08</f>
        <v>513305.08</v>
      </c>
      <c r="DG55" s="8">
        <f>537033.89</f>
        <v>537033.89</v>
      </c>
      <c r="DH55" s="7"/>
      <c r="DI55" s="7"/>
      <c r="DJ55" s="7"/>
      <c r="DK55" s="8">
        <f>389966.11</f>
        <v>389966.11</v>
      </c>
      <c r="DL55" s="7"/>
      <c r="DM55" s="7"/>
      <c r="DN55" s="7"/>
      <c r="DO55" s="7"/>
      <c r="DP55" s="8">
        <f>811288.13</f>
        <v>811288.13</v>
      </c>
      <c r="DQ55" s="7"/>
      <c r="DR55" s="7"/>
      <c r="DS55" s="7"/>
      <c r="DT55" s="8">
        <f>503135.59</f>
        <v>503135.59</v>
      </c>
      <c r="DU55" s="7"/>
      <c r="DV55" s="7"/>
      <c r="DW55" s="7"/>
      <c r="DX55" s="8">
        <f>496779.67</f>
        <v>496779.67</v>
      </c>
      <c r="DY55" s="7"/>
      <c r="DZ55" s="7"/>
      <c r="EA55" s="7"/>
      <c r="EB55" s="7"/>
      <c r="EC55" s="8">
        <f>206000</f>
        <v>206000</v>
      </c>
      <c r="ED55" s="7"/>
      <c r="EE55" s="7"/>
      <c r="EF55" s="7"/>
      <c r="EG55" s="8">
        <f>547764.41</f>
        <v>547764.41</v>
      </c>
      <c r="EH55" s="7"/>
      <c r="EI55" s="7"/>
      <c r="EJ55" s="7"/>
      <c r="EK55" s="8">
        <f>678352.54</f>
        <v>678352.54</v>
      </c>
      <c r="EL55" s="7"/>
      <c r="EM55" s="8">
        <f>565091.52</f>
        <v>565091.52</v>
      </c>
      <c r="EN55" s="7"/>
      <c r="EO55" s="8">
        <f>385305.09</f>
        <v>385305.09</v>
      </c>
      <c r="EP55" s="7"/>
      <c r="EQ55" s="7"/>
      <c r="ER55" s="7"/>
      <c r="ES55" s="7"/>
      <c r="ET55" s="8">
        <f>593423.72</f>
        <v>593423.72</v>
      </c>
      <c r="EU55" s="7"/>
      <c r="EV55" s="7"/>
      <c r="EW55" s="7"/>
      <c r="EX55" s="8">
        <f>639016.94</f>
        <v>639016.93999999994</v>
      </c>
      <c r="EY55" s="7"/>
      <c r="EZ55" s="7"/>
      <c r="FA55" s="8">
        <f>643211.86</f>
        <v>643211.86</v>
      </c>
      <c r="FB55" s="7"/>
      <c r="FC55" s="7"/>
      <c r="FD55" s="7"/>
      <c r="FE55" s="7"/>
      <c r="FF55" s="7"/>
      <c r="FG55" s="7"/>
      <c r="FH55" s="7"/>
      <c r="FI55" s="7"/>
      <c r="FJ55" s="8">
        <f>761254.23</f>
        <v>761254.23</v>
      </c>
      <c r="FK55" s="7"/>
      <c r="FL55" s="7"/>
      <c r="FM55" s="7"/>
      <c r="FN55" s="7"/>
      <c r="FO55" s="7"/>
      <c r="FP55" s="7"/>
      <c r="FQ55" s="7"/>
      <c r="FR55" s="8">
        <f>348830.51</f>
        <v>348830.51</v>
      </c>
      <c r="FS55" s="8">
        <f>432338.98</f>
        <v>432338.98</v>
      </c>
      <c r="FT55" s="7"/>
      <c r="FU55" s="7"/>
      <c r="FV55" s="7"/>
      <c r="FW55" s="8">
        <f>887262.71</f>
        <v>887262.71</v>
      </c>
      <c r="FX55" s="7"/>
      <c r="FY55" s="7"/>
      <c r="FZ55" s="7"/>
      <c r="GA55" s="8">
        <f>818881.36</f>
        <v>818881.36</v>
      </c>
      <c r="GB55" s="8">
        <f t="shared" si="3"/>
        <v>20887549.140000004</v>
      </c>
    </row>
    <row r="56" spans="1:184">
      <c r="A56" s="5" t="s">
        <v>237</v>
      </c>
      <c r="B56" s="6">
        <v>788830310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8">
        <f>332116.95</f>
        <v>332116.95</v>
      </c>
      <c r="CD56" s="7"/>
      <c r="CE56" s="7"/>
      <c r="CF56" s="7"/>
      <c r="CG56" s="8">
        <f>861145.75</f>
        <v>861145.75</v>
      </c>
      <c r="CH56" s="7"/>
      <c r="CI56" s="7"/>
      <c r="CJ56" s="7"/>
      <c r="CK56" s="7"/>
      <c r="CL56" s="7"/>
      <c r="CM56" s="7"/>
      <c r="CN56" s="8">
        <f>461576.27</f>
        <v>461576.27</v>
      </c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8">
        <f>334033.9</f>
        <v>334033.90000000002</v>
      </c>
      <c r="EB56" s="7"/>
      <c r="EC56" s="7"/>
      <c r="ED56" s="7"/>
      <c r="EE56" s="7"/>
      <c r="EF56" s="7"/>
      <c r="EG56" s="7"/>
      <c r="EH56" s="7"/>
      <c r="EI56" s="7"/>
      <c r="EJ56" s="7"/>
      <c r="EK56" s="8">
        <f>380094.92</f>
        <v>380094.92</v>
      </c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8">
        <f>294632.21</f>
        <v>294632.21000000002</v>
      </c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8">
        <f>378491.52</f>
        <v>378491.52</v>
      </c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8">
        <f t="shared" si="3"/>
        <v>3042091.52</v>
      </c>
    </row>
    <row r="57" spans="1:184">
      <c r="A57" s="5" t="s">
        <v>238</v>
      </c>
      <c r="B57" s="6">
        <v>788841381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8">
        <f>288488.13</f>
        <v>288488.13</v>
      </c>
      <c r="DY57" s="7"/>
      <c r="DZ57" s="7"/>
      <c r="EA57" s="8">
        <f>243549.15</f>
        <v>243549.15</v>
      </c>
      <c r="EB57" s="8">
        <f>153228.81</f>
        <v>153228.81</v>
      </c>
      <c r="EC57" s="7"/>
      <c r="ED57" s="7"/>
      <c r="EE57" s="7"/>
      <c r="EF57" s="7"/>
      <c r="EG57" s="7"/>
      <c r="EH57" s="7"/>
      <c r="EI57" s="7"/>
      <c r="EJ57" s="7"/>
      <c r="EK57" s="8">
        <f>423211.87</f>
        <v>423211.87</v>
      </c>
      <c r="EL57" s="7"/>
      <c r="EM57" s="7"/>
      <c r="EN57" s="7"/>
      <c r="EO57" s="7"/>
      <c r="EP57" s="7"/>
      <c r="EQ57" s="7"/>
      <c r="ER57" s="7"/>
      <c r="ES57" s="7"/>
      <c r="ET57" s="7"/>
      <c r="EU57" s="8">
        <f>271711.86</f>
        <v>271711.86</v>
      </c>
      <c r="EV57" s="7"/>
      <c r="EW57" s="7"/>
      <c r="EX57" s="7"/>
      <c r="EY57" s="8">
        <f>204425.42</f>
        <v>204425.42</v>
      </c>
      <c r="EZ57" s="7"/>
      <c r="FA57" s="7"/>
      <c r="FB57" s="7"/>
      <c r="FC57" s="7"/>
      <c r="FD57" s="7"/>
      <c r="FE57" s="8">
        <f>49593.22</f>
        <v>49593.22</v>
      </c>
      <c r="FF57" s="8">
        <f>199220.34</f>
        <v>199220.34</v>
      </c>
      <c r="FG57" s="7"/>
      <c r="FH57" s="7"/>
      <c r="FI57" s="7"/>
      <c r="FJ57" s="8">
        <f>426406.78</f>
        <v>426406.78</v>
      </c>
      <c r="FK57" s="8">
        <f>648898.31</f>
        <v>648898.31000000006</v>
      </c>
      <c r="FL57" s="7"/>
      <c r="FM57" s="8">
        <f>488271.18</f>
        <v>488271.18</v>
      </c>
      <c r="FN57" s="7"/>
      <c r="FO57" s="7"/>
      <c r="FP57" s="7"/>
      <c r="FQ57" s="8">
        <f>218125.42</f>
        <v>218125.42</v>
      </c>
      <c r="FR57" s="7"/>
      <c r="FS57" s="8">
        <f>472169.49</f>
        <v>472169.49</v>
      </c>
      <c r="FT57" s="7"/>
      <c r="FU57" s="7"/>
      <c r="FV57" s="8">
        <f>469627.12</f>
        <v>469627.12</v>
      </c>
      <c r="FW57" s="8">
        <f>441237.28</f>
        <v>441237.28</v>
      </c>
      <c r="FX57" s="7"/>
      <c r="FY57" s="8">
        <f>452483.05</f>
        <v>452483.05</v>
      </c>
      <c r="FZ57" s="8">
        <f>518637.29</f>
        <v>518637.29</v>
      </c>
      <c r="GA57" s="7"/>
      <c r="GB57" s="8">
        <f t="shared" si="3"/>
        <v>5969284.7200000007</v>
      </c>
    </row>
    <row r="58" spans="1:184">
      <c r="A58" s="5" t="s">
        <v>239</v>
      </c>
      <c r="B58" s="6">
        <v>788251546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8">
        <f>244357.63</f>
        <v>244357.63</v>
      </c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8">
        <f>75111.86</f>
        <v>75111.86</v>
      </c>
      <c r="EV58" s="7"/>
      <c r="EW58" s="8">
        <f>220240.68</f>
        <v>220240.68</v>
      </c>
      <c r="EX58" s="8">
        <f>252362.71</f>
        <v>252362.71</v>
      </c>
      <c r="EY58" s="8">
        <f>221410.16</f>
        <v>221410.16</v>
      </c>
      <c r="EZ58" s="7"/>
      <c r="FA58" s="7"/>
      <c r="FB58" s="7"/>
      <c r="FC58" s="7"/>
      <c r="FD58" s="7"/>
      <c r="FE58" s="8">
        <f>99727.12</f>
        <v>99727.12</v>
      </c>
      <c r="FF58" s="7"/>
      <c r="FG58" s="7"/>
      <c r="FH58" s="7"/>
      <c r="FI58" s="7"/>
      <c r="FJ58" s="8">
        <f>434959.32</f>
        <v>434959.32</v>
      </c>
      <c r="FK58" s="7"/>
      <c r="FL58" s="7"/>
      <c r="FM58" s="8">
        <f>127028.82</f>
        <v>127028.82</v>
      </c>
      <c r="FN58" s="7"/>
      <c r="FO58" s="8">
        <f>137961.02</f>
        <v>137961.01999999999</v>
      </c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8">
        <f t="shared" si="3"/>
        <v>1813159.32</v>
      </c>
    </row>
    <row r="59" spans="1:184">
      <c r="A59" s="5" t="s">
        <v>240</v>
      </c>
      <c r="B59" s="6">
        <v>788559100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8">
        <f>68240.68</f>
        <v>68240.679999999993</v>
      </c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8">
        <f t="shared" si="3"/>
        <v>68240.679999999993</v>
      </c>
    </row>
    <row r="60" spans="1:184">
      <c r="A60" s="5" t="s">
        <v>241</v>
      </c>
      <c r="B60" s="6">
        <v>784733525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8">
        <f>514152.55</f>
        <v>514152.55</v>
      </c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8">
        <f>814677.96</f>
        <v>814677.96</v>
      </c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8">
        <f>553135.59</f>
        <v>553135.59</v>
      </c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8">
        <f>238259.32</f>
        <v>238259.32</v>
      </c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8">
        <f>782457.63</f>
        <v>782457.63</v>
      </c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8">
        <f>601050.84</f>
        <v>601050.84</v>
      </c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8">
        <f>391661.01</f>
        <v>391661.01</v>
      </c>
      <c r="FV60" s="7"/>
      <c r="FW60" s="8">
        <f>270406.78</f>
        <v>270406.78000000003</v>
      </c>
      <c r="FX60" s="7"/>
      <c r="FY60" s="7"/>
      <c r="FZ60" s="7"/>
      <c r="GA60" s="7"/>
      <c r="GB60" s="8">
        <f t="shared" si="3"/>
        <v>4165801.6799999997</v>
      </c>
    </row>
    <row r="61" spans="1:184">
      <c r="A61" s="5" t="s">
        <v>242</v>
      </c>
      <c r="B61" s="6">
        <v>785609806</v>
      </c>
      <c r="C61" s="7"/>
      <c r="D61" s="7"/>
      <c r="E61" s="7"/>
      <c r="F61" s="7"/>
      <c r="G61" s="7"/>
      <c r="H61" s="7"/>
      <c r="I61" s="8">
        <f>743423.73</f>
        <v>743423.73</v>
      </c>
      <c r="J61" s="7"/>
      <c r="K61" s="7"/>
      <c r="L61" s="7"/>
      <c r="M61" s="7"/>
      <c r="N61" s="7"/>
      <c r="O61" s="7"/>
      <c r="P61" s="7"/>
      <c r="Q61" s="7"/>
      <c r="R61" s="8">
        <f>1475508.48</f>
        <v>1475508.48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8">
        <f>646847.46</f>
        <v>646847.46</v>
      </c>
      <c r="AE61" s="7"/>
      <c r="AF61" s="7"/>
      <c r="AG61" s="8">
        <f>1583593.21</f>
        <v>1583593.21</v>
      </c>
      <c r="AH61" s="7"/>
      <c r="AI61" s="8">
        <f>1002033.89</f>
        <v>1002033.89</v>
      </c>
      <c r="AJ61" s="7"/>
      <c r="AK61" s="7"/>
      <c r="AL61" s="7"/>
      <c r="AM61" s="7"/>
      <c r="AN61" s="7"/>
      <c r="AO61" s="7"/>
      <c r="AP61" s="7"/>
      <c r="AQ61" s="7"/>
      <c r="AR61" s="7"/>
      <c r="AS61" s="8">
        <f>2194355.93</f>
        <v>2194355.9300000002</v>
      </c>
      <c r="AT61" s="7"/>
      <c r="AU61" s="7"/>
      <c r="AV61" s="7"/>
      <c r="AW61" s="7"/>
      <c r="AX61" s="7"/>
      <c r="AY61" s="7"/>
      <c r="AZ61" s="8">
        <f>871915.25</f>
        <v>871915.25</v>
      </c>
      <c r="BA61" s="7"/>
      <c r="BB61" s="7"/>
      <c r="BC61" s="7"/>
      <c r="BD61" s="7"/>
      <c r="BE61" s="7"/>
      <c r="BF61" s="7"/>
      <c r="BG61" s="7"/>
      <c r="BH61" s="8">
        <f>1494610.16</f>
        <v>1494610.16</v>
      </c>
      <c r="BI61" s="8">
        <f>1123220.34</f>
        <v>1123220.3400000001</v>
      </c>
      <c r="BJ61" s="7"/>
      <c r="BK61" s="7"/>
      <c r="BL61" s="7"/>
      <c r="BM61" s="7"/>
      <c r="BN61" s="7"/>
      <c r="BO61" s="8">
        <f>1062042.37</f>
        <v>1062042.3700000001</v>
      </c>
      <c r="BP61" s="7"/>
      <c r="BQ61" s="8">
        <f>1898915.26</f>
        <v>1898915.26</v>
      </c>
      <c r="BR61" s="7"/>
      <c r="BS61" s="7"/>
      <c r="BT61" s="7"/>
      <c r="BU61" s="8">
        <f>648118.64</f>
        <v>648118.64</v>
      </c>
      <c r="BV61" s="7"/>
      <c r="BW61" s="7"/>
      <c r="BX61" s="8">
        <f>1898457.64</f>
        <v>1898457.64</v>
      </c>
      <c r="BY61" s="7"/>
      <c r="BZ61" s="7"/>
      <c r="CA61" s="8">
        <f>2338915.27</f>
        <v>2338915.27</v>
      </c>
      <c r="CB61" s="7"/>
      <c r="CC61" s="7"/>
      <c r="CD61" s="8">
        <f>1490305.09</f>
        <v>1490305.09</v>
      </c>
      <c r="CE61" s="7"/>
      <c r="CF61" s="7"/>
      <c r="CG61" s="8">
        <f>1504127.13</f>
        <v>1504127.13</v>
      </c>
      <c r="CH61" s="7"/>
      <c r="CI61" s="7"/>
      <c r="CJ61" s="8">
        <f>1653474.58</f>
        <v>1653474.58</v>
      </c>
      <c r="CK61" s="7"/>
      <c r="CL61" s="8">
        <f>1383915.26</f>
        <v>1383915.26</v>
      </c>
      <c r="CM61" s="7"/>
      <c r="CN61" s="7"/>
      <c r="CO61" s="8">
        <f>2059220.35</f>
        <v>2059220.35</v>
      </c>
      <c r="CP61" s="7"/>
      <c r="CQ61" s="7"/>
      <c r="CR61" s="7"/>
      <c r="CS61" s="8">
        <f>1948101.7</f>
        <v>1948101.7</v>
      </c>
      <c r="CT61" s="7"/>
      <c r="CU61" s="7"/>
      <c r="CV61" s="7"/>
      <c r="CW61" s="7"/>
      <c r="CX61" s="8">
        <f>1430559.32</f>
        <v>1430559.32</v>
      </c>
      <c r="CY61" s="7"/>
      <c r="CZ61" s="8">
        <f>2195593.22</f>
        <v>2195593.2200000002</v>
      </c>
      <c r="DA61" s="7"/>
      <c r="DB61" s="7"/>
      <c r="DC61" s="8">
        <f>2421576.28</f>
        <v>2421576.2799999998</v>
      </c>
      <c r="DD61" s="7"/>
      <c r="DE61" s="7"/>
      <c r="DF61" s="7"/>
      <c r="DG61" s="8">
        <f>2202372.87</f>
        <v>2202372.87</v>
      </c>
      <c r="DH61" s="7"/>
      <c r="DI61" s="7"/>
      <c r="DJ61" s="7"/>
      <c r="DK61" s="7"/>
      <c r="DL61" s="7"/>
      <c r="DM61" s="8">
        <f>250067.8</f>
        <v>250067.8</v>
      </c>
      <c r="DN61" s="7"/>
      <c r="DO61" s="7"/>
      <c r="DP61" s="7"/>
      <c r="DQ61" s="7"/>
      <c r="DR61" s="7"/>
      <c r="DS61" s="7"/>
      <c r="DT61" s="7"/>
      <c r="DU61" s="8">
        <f>2431711.87</f>
        <v>2431711.87</v>
      </c>
      <c r="DV61" s="7"/>
      <c r="DW61" s="7"/>
      <c r="DX61" s="7"/>
      <c r="DY61" s="7"/>
      <c r="DZ61" s="7"/>
      <c r="EA61" s="8">
        <f>659067.8</f>
        <v>659067.80000000005</v>
      </c>
      <c r="EB61" s="7"/>
      <c r="EC61" s="7"/>
      <c r="ED61" s="7"/>
      <c r="EE61" s="7"/>
      <c r="EF61" s="7"/>
      <c r="EG61" s="7"/>
      <c r="EH61" s="8">
        <f>2068144.06</f>
        <v>2068144.06</v>
      </c>
      <c r="EI61" s="7"/>
      <c r="EJ61" s="7"/>
      <c r="EK61" s="7"/>
      <c r="EL61" s="7"/>
      <c r="EM61" s="7"/>
      <c r="EN61" s="8">
        <f>403067.8</f>
        <v>403067.8</v>
      </c>
      <c r="EO61" s="7"/>
      <c r="EP61" s="7"/>
      <c r="EQ61" s="7"/>
      <c r="ER61" s="8">
        <f>408152.54</f>
        <v>408152.54</v>
      </c>
      <c r="ES61" s="7"/>
      <c r="ET61" s="7"/>
      <c r="EU61" s="7"/>
      <c r="EV61" s="8">
        <f>1947025.41</f>
        <v>1947025.41</v>
      </c>
      <c r="EW61" s="7"/>
      <c r="EX61" s="7"/>
      <c r="EY61" s="7"/>
      <c r="EZ61" s="8">
        <f>253067.8</f>
        <v>253067.8</v>
      </c>
      <c r="FA61" s="7"/>
      <c r="FB61" s="7"/>
      <c r="FC61" s="7"/>
      <c r="FD61" s="7"/>
      <c r="FE61" s="7"/>
      <c r="FF61" s="8">
        <f>631169.49</f>
        <v>631169.49</v>
      </c>
      <c r="FG61" s="7"/>
      <c r="FH61" s="7"/>
      <c r="FI61" s="8">
        <f>2410915.25</f>
        <v>2410915.25</v>
      </c>
      <c r="FJ61" s="7"/>
      <c r="FK61" s="7"/>
      <c r="FL61" s="7"/>
      <c r="FM61" s="7"/>
      <c r="FN61" s="7"/>
      <c r="FO61" s="7"/>
      <c r="FP61" s="7"/>
      <c r="FQ61" s="8">
        <f>1304677.96</f>
        <v>1304677.96</v>
      </c>
      <c r="FR61" s="7"/>
      <c r="FS61" s="7"/>
      <c r="FT61" s="7"/>
      <c r="FU61" s="7"/>
      <c r="FV61" s="7"/>
      <c r="FW61" s="7"/>
      <c r="FX61" s="8">
        <f>1686525.42</f>
        <v>1686525.42</v>
      </c>
      <c r="FY61" s="7"/>
      <c r="FZ61" s="7"/>
      <c r="GA61" s="7"/>
      <c r="GB61" s="8">
        <f t="shared" si="3"/>
        <v>51724796.629999988</v>
      </c>
    </row>
    <row r="62" spans="1:184">
      <c r="A62" s="5" t="s">
        <v>243</v>
      </c>
      <c r="B62" s="6">
        <v>784647803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8">
        <f>173313.56</f>
        <v>173313.56</v>
      </c>
      <c r="AK62" s="7"/>
      <c r="AL62" s="7"/>
      <c r="AM62" s="7"/>
      <c r="AN62" s="7"/>
      <c r="AO62" s="7"/>
      <c r="AP62" s="7"/>
      <c r="AQ62" s="7"/>
      <c r="AR62" s="8">
        <f>115998.31</f>
        <v>115998.31</v>
      </c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8">
        <f>292669.49</f>
        <v>292669.49</v>
      </c>
      <c r="BM62" s="8">
        <f>160276.27</f>
        <v>160276.26999999999</v>
      </c>
      <c r="BN62" s="7"/>
      <c r="BO62" s="7"/>
      <c r="BP62" s="7"/>
      <c r="BQ62" s="7"/>
      <c r="BR62" s="8">
        <f>363511.87</f>
        <v>363511.87</v>
      </c>
      <c r="BS62" s="8">
        <f>248001.7</f>
        <v>248001.7</v>
      </c>
      <c r="BT62" s="7"/>
      <c r="BU62" s="7"/>
      <c r="BV62" s="8">
        <f>510967.79</f>
        <v>510967.79</v>
      </c>
      <c r="BW62" s="7"/>
      <c r="BX62" s="7"/>
      <c r="BY62" s="8">
        <f>430615.26</f>
        <v>430615.26</v>
      </c>
      <c r="BZ62" s="7"/>
      <c r="CA62" s="7"/>
      <c r="CB62" s="7"/>
      <c r="CC62" s="8">
        <f>569622.03</f>
        <v>569622.03</v>
      </c>
      <c r="CD62" s="7"/>
      <c r="CE62" s="8">
        <f>167091.52</f>
        <v>167091.51999999999</v>
      </c>
      <c r="CF62" s="8">
        <f>140210.17</f>
        <v>140210.17000000001</v>
      </c>
      <c r="CG62" s="8">
        <f>293308.48</f>
        <v>293308.48</v>
      </c>
      <c r="CH62" s="7"/>
      <c r="CI62" s="8">
        <f>815967.8</f>
        <v>815967.8</v>
      </c>
      <c r="CJ62" s="7"/>
      <c r="CK62" s="7"/>
      <c r="CL62" s="7"/>
      <c r="CM62" s="7"/>
      <c r="CN62" s="8">
        <f>512320.34</f>
        <v>512320.34</v>
      </c>
      <c r="CO62" s="8">
        <f>235237.3</f>
        <v>235237.3</v>
      </c>
      <c r="CP62" s="7"/>
      <c r="CQ62" s="8">
        <f>690933.9</f>
        <v>690933.9</v>
      </c>
      <c r="CR62" s="7"/>
      <c r="CS62" s="8">
        <f>587862.71</f>
        <v>587862.71</v>
      </c>
      <c r="CT62" s="7"/>
      <c r="CU62" s="7"/>
      <c r="CV62" s="7"/>
      <c r="CW62" s="8">
        <f>619550.85</f>
        <v>619550.85</v>
      </c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8">
        <f>500135.58</f>
        <v>500135.58</v>
      </c>
      <c r="DR62" s="7"/>
      <c r="DS62" s="7"/>
      <c r="DT62" s="7"/>
      <c r="DU62" s="7"/>
      <c r="DV62" s="7"/>
      <c r="DW62" s="7"/>
      <c r="DX62" s="8">
        <f>398830.51</f>
        <v>398830.51</v>
      </c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8">
        <f>165711.86</f>
        <v>165711.85999999999</v>
      </c>
      <c r="FG62" s="8">
        <f>150033.9</f>
        <v>150033.9</v>
      </c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8">
        <f>134355.93</f>
        <v>134355.93</v>
      </c>
      <c r="FX62" s="7"/>
      <c r="FY62" s="8">
        <f>134355.93</f>
        <v>134355.93</v>
      </c>
      <c r="FZ62" s="7"/>
      <c r="GA62" s="8">
        <f>134355.93</f>
        <v>134355.93</v>
      </c>
      <c r="GB62" s="8">
        <f t="shared" si="3"/>
        <v>8545238.9900000002</v>
      </c>
    </row>
    <row r="63" spans="1:184">
      <c r="A63" s="5" t="s">
        <v>244</v>
      </c>
      <c r="B63" s="6">
        <v>788741292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8">
        <f>1489457.62</f>
        <v>1489457.62</v>
      </c>
      <c r="BK63" s="7"/>
      <c r="BL63" s="8">
        <f>558220.34</f>
        <v>558220.34</v>
      </c>
      <c r="BM63" s="7"/>
      <c r="BN63" s="7"/>
      <c r="BO63" s="7"/>
      <c r="BP63" s="7"/>
      <c r="BQ63" s="7"/>
      <c r="BR63" s="7"/>
      <c r="BS63" s="7"/>
      <c r="BT63" s="7"/>
      <c r="BU63" s="7"/>
      <c r="BV63" s="8">
        <f>2300059.33</f>
        <v>2300059.33</v>
      </c>
      <c r="BW63" s="8">
        <f>421779.66</f>
        <v>421779.66</v>
      </c>
      <c r="BX63" s="7"/>
      <c r="BY63" s="7"/>
      <c r="BZ63" s="7"/>
      <c r="CA63" s="7"/>
      <c r="CB63" s="7"/>
      <c r="CC63" s="7"/>
      <c r="CD63" s="7"/>
      <c r="CE63" s="8">
        <f>927389.83</f>
        <v>927389.83</v>
      </c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8">
        <f>386576.27</f>
        <v>386576.27</v>
      </c>
      <c r="CS63" s="7"/>
      <c r="CT63" s="7"/>
      <c r="CU63" s="7"/>
      <c r="CV63" s="7"/>
      <c r="CW63" s="7"/>
      <c r="CX63" s="7"/>
      <c r="CY63" s="7"/>
      <c r="CZ63" s="7"/>
      <c r="DA63" s="7"/>
      <c r="DB63" s="8">
        <f>1008355.93</f>
        <v>1008355.93</v>
      </c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8">
        <f>628593.22</f>
        <v>628593.22</v>
      </c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8">
        <f t="shared" si="3"/>
        <v>7720432.2000000002</v>
      </c>
    </row>
    <row r="64" spans="1:184">
      <c r="A64" s="5" t="s">
        <v>245</v>
      </c>
      <c r="B64" s="6">
        <v>728672223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8">
        <f>1277218.64</f>
        <v>1277218.6399999999</v>
      </c>
      <c r="BP64" s="8">
        <f>1072813.55</f>
        <v>1072813.55</v>
      </c>
      <c r="BQ64" s="7"/>
      <c r="BR64" s="8">
        <f>1280903.37</f>
        <v>1280903.3700000001</v>
      </c>
      <c r="BS64" s="7"/>
      <c r="BT64" s="8">
        <f>1589028.81</f>
        <v>1589028.81</v>
      </c>
      <c r="BU64" s="7"/>
      <c r="BV64" s="7"/>
      <c r="BW64" s="8">
        <f>1155457.62</f>
        <v>1155457.6200000001</v>
      </c>
      <c r="BX64" s="7"/>
      <c r="BY64" s="7"/>
      <c r="BZ64" s="7"/>
      <c r="CA64" s="7"/>
      <c r="CB64" s="7"/>
      <c r="CC64" s="7"/>
      <c r="CD64" s="8">
        <f>1107593.21</f>
        <v>1107593.21</v>
      </c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8">
        <f>1435042.36</f>
        <v>1435042.36</v>
      </c>
      <c r="DA64" s="7"/>
      <c r="DB64" s="7"/>
      <c r="DC64" s="8">
        <f>1553262.71</f>
        <v>1553262.71</v>
      </c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8">
        <f>1066864.4</f>
        <v>1066864.3999999999</v>
      </c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8">
        <f t="shared" si="3"/>
        <v>11538184.67</v>
      </c>
    </row>
    <row r="65" spans="1:184">
      <c r="A65" s="5" t="s">
        <v>246</v>
      </c>
      <c r="B65" s="6">
        <v>788591867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617118.64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1113474.57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1185118.6299999999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  <c r="EX65" s="7">
        <v>0</v>
      </c>
      <c r="EY65" s="7">
        <v>0</v>
      </c>
      <c r="EZ65" s="7">
        <v>0</v>
      </c>
      <c r="FA65" s="7">
        <v>0</v>
      </c>
      <c r="FB65" s="7">
        <v>0</v>
      </c>
      <c r="FC65" s="7">
        <v>0</v>
      </c>
      <c r="FD65" s="7">
        <v>0</v>
      </c>
      <c r="FE65" s="7">
        <v>0</v>
      </c>
      <c r="FF65" s="7">
        <v>0</v>
      </c>
      <c r="FG65" s="7">
        <v>0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0</v>
      </c>
      <c r="FO65" s="7">
        <v>0</v>
      </c>
      <c r="FP65" s="7">
        <v>0</v>
      </c>
      <c r="FQ65" s="7">
        <v>0</v>
      </c>
      <c r="FR65" s="7">
        <v>0</v>
      </c>
      <c r="FS65" s="7">
        <v>0</v>
      </c>
      <c r="FT65" s="7">
        <v>0</v>
      </c>
      <c r="FU65" s="7">
        <v>0</v>
      </c>
      <c r="FV65" s="7">
        <v>0</v>
      </c>
      <c r="FW65" s="7">
        <v>0</v>
      </c>
      <c r="FX65" s="7">
        <v>0</v>
      </c>
      <c r="FY65" s="7">
        <v>0</v>
      </c>
      <c r="FZ65" s="7">
        <v>0</v>
      </c>
      <c r="GA65" s="7">
        <v>0</v>
      </c>
      <c r="GB65" s="7">
        <v>2915711.8400000003</v>
      </c>
    </row>
    <row r="66" spans="1:184">
      <c r="A66" s="5" t="s">
        <v>247</v>
      </c>
      <c r="B66" s="6">
        <v>111454166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8">
        <f>103261.02</f>
        <v>103261.02</v>
      </c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8">
        <f>((((((((((((((((((((((((((((((((((((((((((((((((((((((((((((((((((((((((((((((((((((((((((((((((((((((((((((((((((((((((((((((((((((((((((((((((((((((((((((((((((((((((((((((((((((C66)+(D66))+(E66))+(F66))+(G66))+(H66))+(I66))+(J66))+(K66))+(L66))+(M66))+(N66))+(O66))+(P66))+(Q66))+(R66))+(S66))+(T66))+(U66))+(V66))+(W66))+(X66))+(Y66))+(Z66))+(AA66))+(AB66))+(AC66))+(AD66))+(AE66))+(AF66))+(AG66))+(AH66))+(AI66))+(AJ66))+(AK66))+(AL66))+(AM66))+(AN66))+(AO66))+(AP66))+(AQ66))+(AR66))+(AS66))+(AT66))+(AU66))+(AV66))+(AW66))+(AX66))+(AY66))+(AZ66))+(BA66))+(BB66))+(BC66))+(BD66))+(BE66))+(BF66))+(BG66))+(BH66))+(BI66))+(BJ66))+(BK66))+(BL66))+(BM66))+(BN66))+(BO66))+(BP66))+(BQ66))+(BR66))+(BS66))+(BT66))+(BU66))+(BV66))+(BW66))+(BX66))+(BY66))+(BZ66))+(CA66))+(CB66))+(CC66))+(CD66))+(CE66))+(CF66))+(CG66))+(CH66))+(CI66))+(CJ66))+(CK66))+(CL66))+(CM66))+(CN66))+(CO66))+(CP66))+(CQ66))+(CR66))+(CS66))+(CT66))+(CU66))+(CV66))+(CW66))+(CX66))+(CY66))+(CZ66))+(DA66))+(DB66))+(DC66))+(DD66))+(DE66))+(DF66))+(DG66))+(DH66))+(DI66))+(DJ66))+(DK66))+(DL66))+(DM66))+(DN66))+(DO66))+(DP66))+(DQ66))+(DR66))+(DS66))+(DT66))+(DU66))+(DV66))+(DW66))+(DX66))+(DY66))+(DZ66))+(EA66))+(EB66))+(EC66))+(ED66))+(EE66))+(EF66))+(EG66))+(EH66))+(EI66))+(EJ66))+(EK66))+(EL66))+(EM66))+(EN66))+(EO66))+(EP66))+(EQ66))+(ER66))+(ES66))+(ET66))+(EU66))+(EV66))+(EW66))+(EX66))+(EY66))+(EZ66))+(FA66))+(FB66))+(FC66))+(FD66))+(FE66))+(FF66))+(FG66))+(FH66))+(FI66))+(FJ66))+(FK66))+(FL66))+(FM66))+(FN66))+(FO66))+(FP66))+(FQ66))+(FR66))+(FS66))+(FT66))+(FU66))+(FV66))+(FW66))+(FX66))+(FY66))+(FZ66))+(GA66)</f>
        <v>103261.02</v>
      </c>
    </row>
    <row r="67" spans="1:184">
      <c r="A67" s="5" t="s">
        <v>248</v>
      </c>
      <c r="B67" s="6">
        <v>781269345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8">
        <f>1198466.09</f>
        <v>1198466.0900000001</v>
      </c>
      <c r="CR67" s="7"/>
      <c r="CS67" s="7"/>
      <c r="CT67" s="7"/>
      <c r="CU67" s="7"/>
      <c r="CV67" s="7"/>
      <c r="CW67" s="7"/>
      <c r="CX67" s="8">
        <f>1321203.38</f>
        <v>1321203.3799999999</v>
      </c>
      <c r="CY67" s="7"/>
      <c r="CZ67" s="7"/>
      <c r="DA67" s="7"/>
      <c r="DB67" s="7"/>
      <c r="DC67" s="7"/>
      <c r="DD67" s="8">
        <f>1355754.23</f>
        <v>1355754.23</v>
      </c>
      <c r="DE67" s="7"/>
      <c r="DF67" s="7"/>
      <c r="DG67" s="7"/>
      <c r="DH67" s="7"/>
      <c r="DI67" s="8">
        <f>1496872.87</f>
        <v>1496872.87</v>
      </c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8">
        <f>965438.98</f>
        <v>965438.98</v>
      </c>
      <c r="DU67" s="7"/>
      <c r="DV67" s="7"/>
      <c r="DW67" s="7"/>
      <c r="DX67" s="7"/>
      <c r="DY67" s="7"/>
      <c r="DZ67" s="8">
        <f>1013789.84</f>
        <v>1013789.84</v>
      </c>
      <c r="EA67" s="7"/>
      <c r="EB67" s="7"/>
      <c r="EC67" s="7"/>
      <c r="ED67" s="7"/>
      <c r="EE67" s="7"/>
      <c r="EF67" s="8">
        <f>951198.3</f>
        <v>951198.3</v>
      </c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8">
        <f>971915.25</f>
        <v>971915.25</v>
      </c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8">
        <f>((((((((((((((((((((((((((((((((((((((((((((((((((((((((((((((((((((((((((((((((((((((((((((((((((((((((((((((((((((((((((((((((((((((((((((((((((((((((((((((((((((((((((((((((((((C67)+(D67))+(E67))+(F67))+(G67))+(H67))+(I67))+(J67))+(K67))+(L67))+(M67))+(N67))+(O67))+(P67))+(Q67))+(R67))+(S67))+(T67))+(U67))+(V67))+(W67))+(X67))+(Y67))+(Z67))+(AA67))+(AB67))+(AC67))+(AD67))+(AE67))+(AF67))+(AG67))+(AH67))+(AI67))+(AJ67))+(AK67))+(AL67))+(AM67))+(AN67))+(AO67))+(AP67))+(AQ67))+(AR67))+(AS67))+(AT67))+(AU67))+(AV67))+(AW67))+(AX67))+(AY67))+(AZ67))+(BA67))+(BB67))+(BC67))+(BD67))+(BE67))+(BF67))+(BG67))+(BH67))+(BI67))+(BJ67))+(BK67))+(BL67))+(BM67))+(BN67))+(BO67))+(BP67))+(BQ67))+(BR67))+(BS67))+(BT67))+(BU67))+(BV67))+(BW67))+(BX67))+(BY67))+(BZ67))+(CA67))+(CB67))+(CC67))+(CD67))+(CE67))+(CF67))+(CG67))+(CH67))+(CI67))+(CJ67))+(CK67))+(CL67))+(CM67))+(CN67))+(CO67))+(CP67))+(CQ67))+(CR67))+(CS67))+(CT67))+(CU67))+(CV67))+(CW67))+(CX67))+(CY67))+(CZ67))+(DA67))+(DB67))+(DC67))+(DD67))+(DE67))+(DF67))+(DG67))+(DH67))+(DI67))+(DJ67))+(DK67))+(DL67))+(DM67))+(DN67))+(DO67))+(DP67))+(DQ67))+(DR67))+(DS67))+(DT67))+(DU67))+(DV67))+(DW67))+(DX67))+(DY67))+(DZ67))+(EA67))+(EB67))+(EC67))+(ED67))+(EE67))+(EF67))+(EG67))+(EH67))+(EI67))+(EJ67))+(EK67))+(EL67))+(EM67))+(EN67))+(EO67))+(EP67))+(EQ67))+(ER67))+(ES67))+(ET67))+(EU67))+(EV67))+(EW67))+(EX67))+(EY67))+(EZ67))+(FA67))+(FB67))+(FC67))+(FD67))+(FE67))+(FF67))+(FG67))+(FH67))+(FI67))+(FJ67))+(FK67))+(FL67))+(FM67))+(FN67))+(FO67))+(FP67))+(FQ67))+(FR67))+(FS67))+(FT67))+(FU67))+(FV67))+(FW67))+(FX67))+(FY67))+(FZ67))+(GA67)</f>
        <v>9274638.9400000013</v>
      </c>
    </row>
    <row r="68" spans="1:184">
      <c r="A68" s="5" t="s">
        <v>249</v>
      </c>
      <c r="B68" s="6">
        <v>783241911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8">
        <f>787135.59</f>
        <v>787135.59</v>
      </c>
      <c r="AJ68" s="7"/>
      <c r="AK68" s="7"/>
      <c r="AL68" s="7"/>
      <c r="AM68" s="7"/>
      <c r="AN68" s="7"/>
      <c r="AO68" s="7"/>
      <c r="AP68" s="7"/>
      <c r="AQ68" s="7"/>
      <c r="AR68" s="8">
        <f>822728.82</f>
        <v>822728.82</v>
      </c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8">
        <f>352220.34</f>
        <v>352220.34</v>
      </c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8">
        <f>1210084.74</f>
        <v>1210084.74</v>
      </c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8">
        <f>352220.34</f>
        <v>352220.34</v>
      </c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8">
        <f>814644.07</f>
        <v>814644.07</v>
      </c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8">
        <f>((((((((((((((((((((((((((((((((((((((((((((((((((((((((((((((((((((((((((((((((((((((((((((((((((((((((((((((((((((((((((((((((((((((((((((((((((((((((((((((((((((((((((((((((((((C68)+(D68))+(E68))+(F68))+(G68))+(H68))+(I68))+(J68))+(K68))+(L68))+(M68))+(N68))+(O68))+(P68))+(Q68))+(R68))+(S68))+(T68))+(U68))+(V68))+(W68))+(X68))+(Y68))+(Z68))+(AA68))+(AB68))+(AC68))+(AD68))+(AE68))+(AF68))+(AG68))+(AH68))+(AI68))+(AJ68))+(AK68))+(AL68))+(AM68))+(AN68))+(AO68))+(AP68))+(AQ68))+(AR68))+(AS68))+(AT68))+(AU68))+(AV68))+(AW68))+(AX68))+(AY68))+(AZ68))+(BA68))+(BB68))+(BC68))+(BD68))+(BE68))+(BF68))+(BG68))+(BH68))+(BI68))+(BJ68))+(BK68))+(BL68))+(BM68))+(BN68))+(BO68))+(BP68))+(BQ68))+(BR68))+(BS68))+(BT68))+(BU68))+(BV68))+(BW68))+(BX68))+(BY68))+(BZ68))+(CA68))+(CB68))+(CC68))+(CD68))+(CE68))+(CF68))+(CG68))+(CH68))+(CI68))+(CJ68))+(CK68))+(CL68))+(CM68))+(CN68))+(CO68))+(CP68))+(CQ68))+(CR68))+(CS68))+(CT68))+(CU68))+(CV68))+(CW68))+(CX68))+(CY68))+(CZ68))+(DA68))+(DB68))+(DC68))+(DD68))+(DE68))+(DF68))+(DG68))+(DH68))+(DI68))+(DJ68))+(DK68))+(DL68))+(DM68))+(DN68))+(DO68))+(DP68))+(DQ68))+(DR68))+(DS68))+(DT68))+(DU68))+(DV68))+(DW68))+(DX68))+(DY68))+(DZ68))+(EA68))+(EB68))+(EC68))+(ED68))+(EE68))+(EF68))+(EG68))+(EH68))+(EI68))+(EJ68))+(EK68))+(EL68))+(EM68))+(EN68))+(EO68))+(EP68))+(EQ68))+(ER68))+(ES68))+(ET68))+(EU68))+(EV68))+(EW68))+(EX68))+(EY68))+(EZ68))+(FA68))+(FB68))+(FC68))+(FD68))+(FE68))+(FF68))+(FG68))+(FH68))+(FI68))+(FJ68))+(FK68))+(FL68))+(FM68))+(FN68))+(FO68))+(FP68))+(FQ68))+(FR68))+(FS68))+(FT68))+(FU68))+(FV68))+(FW68))+(FX68))+(FY68))+(FZ68))+(GA68)</f>
        <v>4339033.9000000004</v>
      </c>
    </row>
    <row r="69" spans="1:184">
      <c r="A69" s="5" t="s">
        <v>250</v>
      </c>
      <c r="B69" s="6">
        <v>786352991</v>
      </c>
      <c r="C69" s="7"/>
      <c r="D69" s="7"/>
      <c r="E69" s="7"/>
      <c r="F69" s="8">
        <f>202098.3</f>
        <v>202098.3</v>
      </c>
      <c r="G69" s="7"/>
      <c r="H69" s="7"/>
      <c r="I69" s="7"/>
      <c r="J69" s="7"/>
      <c r="K69" s="7"/>
      <c r="L69" s="7"/>
      <c r="M69" s="7"/>
      <c r="N69" s="8">
        <f>152127.12</f>
        <v>152127.12</v>
      </c>
      <c r="O69" s="7"/>
      <c r="P69" s="7"/>
      <c r="Q69" s="7"/>
      <c r="R69" s="8">
        <f>48110.17</f>
        <v>48110.17</v>
      </c>
      <c r="S69" s="7"/>
      <c r="T69" s="7"/>
      <c r="U69" s="7"/>
      <c r="V69" s="7"/>
      <c r="W69" s="7"/>
      <c r="X69" s="7"/>
      <c r="Y69" s="7"/>
      <c r="Z69" s="7"/>
      <c r="AA69" s="8">
        <f>139154.24</f>
        <v>139154.23999999999</v>
      </c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8">
        <f>138228.81</f>
        <v>138228.81</v>
      </c>
      <c r="AM69" s="7"/>
      <c r="AN69" s="7"/>
      <c r="AO69" s="7"/>
      <c r="AP69" s="7"/>
      <c r="AQ69" s="7"/>
      <c r="AR69" s="7"/>
      <c r="AS69" s="7"/>
      <c r="AT69" s="8">
        <f>63240.68</f>
        <v>63240.68</v>
      </c>
      <c r="AU69" s="7"/>
      <c r="AV69" s="7"/>
      <c r="AW69" s="7"/>
      <c r="AX69" s="7"/>
      <c r="AY69" s="7"/>
      <c r="AZ69" s="7"/>
      <c r="BA69" s="7"/>
      <c r="BB69" s="7"/>
      <c r="BC69" s="7"/>
      <c r="BD69" s="8">
        <f>103084.75</f>
        <v>103084.75</v>
      </c>
      <c r="BE69" s="7"/>
      <c r="BF69" s="7"/>
      <c r="BG69" s="7"/>
      <c r="BH69" s="8">
        <f>65571.19</f>
        <v>65571.19</v>
      </c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8">
        <f>142335.59</f>
        <v>142335.59</v>
      </c>
      <c r="BV69" s="7"/>
      <c r="BW69" s="7"/>
      <c r="BX69" s="8">
        <f>230608.48</f>
        <v>230608.48</v>
      </c>
      <c r="BY69" s="7"/>
      <c r="BZ69" s="7"/>
      <c r="CA69" s="7"/>
      <c r="CB69" s="7"/>
      <c r="CC69" s="8">
        <f>115206.78</f>
        <v>115206.78</v>
      </c>
      <c r="CD69" s="7"/>
      <c r="CE69" s="7"/>
      <c r="CF69" s="7"/>
      <c r="CG69" s="7"/>
      <c r="CH69" s="7"/>
      <c r="CI69" s="7"/>
      <c r="CJ69" s="7"/>
      <c r="CK69" s="7"/>
      <c r="CL69" s="8">
        <f>135203.39</f>
        <v>135203.39000000001</v>
      </c>
      <c r="CM69" s="7"/>
      <c r="CN69" s="7"/>
      <c r="CO69" s="7"/>
      <c r="CP69" s="7"/>
      <c r="CQ69" s="8">
        <f>63749.16</f>
        <v>63749.16</v>
      </c>
      <c r="CR69" s="7"/>
      <c r="CS69" s="7"/>
      <c r="CT69" s="7"/>
      <c r="CU69" s="7"/>
      <c r="CV69" s="7"/>
      <c r="CW69" s="7"/>
      <c r="CX69" s="7"/>
      <c r="CY69" s="7"/>
      <c r="CZ69" s="7"/>
      <c r="DA69" s="8">
        <f>102110.18</f>
        <v>102110.18</v>
      </c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8">
        <f>146149.14</f>
        <v>146149.14000000001</v>
      </c>
      <c r="DT69" s="7"/>
      <c r="DU69" s="7"/>
      <c r="DV69" s="7"/>
      <c r="DW69" s="7"/>
      <c r="DX69" s="7"/>
      <c r="DY69" s="7"/>
      <c r="DZ69" s="7"/>
      <c r="EA69" s="8">
        <f>64088.14</f>
        <v>64088.14</v>
      </c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8">
        <f>143900</f>
        <v>143900</v>
      </c>
      <c r="ES69" s="7"/>
      <c r="ET69" s="7"/>
      <c r="EU69" s="7"/>
      <c r="EV69" s="7"/>
      <c r="EW69" s="7"/>
      <c r="EX69" s="8">
        <f>88840.67</f>
        <v>88840.67</v>
      </c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8">
        <f>161491.53</f>
        <v>161491.53</v>
      </c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8">
        <f>((((((((((((((((((((((((((((((((((((((((((((((((((((((((((((((((((((((((((((((((((((((((((((((((((((((((((((((((((((((((((((((((((((((((((((((((((((((((((((((((((((((((((((((((((((C69)+(D69))+(E69))+(F69))+(G69))+(H69))+(I69))+(J69))+(K69))+(L69))+(M69))+(N69))+(O69))+(P69))+(Q69))+(R69))+(S69))+(T69))+(U69))+(V69))+(W69))+(X69))+(Y69))+(Z69))+(AA69))+(AB69))+(AC69))+(AD69))+(AE69))+(AF69))+(AG69))+(AH69))+(AI69))+(AJ69))+(AK69))+(AL69))+(AM69))+(AN69))+(AO69))+(AP69))+(AQ69))+(AR69))+(AS69))+(AT69))+(AU69))+(AV69))+(AW69))+(AX69))+(AY69))+(AZ69))+(BA69))+(BB69))+(BC69))+(BD69))+(BE69))+(BF69))+(BG69))+(BH69))+(BI69))+(BJ69))+(BK69))+(BL69))+(BM69))+(BN69))+(BO69))+(BP69))+(BQ69))+(BR69))+(BS69))+(BT69))+(BU69))+(BV69))+(BW69))+(BX69))+(BY69))+(BZ69))+(CA69))+(CB69))+(CC69))+(CD69))+(CE69))+(CF69))+(CG69))+(CH69))+(CI69))+(CJ69))+(CK69))+(CL69))+(CM69))+(CN69))+(CO69))+(CP69))+(CQ69))+(CR69))+(CS69))+(CT69))+(CU69))+(CV69))+(CW69))+(CX69))+(CY69))+(CZ69))+(DA69))+(DB69))+(DC69))+(DD69))+(DE69))+(DF69))+(DG69))+(DH69))+(DI69))+(DJ69))+(DK69))+(DL69))+(DM69))+(DN69))+(DO69))+(DP69))+(DQ69))+(DR69))+(DS69))+(DT69))+(DU69))+(DV69))+(DW69))+(DX69))+(DY69))+(DZ69))+(EA69))+(EB69))+(EC69))+(ED69))+(EE69))+(EF69))+(EG69))+(EH69))+(EI69))+(EJ69))+(EK69))+(EL69))+(EM69))+(EN69))+(EO69))+(EP69))+(EQ69))+(ER69))+(ES69))+(ET69))+(EU69))+(EV69))+(EW69))+(EX69))+(EY69))+(EZ69))+(FA69))+(FB69))+(FC69))+(FD69))+(FE69))+(FF69))+(FG69))+(FH69))+(FI69))+(FJ69))+(FK69))+(FL69))+(FM69))+(FN69))+(FO69))+(FP69))+(FQ69))+(FR69))+(FS69))+(FT69))+(FU69))+(FV69))+(FW69))+(FX69))+(FY69))+(FZ69))+(GA69)</f>
        <v>2305298.3199999998</v>
      </c>
    </row>
    <row r="70" spans="1:184">
      <c r="A70" s="5" t="s">
        <v>251</v>
      </c>
      <c r="B70" s="6">
        <v>786210588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143059.32</v>
      </c>
      <c r="K70" s="7">
        <v>0</v>
      </c>
      <c r="L70" s="7">
        <v>0</v>
      </c>
      <c r="M70" s="7">
        <v>0</v>
      </c>
      <c r="N70" s="7">
        <v>0</v>
      </c>
      <c r="O70" s="7">
        <v>533369.49</v>
      </c>
      <c r="P70" s="7">
        <v>0</v>
      </c>
      <c r="Q70" s="7">
        <v>0</v>
      </c>
      <c r="R70" s="7">
        <v>0</v>
      </c>
      <c r="S70" s="7">
        <v>0</v>
      </c>
      <c r="T70" s="7">
        <v>206723.73</v>
      </c>
      <c r="U70" s="7">
        <v>0</v>
      </c>
      <c r="V70" s="7">
        <v>110627.12</v>
      </c>
      <c r="W70" s="7">
        <v>0</v>
      </c>
      <c r="X70" s="7">
        <v>0</v>
      </c>
      <c r="Y70" s="7">
        <v>0</v>
      </c>
      <c r="Z70" s="7">
        <v>0</v>
      </c>
      <c r="AA70" s="7">
        <v>57901.69</v>
      </c>
      <c r="AB70" s="7">
        <v>25515.25</v>
      </c>
      <c r="AC70" s="7">
        <v>280557.63</v>
      </c>
      <c r="AD70" s="7">
        <v>174594.92</v>
      </c>
      <c r="AE70" s="7">
        <v>50440.68</v>
      </c>
      <c r="AF70" s="7">
        <v>362830.51</v>
      </c>
      <c r="AG70" s="7">
        <v>95372.88</v>
      </c>
      <c r="AH70" s="7">
        <v>85203.39</v>
      </c>
      <c r="AI70" s="7">
        <v>202610.17</v>
      </c>
      <c r="AJ70" s="7">
        <v>281881.36</v>
      </c>
      <c r="AK70" s="7">
        <v>0</v>
      </c>
      <c r="AL70" s="7">
        <v>297983.05</v>
      </c>
      <c r="AM70" s="7">
        <v>86050.85</v>
      </c>
      <c r="AN70" s="7">
        <v>0</v>
      </c>
      <c r="AO70" s="7">
        <v>0</v>
      </c>
      <c r="AP70" s="7">
        <v>372541.52</v>
      </c>
      <c r="AQ70" s="7">
        <v>0</v>
      </c>
      <c r="AR70" s="7">
        <v>367932.2</v>
      </c>
      <c r="AS70" s="7">
        <v>0</v>
      </c>
      <c r="AT70" s="7">
        <v>85203.39</v>
      </c>
      <c r="AU70" s="7">
        <v>145813.54999999999</v>
      </c>
      <c r="AV70" s="7">
        <v>213279.65</v>
      </c>
      <c r="AW70" s="7">
        <v>0</v>
      </c>
      <c r="AX70" s="7">
        <v>33188.14</v>
      </c>
      <c r="AY70" s="7">
        <v>194181.36</v>
      </c>
      <c r="AZ70" s="7">
        <v>0</v>
      </c>
      <c r="BA70" s="7">
        <v>549355.93999999994</v>
      </c>
      <c r="BB70" s="7">
        <v>0</v>
      </c>
      <c r="BC70" s="7">
        <v>38318.639999999999</v>
      </c>
      <c r="BD70" s="7">
        <v>0</v>
      </c>
      <c r="BE70" s="7">
        <v>333805.08</v>
      </c>
      <c r="BF70" s="7">
        <v>351177.96</v>
      </c>
      <c r="BG70" s="7">
        <v>347593.22</v>
      </c>
      <c r="BH70" s="7">
        <v>317898.3</v>
      </c>
      <c r="BI70" s="7">
        <v>0</v>
      </c>
      <c r="BJ70" s="7">
        <v>265342.38</v>
      </c>
      <c r="BK70" s="7">
        <v>0</v>
      </c>
      <c r="BL70" s="7">
        <v>0</v>
      </c>
      <c r="BM70" s="7">
        <v>1035313.56</v>
      </c>
      <c r="BN70" s="7">
        <v>367915.26</v>
      </c>
      <c r="BO70" s="7">
        <v>0</v>
      </c>
      <c r="BP70" s="7">
        <v>0</v>
      </c>
      <c r="BQ70" s="7">
        <v>0</v>
      </c>
      <c r="BR70" s="7">
        <v>1011372.88</v>
      </c>
      <c r="BS70" s="7">
        <v>0</v>
      </c>
      <c r="BT70" s="7">
        <v>0</v>
      </c>
      <c r="BU70" s="7">
        <v>836093.22</v>
      </c>
      <c r="BV70" s="7">
        <v>0</v>
      </c>
      <c r="BW70" s="7">
        <v>0</v>
      </c>
      <c r="BX70" s="7">
        <v>0</v>
      </c>
      <c r="BY70" s="7">
        <v>303067.78999999998</v>
      </c>
      <c r="BZ70" s="7">
        <v>183966.1</v>
      </c>
      <c r="CA70" s="7">
        <v>136703.39000000001</v>
      </c>
      <c r="CB70" s="7">
        <v>769338.97</v>
      </c>
      <c r="CC70" s="7">
        <v>0</v>
      </c>
      <c r="CD70" s="7">
        <v>0</v>
      </c>
      <c r="CE70" s="7">
        <v>88505.08</v>
      </c>
      <c r="CF70" s="7">
        <v>420474.57</v>
      </c>
      <c r="CG70" s="7">
        <v>0</v>
      </c>
      <c r="CH70" s="7">
        <v>1156859.31</v>
      </c>
      <c r="CI70" s="7">
        <v>250525.42</v>
      </c>
      <c r="CJ70" s="7">
        <v>413500</v>
      </c>
      <c r="CK70" s="7">
        <v>0</v>
      </c>
      <c r="CL70" s="7">
        <v>0</v>
      </c>
      <c r="CM70" s="7">
        <v>0</v>
      </c>
      <c r="CN70" s="7">
        <v>654457.63</v>
      </c>
      <c r="CO70" s="7">
        <v>0</v>
      </c>
      <c r="CP70" s="7">
        <v>0</v>
      </c>
      <c r="CQ70" s="7">
        <v>0</v>
      </c>
      <c r="CR70" s="7">
        <v>1140627.1200000001</v>
      </c>
      <c r="CS70" s="7">
        <v>70189.83</v>
      </c>
      <c r="CT70" s="7">
        <v>0</v>
      </c>
      <c r="CU70" s="7">
        <v>484915.24</v>
      </c>
      <c r="CV70" s="7">
        <v>233118.64</v>
      </c>
      <c r="CW70" s="7">
        <v>0</v>
      </c>
      <c r="CX70" s="7">
        <v>170862.72</v>
      </c>
      <c r="CY70" s="7">
        <v>0</v>
      </c>
      <c r="CZ70" s="7">
        <v>95372.88</v>
      </c>
      <c r="DA70" s="7">
        <v>0</v>
      </c>
      <c r="DB70" s="7">
        <v>1118169.47</v>
      </c>
      <c r="DC70" s="7">
        <v>0</v>
      </c>
      <c r="DD70" s="7">
        <v>0</v>
      </c>
      <c r="DE70" s="7">
        <v>37510.17</v>
      </c>
      <c r="DF70" s="7">
        <v>110288.14</v>
      </c>
      <c r="DG70" s="7">
        <v>0</v>
      </c>
      <c r="DH70" s="7">
        <v>0</v>
      </c>
      <c r="DI70" s="7">
        <v>1365483.04</v>
      </c>
      <c r="DJ70" s="7">
        <v>29364.41</v>
      </c>
      <c r="DK70" s="7">
        <v>0</v>
      </c>
      <c r="DL70" s="7">
        <v>0</v>
      </c>
      <c r="DM70" s="7">
        <v>144330.51</v>
      </c>
      <c r="DN70" s="7">
        <v>81044.070000000007</v>
      </c>
      <c r="DO70" s="7">
        <v>0</v>
      </c>
      <c r="DP70" s="7">
        <v>200915.25</v>
      </c>
      <c r="DQ70" s="7">
        <v>232271.19</v>
      </c>
      <c r="DR70" s="7">
        <v>66806.78</v>
      </c>
      <c r="DS70" s="7">
        <v>0</v>
      </c>
      <c r="DT70" s="7">
        <v>91135.59</v>
      </c>
      <c r="DU70" s="7">
        <v>1248920.3400000001</v>
      </c>
      <c r="DV70" s="7">
        <v>0</v>
      </c>
      <c r="DW70" s="7">
        <v>0</v>
      </c>
      <c r="DX70" s="7">
        <v>436381.36</v>
      </c>
      <c r="DY70" s="7">
        <v>0</v>
      </c>
      <c r="DZ70" s="7">
        <v>202610.17</v>
      </c>
      <c r="EA70" s="7">
        <v>0</v>
      </c>
      <c r="EB70" s="7">
        <v>71461.02</v>
      </c>
      <c r="EC70" s="7">
        <v>167016.95000000001</v>
      </c>
      <c r="ED70" s="7">
        <v>0</v>
      </c>
      <c r="EE70" s="7">
        <v>0</v>
      </c>
      <c r="EF70" s="7">
        <v>71461.02</v>
      </c>
      <c r="EG70" s="7">
        <v>0</v>
      </c>
      <c r="EH70" s="7">
        <v>0</v>
      </c>
      <c r="EI70" s="7">
        <v>59550.85</v>
      </c>
      <c r="EJ70" s="7">
        <v>317206.78000000003</v>
      </c>
      <c r="EK70" s="7">
        <v>75874.58</v>
      </c>
      <c r="EL70" s="7">
        <v>310466.09999999998</v>
      </c>
      <c r="EM70" s="7">
        <v>119101.69</v>
      </c>
      <c r="EN70" s="7">
        <v>106389.83</v>
      </c>
      <c r="EO70" s="7">
        <v>285649.15000000002</v>
      </c>
      <c r="EP70" s="7">
        <v>0</v>
      </c>
      <c r="EQ70" s="7">
        <v>151533.9</v>
      </c>
      <c r="ER70" s="7">
        <v>228262.71</v>
      </c>
      <c r="ES70" s="7">
        <v>339508.47</v>
      </c>
      <c r="ET70" s="7">
        <v>93677.97</v>
      </c>
      <c r="EU70" s="7">
        <v>176127.12</v>
      </c>
      <c r="EV70" s="7">
        <v>0</v>
      </c>
      <c r="EW70" s="7">
        <v>0</v>
      </c>
      <c r="EX70" s="7">
        <v>0</v>
      </c>
      <c r="EY70" s="7">
        <v>0</v>
      </c>
      <c r="EZ70" s="7">
        <v>268791.53000000003</v>
      </c>
      <c r="FA70" s="7">
        <v>0</v>
      </c>
      <c r="FB70" s="7">
        <v>267898.3</v>
      </c>
      <c r="FC70" s="7">
        <v>111474.58</v>
      </c>
      <c r="FD70" s="7">
        <v>301567.78999999998</v>
      </c>
      <c r="FE70" s="7">
        <v>59550.85</v>
      </c>
      <c r="FF70" s="7">
        <v>673313.56</v>
      </c>
      <c r="FG70" s="7">
        <v>0</v>
      </c>
      <c r="FH70" s="7">
        <v>0</v>
      </c>
      <c r="FI70" s="7">
        <v>165711.85999999999</v>
      </c>
      <c r="FJ70" s="7">
        <v>176413.56</v>
      </c>
      <c r="FK70" s="7">
        <v>0</v>
      </c>
      <c r="FL70" s="7">
        <v>799830.5</v>
      </c>
      <c r="FM70" s="7">
        <v>0</v>
      </c>
      <c r="FN70" s="7">
        <v>0</v>
      </c>
      <c r="FO70" s="7">
        <v>0</v>
      </c>
      <c r="FP70" s="7">
        <v>0</v>
      </c>
      <c r="FQ70" s="7">
        <v>0</v>
      </c>
      <c r="FR70" s="7">
        <v>0</v>
      </c>
      <c r="FS70" s="7">
        <v>0</v>
      </c>
      <c r="FT70" s="7">
        <v>0</v>
      </c>
      <c r="FU70" s="7">
        <v>609101.68999999994</v>
      </c>
      <c r="FV70" s="7">
        <v>0</v>
      </c>
      <c r="FW70" s="7">
        <v>70779.66</v>
      </c>
      <c r="FX70" s="7">
        <v>0</v>
      </c>
      <c r="FY70" s="7">
        <v>734788.14</v>
      </c>
      <c r="FZ70" s="7">
        <v>0</v>
      </c>
      <c r="GA70" s="7">
        <v>0</v>
      </c>
      <c r="GB70" s="7">
        <v>28611273.630000006</v>
      </c>
    </row>
    <row r="71" spans="1:184">
      <c r="A71" s="5" t="s">
        <v>252</v>
      </c>
      <c r="B71" s="6">
        <v>788827066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8">
        <f>1087203.39</f>
        <v>1087203.3899999999</v>
      </c>
      <c r="BI71" s="8">
        <f>2522847.46</f>
        <v>2522847.46</v>
      </c>
      <c r="BJ71" s="7"/>
      <c r="BK71" s="7"/>
      <c r="BL71" s="7"/>
      <c r="BM71" s="7"/>
      <c r="BN71" s="7"/>
      <c r="BO71" s="7"/>
      <c r="BP71" s="8">
        <f>2633542.38</f>
        <v>2633542.38</v>
      </c>
      <c r="BQ71" s="7"/>
      <c r="BR71" s="7"/>
      <c r="BS71" s="7"/>
      <c r="BT71" s="7"/>
      <c r="BU71" s="8">
        <f>1963847.46</f>
        <v>1963847.46</v>
      </c>
      <c r="BV71" s="7"/>
      <c r="BW71" s="7"/>
      <c r="BX71" s="7"/>
      <c r="BY71" s="7"/>
      <c r="BZ71" s="7"/>
      <c r="CA71" s="8">
        <f>1827305.08</f>
        <v>1827305.08</v>
      </c>
      <c r="CB71" s="7"/>
      <c r="CC71" s="7"/>
      <c r="CD71" s="7"/>
      <c r="CE71" s="8">
        <f>2950491.52</f>
        <v>2950491.52</v>
      </c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8">
        <f t="shared" ref="GB71:GB80" si="4">((((((((((((((((((((((((((((((((((((((((((((((((((((((((((((((((((((((((((((((((((((((((((((((((((((((((((((((((((((((((((((((((((((((((((((((((((((((((((((((((((((((((((((((((((((C71)+(D71))+(E71))+(F71))+(G71))+(H71))+(I71))+(J71))+(K71))+(L71))+(M71))+(N71))+(O71))+(P71))+(Q71))+(R71))+(S71))+(T71))+(U71))+(V71))+(W71))+(X71))+(Y71))+(Z71))+(AA71))+(AB71))+(AC71))+(AD71))+(AE71))+(AF71))+(AG71))+(AH71))+(AI71))+(AJ71))+(AK71))+(AL71))+(AM71))+(AN71))+(AO71))+(AP71))+(AQ71))+(AR71))+(AS71))+(AT71))+(AU71))+(AV71))+(AW71))+(AX71))+(AY71))+(AZ71))+(BA71))+(BB71))+(BC71))+(BD71))+(BE71))+(BF71))+(BG71))+(BH71))+(BI71))+(BJ71))+(BK71))+(BL71))+(BM71))+(BN71))+(BO71))+(BP71))+(BQ71))+(BR71))+(BS71))+(BT71))+(BU71))+(BV71))+(BW71))+(BX71))+(BY71))+(BZ71))+(CA71))+(CB71))+(CC71))+(CD71))+(CE71))+(CF71))+(CG71))+(CH71))+(CI71))+(CJ71))+(CK71))+(CL71))+(CM71))+(CN71))+(CO71))+(CP71))+(CQ71))+(CR71))+(CS71))+(CT71))+(CU71))+(CV71))+(CW71))+(CX71))+(CY71))+(CZ71))+(DA71))+(DB71))+(DC71))+(DD71))+(DE71))+(DF71))+(DG71))+(DH71))+(DI71))+(DJ71))+(DK71))+(DL71))+(DM71))+(DN71))+(DO71))+(DP71))+(DQ71))+(DR71))+(DS71))+(DT71))+(DU71))+(DV71))+(DW71))+(DX71))+(DY71))+(DZ71))+(EA71))+(EB71))+(EC71))+(ED71))+(EE71))+(EF71))+(EG71))+(EH71))+(EI71))+(EJ71))+(EK71))+(EL71))+(EM71))+(EN71))+(EO71))+(EP71))+(EQ71))+(ER71))+(ES71))+(ET71))+(EU71))+(EV71))+(EW71))+(EX71))+(EY71))+(EZ71))+(FA71))+(FB71))+(FC71))+(FD71))+(FE71))+(FF71))+(FG71))+(FH71))+(FI71))+(FJ71))+(FK71))+(FL71))+(FM71))+(FN71))+(FO71))+(FP71))+(FQ71))+(FR71))+(FS71))+(FT71))+(FU71))+(FV71))+(FW71))+(FX71))+(FY71))+(FZ71))+(GA71)</f>
        <v>12985237.289999999</v>
      </c>
    </row>
    <row r="72" spans="1:184">
      <c r="A72" s="5" t="s">
        <v>253</v>
      </c>
      <c r="B72" s="6">
        <v>788416430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8">
        <f>509720.34</f>
        <v>509720.34</v>
      </c>
      <c r="R72" s="7"/>
      <c r="S72" s="7"/>
      <c r="T72" s="7"/>
      <c r="U72" s="8">
        <f>746000.01</f>
        <v>746000.01</v>
      </c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8">
        <f>219050.85</f>
        <v>219050.85</v>
      </c>
      <c r="BZ72" s="7"/>
      <c r="CA72" s="8">
        <f>437618.65</f>
        <v>437618.65</v>
      </c>
      <c r="CB72" s="7"/>
      <c r="CC72" s="7"/>
      <c r="CD72" s="7"/>
      <c r="CE72" s="8">
        <f>436347.46</f>
        <v>436347.46</v>
      </c>
      <c r="CF72" s="8">
        <f>629211.86</f>
        <v>629211.86</v>
      </c>
      <c r="CG72" s="7"/>
      <c r="CH72" s="8">
        <f>769728.81</f>
        <v>769728.81</v>
      </c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8">
        <f>308633.89</f>
        <v>308633.89</v>
      </c>
      <c r="DC72" s="7"/>
      <c r="DD72" s="7"/>
      <c r="DE72" s="7"/>
      <c r="DF72" s="7"/>
      <c r="DG72" s="7"/>
      <c r="DH72" s="7"/>
      <c r="DI72" s="7"/>
      <c r="DJ72" s="8">
        <f>422788.13</f>
        <v>422788.13</v>
      </c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8">
        <f>1185508.47</f>
        <v>1185508.47</v>
      </c>
      <c r="DY72" s="7"/>
      <c r="DZ72" s="7"/>
      <c r="EA72" s="7"/>
      <c r="EB72" s="7"/>
      <c r="EC72" s="7"/>
      <c r="ED72" s="7"/>
      <c r="EE72" s="8">
        <f>503525.42</f>
        <v>503525.42</v>
      </c>
      <c r="EF72" s="7"/>
      <c r="EG72" s="7"/>
      <c r="EH72" s="7"/>
      <c r="EI72" s="7"/>
      <c r="EJ72" s="7"/>
      <c r="EK72" s="8">
        <f>231996.61</f>
        <v>231996.61</v>
      </c>
      <c r="EL72" s="8">
        <f>165711.86</f>
        <v>165711.85999999999</v>
      </c>
      <c r="EM72" s="7"/>
      <c r="EN72" s="7"/>
      <c r="EO72" s="7"/>
      <c r="EP72" s="7"/>
      <c r="EQ72" s="7"/>
      <c r="ER72" s="7"/>
      <c r="ES72" s="8">
        <f>518779.66</f>
        <v>518779.66</v>
      </c>
      <c r="ET72" s="7"/>
      <c r="EU72" s="7"/>
      <c r="EV72" s="7"/>
      <c r="EW72" s="7"/>
      <c r="EX72" s="7"/>
      <c r="EY72" s="7"/>
      <c r="EZ72" s="7"/>
      <c r="FA72" s="7"/>
      <c r="FB72" s="8">
        <f>165711.86</f>
        <v>165711.85999999999</v>
      </c>
      <c r="FC72" s="7"/>
      <c r="FD72" s="7"/>
      <c r="FE72" s="7"/>
      <c r="FF72" s="8">
        <f>165711.86</f>
        <v>165711.85999999999</v>
      </c>
      <c r="FG72" s="7"/>
      <c r="FH72" s="7"/>
      <c r="FI72" s="7"/>
      <c r="FJ72" s="7"/>
      <c r="FK72" s="7"/>
      <c r="FL72" s="7"/>
      <c r="FM72" s="8">
        <f>193906.78</f>
        <v>193906.78</v>
      </c>
      <c r="FN72" s="7"/>
      <c r="FO72" s="7"/>
      <c r="FP72" s="7"/>
      <c r="FQ72" s="7"/>
      <c r="FR72" s="7"/>
      <c r="FS72" s="7"/>
      <c r="FT72" s="7"/>
      <c r="FU72" s="8">
        <f>816305.09</f>
        <v>816305.09</v>
      </c>
      <c r="FV72" s="8">
        <f>277186.44</f>
        <v>277186.44</v>
      </c>
      <c r="FW72" s="7"/>
      <c r="FX72" s="7"/>
      <c r="FY72" s="8">
        <f>111898.31</f>
        <v>111898.31</v>
      </c>
      <c r="FZ72" s="7"/>
      <c r="GA72" s="8">
        <f>353067.79</f>
        <v>353067.79</v>
      </c>
      <c r="GB72" s="8">
        <f t="shared" si="4"/>
        <v>9168410.1500000004</v>
      </c>
    </row>
    <row r="73" spans="1:184">
      <c r="A73" s="5" t="s">
        <v>254</v>
      </c>
      <c r="B73" s="6">
        <v>102500107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8">
        <f>3705000</f>
        <v>3705000</v>
      </c>
      <c r="BJ73" s="7"/>
      <c r="BK73" s="8">
        <f>553050.84</f>
        <v>553050.84</v>
      </c>
      <c r="BL73" s="7"/>
      <c r="BM73" s="8">
        <f>2954149.15</f>
        <v>2954149.15</v>
      </c>
      <c r="BN73" s="7"/>
      <c r="BO73" s="8">
        <f>691416.96</f>
        <v>691416.96</v>
      </c>
      <c r="BP73" s="7"/>
      <c r="BQ73" s="7"/>
      <c r="BR73" s="7"/>
      <c r="BS73" s="8">
        <f>487245.76</f>
        <v>487245.76</v>
      </c>
      <c r="BT73" s="8">
        <f>2773796.61</f>
        <v>2773796.61</v>
      </c>
      <c r="BU73" s="7"/>
      <c r="BV73" s="7"/>
      <c r="BW73" s="8">
        <f>527728.81</f>
        <v>527728.81000000006</v>
      </c>
      <c r="BX73" s="7"/>
      <c r="BY73" s="7"/>
      <c r="BZ73" s="7"/>
      <c r="CA73" s="8">
        <f>488940.67</f>
        <v>488940.67</v>
      </c>
      <c r="CB73" s="7"/>
      <c r="CC73" s="7"/>
      <c r="CD73" s="7"/>
      <c r="CE73" s="8">
        <f>573067.81</f>
        <v>573067.81000000006</v>
      </c>
      <c r="CF73" s="8">
        <f>2082457.63</f>
        <v>2082457.63</v>
      </c>
      <c r="CG73" s="7"/>
      <c r="CH73" s="7"/>
      <c r="CI73" s="7"/>
      <c r="CJ73" s="8">
        <f>501016.96</f>
        <v>501016.96</v>
      </c>
      <c r="CK73" s="7"/>
      <c r="CL73" s="7"/>
      <c r="CM73" s="7"/>
      <c r="CN73" s="7"/>
      <c r="CO73" s="8">
        <f>412077.98</f>
        <v>412077.98</v>
      </c>
      <c r="CP73" s="7"/>
      <c r="CQ73" s="8">
        <f>450576.27</f>
        <v>450576.27</v>
      </c>
      <c r="CR73" s="7"/>
      <c r="CS73" s="7"/>
      <c r="CT73" s="7"/>
      <c r="CU73" s="7"/>
      <c r="CV73" s="8">
        <f>3113872.89</f>
        <v>3113872.89</v>
      </c>
      <c r="CW73" s="8">
        <f>188627.12</f>
        <v>188627.12</v>
      </c>
      <c r="CX73" s="7"/>
      <c r="CY73" s="7"/>
      <c r="CZ73" s="7"/>
      <c r="DA73" s="7"/>
      <c r="DB73" s="7"/>
      <c r="DC73" s="7"/>
      <c r="DD73" s="7"/>
      <c r="DE73" s="7"/>
      <c r="DF73" s="8">
        <f>541483.06</f>
        <v>541483.06000000006</v>
      </c>
      <c r="DG73" s="7"/>
      <c r="DH73" s="8">
        <f>1514457.62</f>
        <v>1514457.62</v>
      </c>
      <c r="DI73" s="7"/>
      <c r="DJ73" s="7"/>
      <c r="DK73" s="7"/>
      <c r="DL73" s="8">
        <f>689135.59</f>
        <v>689135.59</v>
      </c>
      <c r="DM73" s="7"/>
      <c r="DN73" s="8">
        <f>350330.51</f>
        <v>350330.51</v>
      </c>
      <c r="DO73" s="7"/>
      <c r="DP73" s="7"/>
      <c r="DQ73" s="7"/>
      <c r="DR73" s="8">
        <f>510127.13</f>
        <v>510127.13</v>
      </c>
      <c r="DS73" s="7"/>
      <c r="DT73" s="7"/>
      <c r="DU73" s="7"/>
      <c r="DV73" s="8">
        <f>3028135.59</f>
        <v>3028135.59</v>
      </c>
      <c r="DW73" s="7"/>
      <c r="DX73" s="8">
        <f>363391.53</f>
        <v>363391.53</v>
      </c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8">
        <f>475576.27</f>
        <v>475576.27</v>
      </c>
      <c r="EN73" s="8">
        <f>475576.27</f>
        <v>475576.27</v>
      </c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8">
        <f t="shared" si="4"/>
        <v>27451239.030000005</v>
      </c>
    </row>
    <row r="74" spans="1:184">
      <c r="A74" s="5" t="s">
        <v>255</v>
      </c>
      <c r="B74" s="6">
        <v>788520369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8">
        <f>196727.12</f>
        <v>196727.12</v>
      </c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8">
        <f>828559.32</f>
        <v>828559.32</v>
      </c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8">
        <f>555659.33</f>
        <v>555659.32999999996</v>
      </c>
      <c r="BX74" s="7"/>
      <c r="BY74" s="7"/>
      <c r="BZ74" s="7"/>
      <c r="CA74" s="7"/>
      <c r="CB74" s="7"/>
      <c r="CC74" s="7"/>
      <c r="CD74" s="8">
        <f>551016.94</f>
        <v>551016.93999999994</v>
      </c>
      <c r="CE74" s="7"/>
      <c r="CF74" s="7"/>
      <c r="CG74" s="7"/>
      <c r="CH74" s="7"/>
      <c r="CI74" s="7"/>
      <c r="CJ74" s="8">
        <f>1572932.2</f>
        <v>1572932.2</v>
      </c>
      <c r="CK74" s="7"/>
      <c r="CL74" s="7"/>
      <c r="CM74" s="7"/>
      <c r="CN74" s="8">
        <f>643423.73</f>
        <v>643423.73</v>
      </c>
      <c r="CO74" s="7"/>
      <c r="CP74" s="8">
        <f>797500.01</f>
        <v>797500.01</v>
      </c>
      <c r="CQ74" s="7"/>
      <c r="CR74" s="7"/>
      <c r="CS74" s="7"/>
      <c r="CT74" s="8">
        <f>489364.41</f>
        <v>489364.41</v>
      </c>
      <c r="CU74" s="7"/>
      <c r="CV74" s="8">
        <f>757016.94</f>
        <v>757016.94</v>
      </c>
      <c r="CW74" s="7"/>
      <c r="CX74" s="7"/>
      <c r="CY74" s="7"/>
      <c r="CZ74" s="7"/>
      <c r="DA74" s="7"/>
      <c r="DB74" s="7"/>
      <c r="DC74" s="7"/>
      <c r="DD74" s="7"/>
      <c r="DE74" s="8">
        <f>549745.76</f>
        <v>549745.76</v>
      </c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8">
        <f t="shared" si="4"/>
        <v>6941945.7599999998</v>
      </c>
    </row>
    <row r="75" spans="1:184">
      <c r="A75" s="5" t="s">
        <v>256</v>
      </c>
      <c r="B75" s="6">
        <v>787108197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8">
        <f>54420.34</f>
        <v>54420.34</v>
      </c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8">
        <f t="shared" si="4"/>
        <v>54420.34</v>
      </c>
    </row>
    <row r="76" spans="1:184">
      <c r="A76" s="5" t="s">
        <v>257</v>
      </c>
      <c r="B76" s="6">
        <v>785426205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8">
        <f>1080847.45</f>
        <v>1080847.45</v>
      </c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8">
        <f>1510025.43</f>
        <v>1510025.43</v>
      </c>
      <c r="CP76" s="7"/>
      <c r="CQ76" s="8">
        <f>200262.71</f>
        <v>200262.71</v>
      </c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8">
        <f>489364.42</f>
        <v>489364.42</v>
      </c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8">
        <f>604440.67</f>
        <v>604440.67000000004</v>
      </c>
      <c r="EZ76" s="7"/>
      <c r="FA76" s="7"/>
      <c r="FB76" s="7"/>
      <c r="FC76" s="7"/>
      <c r="FD76" s="8">
        <f>287796.61</f>
        <v>287796.61</v>
      </c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8">
        <f>534084.74</f>
        <v>534084.74</v>
      </c>
      <c r="FS76" s="8">
        <f>279322.04</f>
        <v>279322.03999999998</v>
      </c>
      <c r="FT76" s="7"/>
      <c r="FU76" s="7"/>
      <c r="FV76" s="7"/>
      <c r="FW76" s="7"/>
      <c r="FX76" s="8">
        <f>449940.69</f>
        <v>449940.69</v>
      </c>
      <c r="FY76" s="7"/>
      <c r="FZ76" s="7"/>
      <c r="GA76" s="7"/>
      <c r="GB76" s="8">
        <f t="shared" si="4"/>
        <v>5436084.7599999998</v>
      </c>
    </row>
    <row r="77" spans="1:184">
      <c r="A77" s="5" t="s">
        <v>258</v>
      </c>
      <c r="B77" s="6">
        <v>789689568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8">
        <f>536610.17</f>
        <v>536610.17000000004</v>
      </c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8">
        <f>718652.55</f>
        <v>718652.55</v>
      </c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8">
        <f>479830.51</f>
        <v>479830.51</v>
      </c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8">
        <f>503135.6</f>
        <v>503135.6</v>
      </c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8">
        <f>505042.38</f>
        <v>505042.38</v>
      </c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8">
        <f>571779.66</f>
        <v>571779.66</v>
      </c>
      <c r="FE77" s="7"/>
      <c r="FF77" s="7"/>
      <c r="FG77" s="7"/>
      <c r="FH77" s="7"/>
      <c r="FI77" s="7"/>
      <c r="FJ77" s="7"/>
      <c r="FK77" s="7"/>
      <c r="FL77" s="8">
        <f>536398.31</f>
        <v>536398.31000000006</v>
      </c>
      <c r="FM77" s="7"/>
      <c r="FN77" s="7"/>
      <c r="FO77" s="7"/>
      <c r="FP77" s="7"/>
      <c r="FQ77" s="7"/>
      <c r="FR77" s="8">
        <f>507584.75</f>
        <v>507584.75</v>
      </c>
      <c r="FS77" s="7"/>
      <c r="FT77" s="7"/>
      <c r="FU77" s="7"/>
      <c r="FV77" s="7"/>
      <c r="FW77" s="7"/>
      <c r="FX77" s="7"/>
      <c r="FY77" s="7"/>
      <c r="FZ77" s="7"/>
      <c r="GA77" s="7"/>
      <c r="GB77" s="8">
        <f t="shared" si="4"/>
        <v>4359033.93</v>
      </c>
    </row>
    <row r="78" spans="1:184">
      <c r="A78" s="5" t="s">
        <v>259</v>
      </c>
      <c r="B78" s="6">
        <v>785668447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8">
        <f>965364.4</f>
        <v>965364.4</v>
      </c>
      <c r="BQ78" s="7"/>
      <c r="BR78" s="8">
        <f>555483.04</f>
        <v>555483.04</v>
      </c>
      <c r="BS78" s="7"/>
      <c r="BT78" s="8">
        <f>1113725.42</f>
        <v>1113725.42</v>
      </c>
      <c r="BU78" s="7"/>
      <c r="BV78" s="8">
        <f>667999.99</f>
        <v>667999.99</v>
      </c>
      <c r="BW78" s="7"/>
      <c r="BX78" s="8">
        <f>1517123.73</f>
        <v>1517123.73</v>
      </c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8">
        <f>1341450.83</f>
        <v>1341450.83</v>
      </c>
      <c r="DB78" s="7"/>
      <c r="DC78" s="8">
        <f>1020008.45</f>
        <v>1020008.45</v>
      </c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8">
        <f>231000</f>
        <v>231000</v>
      </c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8">
        <f>956661.02</f>
        <v>956661.02</v>
      </c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8">
        <f>811677.96</f>
        <v>811677.96</v>
      </c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8">
        <f>1664949.16</f>
        <v>1664949.16</v>
      </c>
      <c r="GB78" s="8">
        <f t="shared" si="4"/>
        <v>10845444</v>
      </c>
    </row>
    <row r="79" spans="1:184">
      <c r="A79" s="5" t="s">
        <v>260</v>
      </c>
      <c r="B79" s="6">
        <v>788574880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8">
        <f>1340627.11</f>
        <v>1340627.1100000001</v>
      </c>
      <c r="DE79" s="7"/>
      <c r="DF79" s="7"/>
      <c r="DG79" s="7"/>
      <c r="DH79" s="7"/>
      <c r="DI79" s="7"/>
      <c r="DJ79" s="8">
        <f>1341859.31</f>
        <v>1341859.31</v>
      </c>
      <c r="DK79" s="7"/>
      <c r="DL79" s="7"/>
      <c r="DM79" s="7"/>
      <c r="DN79" s="8">
        <f>1213508.46</f>
        <v>1213508.46</v>
      </c>
      <c r="DO79" s="7"/>
      <c r="DP79" s="7"/>
      <c r="DQ79" s="7"/>
      <c r="DR79" s="7"/>
      <c r="DS79" s="7"/>
      <c r="DT79" s="7"/>
      <c r="DU79" s="8">
        <f>1565271.18</f>
        <v>1565271.18</v>
      </c>
      <c r="DV79" s="7"/>
      <c r="DW79" s="7"/>
      <c r="DX79" s="7"/>
      <c r="DY79" s="7"/>
      <c r="DZ79" s="7"/>
      <c r="EA79" s="7"/>
      <c r="EB79" s="7"/>
      <c r="EC79" s="7"/>
      <c r="ED79" s="7"/>
      <c r="EE79" s="8">
        <f>1701711.86</f>
        <v>1701711.86</v>
      </c>
      <c r="EF79" s="8">
        <f>1447245.76</f>
        <v>1447245.76</v>
      </c>
      <c r="EG79" s="7"/>
      <c r="EH79" s="7"/>
      <c r="EI79" s="7"/>
      <c r="EJ79" s="7"/>
      <c r="EK79" s="8">
        <f>2118176.27</f>
        <v>2118176.27</v>
      </c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8">
        <f t="shared" si="4"/>
        <v>10728399.949999999</v>
      </c>
    </row>
    <row r="80" spans="1:184">
      <c r="A80" s="5" t="s">
        <v>261</v>
      </c>
      <c r="B80" s="6">
        <v>788300609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8">
        <f>2551525.42</f>
        <v>2551525.42</v>
      </c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8">
        <f>1831186.44</f>
        <v>1831186.44</v>
      </c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8">
        <f t="shared" si="4"/>
        <v>4382711.8599999994</v>
      </c>
    </row>
    <row r="81" spans="1:184">
      <c r="A81" s="5" t="s">
        <v>262</v>
      </c>
      <c r="B81" s="6">
        <v>101486430</v>
      </c>
      <c r="C81" s="7">
        <v>0</v>
      </c>
      <c r="D81" s="7">
        <v>0</v>
      </c>
      <c r="E81" s="7">
        <v>1009661.02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2773050.85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  <c r="BY81" s="7">
        <v>4501881.37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0</v>
      </c>
      <c r="DG81" s="7">
        <v>0</v>
      </c>
      <c r="DH81" s="7">
        <v>0</v>
      </c>
      <c r="DI81" s="7">
        <v>0</v>
      </c>
      <c r="DJ81" s="7">
        <v>0</v>
      </c>
      <c r="DK81" s="7">
        <v>0</v>
      </c>
      <c r="DL81" s="7">
        <v>0</v>
      </c>
      <c r="DM81" s="7">
        <v>0</v>
      </c>
      <c r="DN81" s="7">
        <v>0</v>
      </c>
      <c r="DO81" s="7">
        <v>0</v>
      </c>
      <c r="DP81" s="7">
        <v>0</v>
      </c>
      <c r="DQ81" s="7">
        <v>0</v>
      </c>
      <c r="DR81" s="7">
        <v>0</v>
      </c>
      <c r="DS81" s="7">
        <v>0</v>
      </c>
      <c r="DT81" s="7">
        <v>0</v>
      </c>
      <c r="DU81" s="7">
        <v>0</v>
      </c>
      <c r="DV81" s="7">
        <v>0</v>
      </c>
      <c r="DW81" s="7">
        <v>0</v>
      </c>
      <c r="DX81" s="7">
        <v>0</v>
      </c>
      <c r="DY81" s="7">
        <v>0</v>
      </c>
      <c r="DZ81" s="7">
        <v>0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0</v>
      </c>
      <c r="EM81" s="7">
        <v>0</v>
      </c>
      <c r="EN81" s="7">
        <v>0</v>
      </c>
      <c r="EO81" s="7">
        <v>0</v>
      </c>
      <c r="EP81" s="7">
        <v>0</v>
      </c>
      <c r="EQ81" s="7">
        <v>0</v>
      </c>
      <c r="ER81" s="7">
        <v>0</v>
      </c>
      <c r="ES81" s="7">
        <v>0</v>
      </c>
      <c r="ET81" s="7">
        <v>0</v>
      </c>
      <c r="EU81" s="7">
        <v>0</v>
      </c>
      <c r="EV81" s="7">
        <v>0</v>
      </c>
      <c r="EW81" s="7">
        <v>0</v>
      </c>
      <c r="EX81" s="7">
        <v>0</v>
      </c>
      <c r="EY81" s="7">
        <v>0</v>
      </c>
      <c r="EZ81" s="7">
        <v>0</v>
      </c>
      <c r="FA81" s="7">
        <v>0</v>
      </c>
      <c r="FB81" s="7">
        <v>0</v>
      </c>
      <c r="FC81" s="7">
        <v>0</v>
      </c>
      <c r="FD81" s="7">
        <v>0</v>
      </c>
      <c r="FE81" s="7">
        <v>0</v>
      </c>
      <c r="FF81" s="7">
        <v>0</v>
      </c>
      <c r="FG81" s="7">
        <v>0</v>
      </c>
      <c r="FH81" s="7">
        <v>0</v>
      </c>
      <c r="FI81" s="7">
        <v>0</v>
      </c>
      <c r="FJ81" s="7">
        <v>0</v>
      </c>
      <c r="FK81" s="7">
        <v>0</v>
      </c>
      <c r="FL81" s="7">
        <v>0</v>
      </c>
      <c r="FM81" s="7">
        <v>0</v>
      </c>
      <c r="FN81" s="7">
        <v>0</v>
      </c>
      <c r="FO81" s="7">
        <v>0</v>
      </c>
      <c r="FP81" s="7">
        <v>0</v>
      </c>
      <c r="FQ81" s="7">
        <v>0</v>
      </c>
      <c r="FR81" s="7">
        <v>0</v>
      </c>
      <c r="FS81" s="7">
        <v>0</v>
      </c>
      <c r="FT81" s="7">
        <v>0</v>
      </c>
      <c r="FU81" s="7">
        <v>1432245.75</v>
      </c>
      <c r="FV81" s="7">
        <v>0</v>
      </c>
      <c r="FW81" s="7">
        <v>280610.17</v>
      </c>
      <c r="FX81" s="7">
        <v>0</v>
      </c>
      <c r="FY81" s="7">
        <v>0</v>
      </c>
      <c r="FZ81" s="7">
        <v>0</v>
      </c>
      <c r="GA81" s="7">
        <v>1047550.84</v>
      </c>
      <c r="GB81" s="7">
        <v>11045000</v>
      </c>
    </row>
    <row r="82" spans="1:184">
      <c r="A82" s="5" t="s">
        <v>263</v>
      </c>
      <c r="B82" s="6">
        <v>788576035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8">
        <f>3802525.43</f>
        <v>3802525.43</v>
      </c>
      <c r="CO82" s="7"/>
      <c r="CP82" s="7"/>
      <c r="CQ82" s="8">
        <f>3609305.08</f>
        <v>3609305.08</v>
      </c>
      <c r="CR82" s="7"/>
      <c r="CS82" s="7"/>
      <c r="CT82" s="7"/>
      <c r="CU82" s="7"/>
      <c r="CV82" s="8">
        <f>3780491.53</f>
        <v>3780491.53</v>
      </c>
      <c r="CW82" s="7"/>
      <c r="CX82" s="7"/>
      <c r="CY82" s="7"/>
      <c r="CZ82" s="7"/>
      <c r="DA82" s="7"/>
      <c r="DB82" s="8">
        <f>3871593.22</f>
        <v>3871593.22</v>
      </c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8">
        <f>3852101.69</f>
        <v>3852101.69</v>
      </c>
      <c r="DN82" s="7"/>
      <c r="DO82" s="7"/>
      <c r="DP82" s="7"/>
      <c r="DQ82" s="7"/>
      <c r="DR82" s="7"/>
      <c r="DS82" s="8">
        <f>2975235.6</f>
        <v>2975235.6</v>
      </c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8">
        <f>959627.11</f>
        <v>959627.11</v>
      </c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8">
        <f t="shared" ref="GB82:GB89" si="5">((((((((((((((((((((((((((((((((((((((((((((((((((((((((((((((((((((((((((((((((((((((((((((((((((((((((((((((((((((((((((((((((((((((((((((((((((((((((((((((((((((((((((((((((((((C82)+(D82))+(E82))+(F82))+(G82))+(H82))+(I82))+(J82))+(K82))+(L82))+(M82))+(N82))+(O82))+(P82))+(Q82))+(R82))+(S82))+(T82))+(U82))+(V82))+(W82))+(X82))+(Y82))+(Z82))+(AA82))+(AB82))+(AC82))+(AD82))+(AE82))+(AF82))+(AG82))+(AH82))+(AI82))+(AJ82))+(AK82))+(AL82))+(AM82))+(AN82))+(AO82))+(AP82))+(AQ82))+(AR82))+(AS82))+(AT82))+(AU82))+(AV82))+(AW82))+(AX82))+(AY82))+(AZ82))+(BA82))+(BB82))+(BC82))+(BD82))+(BE82))+(BF82))+(BG82))+(BH82))+(BI82))+(BJ82))+(BK82))+(BL82))+(BM82))+(BN82))+(BO82))+(BP82))+(BQ82))+(BR82))+(BS82))+(BT82))+(BU82))+(BV82))+(BW82))+(BX82))+(BY82))+(BZ82))+(CA82))+(CB82))+(CC82))+(CD82))+(CE82))+(CF82))+(CG82))+(CH82))+(CI82))+(CJ82))+(CK82))+(CL82))+(CM82))+(CN82))+(CO82))+(CP82))+(CQ82))+(CR82))+(CS82))+(CT82))+(CU82))+(CV82))+(CW82))+(CX82))+(CY82))+(CZ82))+(DA82))+(DB82))+(DC82))+(DD82))+(DE82))+(DF82))+(DG82))+(DH82))+(DI82))+(DJ82))+(DK82))+(DL82))+(DM82))+(DN82))+(DO82))+(DP82))+(DQ82))+(DR82))+(DS82))+(DT82))+(DU82))+(DV82))+(DW82))+(DX82))+(DY82))+(DZ82))+(EA82))+(EB82))+(EC82))+(ED82))+(EE82))+(EF82))+(EG82))+(EH82))+(EI82))+(EJ82))+(EK82))+(EL82))+(EM82))+(EN82))+(EO82))+(EP82))+(EQ82))+(ER82))+(ES82))+(ET82))+(EU82))+(EV82))+(EW82))+(EX82))+(EY82))+(EZ82))+(FA82))+(FB82))+(FC82))+(FD82))+(FE82))+(FF82))+(FG82))+(FH82))+(FI82))+(FJ82))+(FK82))+(FL82))+(FM82))+(FN82))+(FO82))+(FP82))+(FQ82))+(FR82))+(FS82))+(FT82))+(FU82))+(FV82))+(FW82))+(FX82))+(FY82))+(FZ82))+(GA82)</f>
        <v>22850879.66</v>
      </c>
    </row>
    <row r="83" spans="1:184">
      <c r="A83" s="5" t="s">
        <v>264</v>
      </c>
      <c r="B83" s="6">
        <v>103383876</v>
      </c>
      <c r="C83" s="7"/>
      <c r="D83" s="7"/>
      <c r="E83" s="7"/>
      <c r="F83" s="7"/>
      <c r="G83" s="8">
        <f>484883.05</f>
        <v>484883.05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8">
        <f>1028466.95</f>
        <v>1028466.95</v>
      </c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8">
        <f>2850881.36</f>
        <v>2850881.36</v>
      </c>
      <c r="BK83" s="7"/>
      <c r="BL83" s="7"/>
      <c r="BM83" s="7"/>
      <c r="BN83" s="7"/>
      <c r="BO83" s="7"/>
      <c r="BP83" s="7"/>
      <c r="BQ83" s="7"/>
      <c r="BR83" s="7"/>
      <c r="BS83" s="8">
        <f>1073220.34</f>
        <v>1073220.3400000001</v>
      </c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8">
        <f t="shared" si="5"/>
        <v>5437451.6999999993</v>
      </c>
    </row>
    <row r="84" spans="1:184">
      <c r="A84" s="5" t="s">
        <v>265</v>
      </c>
      <c r="B84" s="6">
        <v>788646290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8">
        <f>8605.08</f>
        <v>8605.08</v>
      </c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8">
        <f t="shared" si="5"/>
        <v>8605.08</v>
      </c>
    </row>
    <row r="85" spans="1:184">
      <c r="A85" s="5" t="s">
        <v>266</v>
      </c>
      <c r="B85" s="6">
        <v>788310260</v>
      </c>
      <c r="C85" s="7"/>
      <c r="D85" s="7"/>
      <c r="E85" s="7"/>
      <c r="F85" s="7"/>
      <c r="G85" s="7"/>
      <c r="H85" s="7"/>
      <c r="I85" s="7"/>
      <c r="J85" s="7"/>
      <c r="K85" s="7"/>
      <c r="L85" s="8">
        <f>736254.23</f>
        <v>736254.23</v>
      </c>
      <c r="M85" s="7"/>
      <c r="N85" s="7"/>
      <c r="O85" s="8">
        <f>401406.78</f>
        <v>401406.78</v>
      </c>
      <c r="P85" s="7"/>
      <c r="Q85" s="7"/>
      <c r="R85" s="7"/>
      <c r="S85" s="7"/>
      <c r="T85" s="8">
        <f>761025.42</f>
        <v>761025.42</v>
      </c>
      <c r="U85" s="7"/>
      <c r="V85" s="7"/>
      <c r="W85" s="7"/>
      <c r="X85" s="7"/>
      <c r="Y85" s="7"/>
      <c r="Z85" s="7"/>
      <c r="AA85" s="7"/>
      <c r="AB85" s="8">
        <f>1093593.22</f>
        <v>1093593.22</v>
      </c>
      <c r="AC85" s="7"/>
      <c r="AD85" s="7"/>
      <c r="AE85" s="7"/>
      <c r="AF85" s="7"/>
      <c r="AG85" s="7"/>
      <c r="AH85" s="8">
        <f>1452771.19</f>
        <v>1452771.19</v>
      </c>
      <c r="AI85" s="7"/>
      <c r="AJ85" s="7"/>
      <c r="AK85" s="7"/>
      <c r="AL85" s="7"/>
      <c r="AM85" s="7"/>
      <c r="AN85" s="8">
        <f>951999.99</f>
        <v>951999.99</v>
      </c>
      <c r="AO85" s="7"/>
      <c r="AP85" s="7"/>
      <c r="AQ85" s="8">
        <f>303915.25</f>
        <v>303915.25</v>
      </c>
      <c r="AR85" s="7"/>
      <c r="AS85" s="7"/>
      <c r="AT85" s="8">
        <f>984432.2</f>
        <v>984432.2</v>
      </c>
      <c r="AU85" s="7"/>
      <c r="AV85" s="7"/>
      <c r="AW85" s="7"/>
      <c r="AX85" s="7"/>
      <c r="AY85" s="7"/>
      <c r="AZ85" s="7"/>
      <c r="BA85" s="7"/>
      <c r="BB85" s="7"/>
      <c r="BC85" s="8">
        <f>1494737.28</f>
        <v>1494737.28</v>
      </c>
      <c r="BD85" s="7"/>
      <c r="BE85" s="7"/>
      <c r="BF85" s="7"/>
      <c r="BG85" s="7"/>
      <c r="BH85" s="8">
        <f>777813.56</f>
        <v>777813.56</v>
      </c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8">
        <f>1361000</f>
        <v>1361000</v>
      </c>
      <c r="BT85" s="7"/>
      <c r="BU85" s="7"/>
      <c r="BV85" s="7"/>
      <c r="BW85" s="7"/>
      <c r="BX85" s="7"/>
      <c r="BY85" s="7"/>
      <c r="BZ85" s="7"/>
      <c r="CA85" s="8">
        <f>1022974.58</f>
        <v>1022974.58</v>
      </c>
      <c r="CB85" s="7"/>
      <c r="CC85" s="7"/>
      <c r="CD85" s="7"/>
      <c r="CE85" s="7"/>
      <c r="CF85" s="7"/>
      <c r="CG85" s="8">
        <f>945838.98</f>
        <v>945838.98</v>
      </c>
      <c r="CH85" s="7"/>
      <c r="CI85" s="7"/>
      <c r="CJ85" s="7"/>
      <c r="CK85" s="7"/>
      <c r="CL85" s="7"/>
      <c r="CM85" s="7"/>
      <c r="CN85" s="7"/>
      <c r="CO85" s="8">
        <f>1336652.54</f>
        <v>1336652.54</v>
      </c>
      <c r="CP85" s="7"/>
      <c r="CQ85" s="7"/>
      <c r="CR85" s="7"/>
      <c r="CS85" s="8">
        <f>1158796.61</f>
        <v>1158796.6100000001</v>
      </c>
      <c r="CT85" s="7"/>
      <c r="CU85" s="7"/>
      <c r="CV85" s="7"/>
      <c r="CW85" s="7"/>
      <c r="CX85" s="7"/>
      <c r="CY85" s="8">
        <f>1366542.38</f>
        <v>1366542.38</v>
      </c>
      <c r="CZ85" s="7"/>
      <c r="DA85" s="7"/>
      <c r="DB85" s="7"/>
      <c r="DC85" s="7"/>
      <c r="DD85" s="7"/>
      <c r="DE85" s="8">
        <f>1363737.28</f>
        <v>1363737.28</v>
      </c>
      <c r="DF85" s="7"/>
      <c r="DG85" s="7"/>
      <c r="DH85" s="7"/>
      <c r="DI85" s="7"/>
      <c r="DJ85" s="7"/>
      <c r="DK85" s="7"/>
      <c r="DL85" s="7"/>
      <c r="DM85" s="8">
        <f>1465728.82</f>
        <v>1465728.82</v>
      </c>
      <c r="DN85" s="7"/>
      <c r="DO85" s="7"/>
      <c r="DP85" s="7"/>
      <c r="DQ85" s="7"/>
      <c r="DR85" s="7"/>
      <c r="DS85" s="8">
        <f>1623355.94</f>
        <v>1623355.94</v>
      </c>
      <c r="DT85" s="7"/>
      <c r="DU85" s="7"/>
      <c r="DV85" s="7"/>
      <c r="DW85" s="7"/>
      <c r="DX85" s="7"/>
      <c r="DY85" s="8">
        <f>1023506.79</f>
        <v>1023506.79</v>
      </c>
      <c r="DZ85" s="7"/>
      <c r="EA85" s="7"/>
      <c r="EB85" s="8">
        <f>1071616.95</f>
        <v>1071616.95</v>
      </c>
      <c r="EC85" s="7"/>
      <c r="ED85" s="7"/>
      <c r="EE85" s="7"/>
      <c r="EF85" s="8">
        <f>1363525.41</f>
        <v>1363525.41</v>
      </c>
      <c r="EG85" s="7"/>
      <c r="EH85" s="7"/>
      <c r="EI85" s="7"/>
      <c r="EJ85" s="7"/>
      <c r="EK85" s="7"/>
      <c r="EL85" s="8">
        <f>848027.12</f>
        <v>848027.12</v>
      </c>
      <c r="EM85" s="7"/>
      <c r="EN85" s="7"/>
      <c r="EO85" s="7"/>
      <c r="EP85" s="7"/>
      <c r="EQ85" s="8">
        <f>1838889.82</f>
        <v>1838889.82</v>
      </c>
      <c r="ER85" s="7"/>
      <c r="ES85" s="7"/>
      <c r="ET85" s="8">
        <f>1008974.57</f>
        <v>1008974.57</v>
      </c>
      <c r="EU85" s="7"/>
      <c r="EV85" s="7"/>
      <c r="EW85" s="8">
        <f>1311618.65</f>
        <v>1311618.6499999999</v>
      </c>
      <c r="EX85" s="7"/>
      <c r="EY85" s="7"/>
      <c r="EZ85" s="7"/>
      <c r="FA85" s="7"/>
      <c r="FB85" s="7"/>
      <c r="FC85" s="8">
        <f>1251320.33</f>
        <v>1251320.33</v>
      </c>
      <c r="FD85" s="8">
        <f>222949.15</f>
        <v>222949.15</v>
      </c>
      <c r="FE85" s="7"/>
      <c r="FF85" s="7"/>
      <c r="FG85" s="8">
        <f>1321135.59</f>
        <v>1321135.5900000001</v>
      </c>
      <c r="FH85" s="7"/>
      <c r="FI85" s="7"/>
      <c r="FJ85" s="8">
        <f>868067.79</f>
        <v>868067.79</v>
      </c>
      <c r="FK85" s="7"/>
      <c r="FL85" s="7"/>
      <c r="FM85" s="8">
        <f>483838.98</f>
        <v>483838.98</v>
      </c>
      <c r="FN85" s="7"/>
      <c r="FO85" s="7"/>
      <c r="FP85" s="7"/>
      <c r="FQ85" s="7"/>
      <c r="FR85" s="7"/>
      <c r="FS85" s="7"/>
      <c r="FT85" s="7"/>
      <c r="FU85" s="7"/>
      <c r="FV85" s="7"/>
      <c r="FW85" s="8">
        <f>1198201.69</f>
        <v>1198201.69</v>
      </c>
      <c r="FX85" s="7"/>
      <c r="FY85" s="7"/>
      <c r="FZ85" s="7"/>
      <c r="GA85" s="7"/>
      <c r="GB85" s="8">
        <f t="shared" si="5"/>
        <v>34414249.089999996</v>
      </c>
    </row>
    <row r="86" spans="1:184">
      <c r="A86" s="5" t="s">
        <v>267</v>
      </c>
      <c r="B86" s="6">
        <v>788877842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8">
        <f>280127.12</f>
        <v>280127.12</v>
      </c>
      <c r="N86" s="7"/>
      <c r="O86" s="7"/>
      <c r="P86" s="7"/>
      <c r="Q86" s="7"/>
      <c r="R86" s="7"/>
      <c r="S86" s="7"/>
      <c r="T86" s="7"/>
      <c r="U86" s="7"/>
      <c r="V86" s="8">
        <f>207236.43</f>
        <v>207236.43</v>
      </c>
      <c r="W86" s="7"/>
      <c r="X86" s="7"/>
      <c r="Y86" s="7"/>
      <c r="Z86" s="7"/>
      <c r="AA86" s="7"/>
      <c r="AB86" s="7"/>
      <c r="AC86" s="7"/>
      <c r="AD86" s="7"/>
      <c r="AE86" s="7"/>
      <c r="AF86" s="8">
        <f>256952.55</f>
        <v>256952.55</v>
      </c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8">
        <f>387664.4</f>
        <v>387664.4</v>
      </c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8">
        <f>356389.84</f>
        <v>356389.84</v>
      </c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8">
        <f t="shared" si="5"/>
        <v>1488370.34</v>
      </c>
    </row>
    <row r="87" spans="1:184">
      <c r="A87" s="5" t="s">
        <v>268</v>
      </c>
      <c r="B87" s="6">
        <v>782048661</v>
      </c>
      <c r="C87" s="7"/>
      <c r="D87" s="8">
        <f>377042.37</f>
        <v>377042.37</v>
      </c>
      <c r="E87" s="7"/>
      <c r="F87" s="7"/>
      <c r="G87" s="7"/>
      <c r="H87" s="7"/>
      <c r="I87" s="8">
        <f>497203.39</f>
        <v>497203.39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8">
        <f>623915.25</f>
        <v>623915.25</v>
      </c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8">
        <f>436152.54</f>
        <v>436152.54</v>
      </c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8">
        <f>408684.75</f>
        <v>408684.75</v>
      </c>
      <c r="BF87" s="7"/>
      <c r="BG87" s="7"/>
      <c r="BH87" s="7"/>
      <c r="BI87" s="7"/>
      <c r="BJ87" s="8">
        <f>687491.52</f>
        <v>687491.52</v>
      </c>
      <c r="BK87" s="7"/>
      <c r="BL87" s="8">
        <f>815067.79</f>
        <v>815067.79</v>
      </c>
      <c r="BM87" s="8">
        <f>1165042.38</f>
        <v>1165042.3799999999</v>
      </c>
      <c r="BN87" s="8">
        <f>84355.93</f>
        <v>84355.93</v>
      </c>
      <c r="BO87" s="8">
        <f>1014516.95</f>
        <v>1014516.95</v>
      </c>
      <c r="BP87" s="7"/>
      <c r="BQ87" s="7"/>
      <c r="BR87" s="7"/>
      <c r="BS87" s="7"/>
      <c r="BT87" s="7"/>
      <c r="BU87" s="8">
        <f>1015425.41</f>
        <v>1015425.41</v>
      </c>
      <c r="BV87" s="7"/>
      <c r="BW87" s="7"/>
      <c r="BX87" s="8">
        <f>811772.88</f>
        <v>811772.88</v>
      </c>
      <c r="BY87" s="7"/>
      <c r="BZ87" s="7"/>
      <c r="CA87" s="8">
        <f>436347.46</f>
        <v>436347.46</v>
      </c>
      <c r="CB87" s="7"/>
      <c r="CC87" s="7"/>
      <c r="CD87" s="8">
        <f>868703.39</f>
        <v>868703.39</v>
      </c>
      <c r="CE87" s="7"/>
      <c r="CF87" s="7"/>
      <c r="CG87" s="8">
        <f>771211.86</f>
        <v>771211.86</v>
      </c>
      <c r="CH87" s="8">
        <f>133737.29</f>
        <v>133737.29</v>
      </c>
      <c r="CI87" s="7"/>
      <c r="CJ87" s="7"/>
      <c r="CK87" s="7"/>
      <c r="CL87" s="7"/>
      <c r="CM87" s="7"/>
      <c r="CN87" s="7"/>
      <c r="CO87" s="7"/>
      <c r="CP87" s="8">
        <f>565847.45</f>
        <v>565847.44999999995</v>
      </c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8">
        <f>1235771.18</f>
        <v>1235771.18</v>
      </c>
      <c r="DE87" s="7"/>
      <c r="DF87" s="7"/>
      <c r="DG87" s="7"/>
      <c r="DH87" s="8">
        <f>769940.68</f>
        <v>769940.68</v>
      </c>
      <c r="DI87" s="7"/>
      <c r="DJ87" s="7"/>
      <c r="DK87" s="7"/>
      <c r="DL87" s="7"/>
      <c r="DM87" s="8">
        <f>830762.7</f>
        <v>830762.7</v>
      </c>
      <c r="DN87" s="7"/>
      <c r="DO87" s="7"/>
      <c r="DP87" s="7"/>
      <c r="DQ87" s="8">
        <f>431932.2</f>
        <v>431932.2</v>
      </c>
      <c r="DR87" s="7"/>
      <c r="DS87" s="7"/>
      <c r="DT87" s="7"/>
      <c r="DU87" s="7"/>
      <c r="DV87" s="7"/>
      <c r="DW87" s="7"/>
      <c r="DX87" s="8">
        <f>861194.92</f>
        <v>861194.92</v>
      </c>
      <c r="DY87" s="7"/>
      <c r="DZ87" s="8">
        <f>634949.15</f>
        <v>634949.15</v>
      </c>
      <c r="EA87" s="7"/>
      <c r="EB87" s="8">
        <f>441661.03</f>
        <v>441661.03</v>
      </c>
      <c r="EC87" s="7"/>
      <c r="ED87" s="7"/>
      <c r="EE87" s="7"/>
      <c r="EF87" s="7"/>
      <c r="EG87" s="8">
        <f>550169.5</f>
        <v>550169.5</v>
      </c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8">
        <f t="shared" si="5"/>
        <v>16468899.969999995</v>
      </c>
    </row>
    <row r="88" spans="1:184">
      <c r="A88" s="5" t="s">
        <v>269</v>
      </c>
      <c r="B88" s="6">
        <v>102505180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8">
        <f>289459.32</f>
        <v>289459.32</v>
      </c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8">
        <f t="shared" si="5"/>
        <v>289459.32</v>
      </c>
    </row>
    <row r="89" spans="1:184">
      <c r="A89" s="5" t="s">
        <v>270</v>
      </c>
      <c r="B89" s="6">
        <v>788601982</v>
      </c>
      <c r="C89" s="7"/>
      <c r="D89" s="8">
        <f>581983.06</f>
        <v>581983.06000000006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8">
        <f>584754.23</f>
        <v>584754.23</v>
      </c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8">
        <f>848169.5</f>
        <v>848169.5</v>
      </c>
      <c r="BO89" s="7"/>
      <c r="BP89" s="7"/>
      <c r="BQ89" s="7"/>
      <c r="BR89" s="7"/>
      <c r="BS89" s="7"/>
      <c r="BT89" s="8">
        <f>879313.56</f>
        <v>879313.56</v>
      </c>
      <c r="BU89" s="7"/>
      <c r="BV89" s="7"/>
      <c r="BW89" s="8">
        <f>796245.76</f>
        <v>796245.76</v>
      </c>
      <c r="BX89" s="7"/>
      <c r="BY89" s="7"/>
      <c r="BZ89" s="8">
        <f>800042.37</f>
        <v>800042.37</v>
      </c>
      <c r="CA89" s="7"/>
      <c r="CB89" s="7"/>
      <c r="CC89" s="7"/>
      <c r="CD89" s="7"/>
      <c r="CE89" s="7"/>
      <c r="CF89" s="7"/>
      <c r="CG89" s="7"/>
      <c r="CH89" s="7"/>
      <c r="CI89" s="7"/>
      <c r="CJ89" s="8">
        <f>1147830.52</f>
        <v>1147830.52</v>
      </c>
      <c r="CK89" s="7"/>
      <c r="CL89" s="7"/>
      <c r="CM89" s="7"/>
      <c r="CN89" s="7"/>
      <c r="CO89" s="8">
        <f>1109694.9</f>
        <v>1109694.8999999999</v>
      </c>
      <c r="CP89" s="7"/>
      <c r="CQ89" s="7"/>
      <c r="CR89" s="8">
        <f>1148254.23</f>
        <v>1148254.23</v>
      </c>
      <c r="CS89" s="7"/>
      <c r="CT89" s="7"/>
      <c r="CU89" s="7"/>
      <c r="CV89" s="8">
        <f>1326923.71</f>
        <v>1326923.71</v>
      </c>
      <c r="CW89" s="8">
        <f>2154915.26</f>
        <v>2154915.2599999998</v>
      </c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8">
        <f>1154415.26</f>
        <v>1154415.26</v>
      </c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8">
        <f>1050144.07</f>
        <v>1050144.07</v>
      </c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8">
        <f t="shared" si="5"/>
        <v>13582686.43</v>
      </c>
    </row>
    <row r="90" spans="1:184">
      <c r="A90" s="5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</row>
    <row r="91" spans="1:184">
      <c r="B91" s="6"/>
    </row>
    <row r="92" spans="1:184">
      <c r="B92" s="6"/>
    </row>
    <row r="94" spans="1:184">
      <c r="B94"/>
    </row>
  </sheetData>
  <autoFilter ref="A4:GB8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" workbookViewId="0">
      <selection activeCell="H24" sqref="H24"/>
    </sheetView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8FEA4A25362A4CBBA15C911EB28268" ma:contentTypeVersion="5" ma:contentTypeDescription="Create a new document." ma:contentTypeScope="" ma:versionID="ba56bee7249520df554bc3142332da95">
  <xsd:schema xmlns:xsd="http://www.w3.org/2001/XMLSchema" xmlns:xs="http://www.w3.org/2001/XMLSchema" xmlns:p="http://schemas.microsoft.com/office/2006/metadata/properties" xmlns:ns2="ec489717-9583-44ad-9890-f316099f302e" xmlns:ns3="6972395a-11a3-49e2-81a3-1e82e40b83f5" targetNamespace="http://schemas.microsoft.com/office/2006/metadata/properties" ma:root="true" ma:fieldsID="026425e51105a3b5d4de1667643c7ce1" ns2:_="" ns3:_="">
    <xsd:import namespace="ec489717-9583-44ad-9890-f316099f302e"/>
    <xsd:import namespace="6972395a-11a3-49e2-81a3-1e82e40b83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489717-9583-44ad-9890-f316099f3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2395a-11a3-49e2-81a3-1e82e40b83f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6C5642-07F1-4375-88A8-7A6AE00995F8}"/>
</file>

<file path=customXml/itemProps2.xml><?xml version="1.0" encoding="utf-8"?>
<ds:datastoreItem xmlns:ds="http://schemas.openxmlformats.org/officeDocument/2006/customXml" ds:itemID="{CC82FC0C-A877-4466-9F38-A40B5F2675CB}"/>
</file>

<file path=customXml/itemProps3.xml><?xml version="1.0" encoding="utf-8"?>
<ds:datastoreItem xmlns:ds="http://schemas.openxmlformats.org/officeDocument/2006/customXml" ds:itemID="{177FE81A-0DF8-4018-9C8F-2439DCDC76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Felix Muumbi</cp:lastModifiedBy>
  <cp:revision/>
  <dcterms:created xsi:type="dcterms:W3CDTF">2023-07-18T12:10:33Z</dcterms:created>
  <dcterms:modified xsi:type="dcterms:W3CDTF">2023-07-26T11:10:31Z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0x0101007B8FEA4A25362A4CBBA15C911EB28268</vt:lpwstr>
  </property>
</Properties>
</file>