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NathanOh\Desktop\Personal\Research Reports\MSFT\"/>
    </mc:Choice>
  </mc:AlternateContent>
  <xr:revisionPtr revIDLastSave="0" documentId="13_ncr:1_{EE07810C-BD5A-4000-BEA0-F02920C5FEE5}" xr6:coauthVersionLast="47" xr6:coauthVersionMax="47" xr10:uidLastSave="{00000000-0000-0000-0000-000000000000}"/>
  <bookViews>
    <workbookView xWindow="19090" yWindow="-110" windowWidth="38620" windowHeight="21100" activeTab="4" xr2:uid="{29955911-6F9E-4337-8672-EC64E6EF984B}"/>
  </bookViews>
  <sheets>
    <sheet name="Assumptions" sheetId="9" r:id="rId1"/>
    <sheet name="Income Statement" sheetId="1" r:id="rId2"/>
    <sheet name="Balance Sheet" sheetId="4" r:id="rId3"/>
    <sheet name="Cash Flow" sheetId="6" r:id="rId4"/>
    <sheet name="Model Notes" sheetId="10" r:id="rId5"/>
    <sheet name="BS - Raw Data" sheetId="5" r:id="rId6"/>
    <sheet name="IS - Raw Data" sheetId="3" r:id="rId7"/>
    <sheet name="CF - Raw Data"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6" l="1"/>
  <c r="H18" i="6"/>
  <c r="I18" i="6"/>
  <c r="J18" i="6"/>
  <c r="F18" i="6"/>
  <c r="G14" i="4"/>
  <c r="H14" i="4"/>
  <c r="I14" i="4"/>
  <c r="J14" i="4"/>
  <c r="F14" i="4"/>
  <c r="G15" i="6"/>
  <c r="H15" i="6"/>
  <c r="I15" i="6"/>
  <c r="J15" i="6"/>
  <c r="F15" i="6"/>
  <c r="G6" i="4"/>
  <c r="G9" i="6" s="1"/>
  <c r="H6" i="4"/>
  <c r="I6" i="4"/>
  <c r="J9" i="6" s="1"/>
  <c r="J6" i="4"/>
  <c r="G7" i="4"/>
  <c r="H7" i="4"/>
  <c r="I7" i="4"/>
  <c r="J7" i="4"/>
  <c r="G8" i="4"/>
  <c r="H8" i="4" s="1"/>
  <c r="G9" i="4"/>
  <c r="G17" i="4" s="1"/>
  <c r="H17" i="4" s="1"/>
  <c r="I17" i="4" s="1"/>
  <c r="J17" i="4" s="1"/>
  <c r="H9" i="4"/>
  <c r="I9" i="4"/>
  <c r="J9" i="4"/>
  <c r="G10" i="4"/>
  <c r="H10" i="4"/>
  <c r="I10" i="4" s="1"/>
  <c r="J10" i="4" s="1"/>
  <c r="G15" i="4"/>
  <c r="H15" i="4"/>
  <c r="I15" i="4"/>
  <c r="I11" i="6" s="1"/>
  <c r="J15" i="4"/>
  <c r="G16" i="4"/>
  <c r="G12" i="6" s="1"/>
  <c r="H16" i="4"/>
  <c r="H12" i="6" s="1"/>
  <c r="I16" i="4"/>
  <c r="J16" i="4"/>
  <c r="J12" i="6" s="1"/>
  <c r="G18" i="4"/>
  <c r="G13" i="6" s="1"/>
  <c r="H18" i="4"/>
  <c r="I18" i="4"/>
  <c r="I13" i="6" s="1"/>
  <c r="J18" i="4"/>
  <c r="G19" i="4"/>
  <c r="H19" i="4"/>
  <c r="I19" i="4"/>
  <c r="J19" i="4"/>
  <c r="G23" i="4"/>
  <c r="G19" i="6" s="1"/>
  <c r="H23" i="4"/>
  <c r="I23" i="4"/>
  <c r="J23" i="4"/>
  <c r="G25" i="4"/>
  <c r="H25" i="4" s="1"/>
  <c r="G25" i="6"/>
  <c r="H25" i="6"/>
  <c r="I25" i="6"/>
  <c r="J25" i="6"/>
  <c r="G26" i="6"/>
  <c r="H26" i="6"/>
  <c r="I26" i="6"/>
  <c r="J26" i="6"/>
  <c r="I19" i="6"/>
  <c r="J19" i="6"/>
  <c r="G20" i="6"/>
  <c r="H20" i="6"/>
  <c r="I20" i="6"/>
  <c r="J20" i="6"/>
  <c r="G21" i="6"/>
  <c r="G24" i="4" s="1"/>
  <c r="G7" i="6"/>
  <c r="H7" i="6"/>
  <c r="I7" i="6"/>
  <c r="J7" i="6"/>
  <c r="G10" i="6"/>
  <c r="H10" i="6"/>
  <c r="I10" i="6"/>
  <c r="J10" i="6"/>
  <c r="G11" i="6"/>
  <c r="H11" i="6"/>
  <c r="I12" i="6"/>
  <c r="G14" i="6"/>
  <c r="H14" i="6"/>
  <c r="I14" i="6"/>
  <c r="J14" i="6"/>
  <c r="F14" i="6"/>
  <c r="F13" i="6"/>
  <c r="F18" i="4"/>
  <c r="F19" i="4"/>
  <c r="F19" i="6"/>
  <c r="F23" i="4"/>
  <c r="F21" i="6"/>
  <c r="F26" i="6"/>
  <c r="F10" i="4" s="1"/>
  <c r="F7" i="6"/>
  <c r="F9" i="4"/>
  <c r="F17" i="4" s="1"/>
  <c r="F12" i="6"/>
  <c r="F16" i="4"/>
  <c r="F11" i="6"/>
  <c r="F15" i="4"/>
  <c r="F7" i="4"/>
  <c r="F10" i="6" s="1"/>
  <c r="F25" i="4"/>
  <c r="F6" i="4"/>
  <c r="F9" i="6" s="1"/>
  <c r="D49" i="9"/>
  <c r="H49" i="9" s="1"/>
  <c r="E49" i="9"/>
  <c r="C49" i="9"/>
  <c r="G49" i="9" s="1"/>
  <c r="H20" i="4" l="1"/>
  <c r="I25" i="4"/>
  <c r="H21" i="6"/>
  <c r="H24" i="4" s="1"/>
  <c r="I8" i="4"/>
  <c r="H19" i="6"/>
  <c r="I9" i="6"/>
  <c r="H9" i="6"/>
  <c r="G20" i="4"/>
  <c r="J13" i="6"/>
  <c r="H13" i="6"/>
  <c r="J11" i="6"/>
  <c r="F49" i="9"/>
  <c r="J49" i="9"/>
  <c r="I49" i="9"/>
  <c r="G45" i="9"/>
  <c r="H45" i="9" s="1"/>
  <c r="F45" i="9"/>
  <c r="J8" i="4" l="1"/>
  <c r="I21" i="6"/>
  <c r="I24" i="4" s="1"/>
  <c r="J24" i="4" s="1"/>
  <c r="J25" i="4"/>
  <c r="J21" i="6" s="1"/>
  <c r="J20" i="4"/>
  <c r="I20" i="4"/>
  <c r="I45" i="9"/>
  <c r="J45" i="9" s="1"/>
  <c r="G26" i="4" l="1"/>
  <c r="H26" i="4"/>
  <c r="G41" i="9"/>
  <c r="H41" i="9"/>
  <c r="I41" i="9"/>
  <c r="J41" i="9"/>
  <c r="F41" i="9"/>
  <c r="E39" i="9"/>
  <c r="D39" i="9"/>
  <c r="E36" i="9"/>
  <c r="D36" i="9"/>
  <c r="F36" i="9" s="1"/>
  <c r="G36" i="9" s="1"/>
  <c r="H36" i="9" s="1"/>
  <c r="I36" i="9" s="1"/>
  <c r="J36" i="9" s="1"/>
  <c r="F39" i="9" l="1"/>
  <c r="G39" i="9" s="1"/>
  <c r="H39" i="9" s="1"/>
  <c r="I39" i="9" s="1"/>
  <c r="J39" i="9" s="1"/>
  <c r="J26" i="4"/>
  <c r="I26" i="4"/>
  <c r="C35" i="9"/>
  <c r="G46" i="9" l="1"/>
  <c r="H46" i="9"/>
  <c r="I46" i="9"/>
  <c r="J46" i="9"/>
  <c r="F46" i="9"/>
  <c r="F27" i="9"/>
  <c r="E33" i="9"/>
  <c r="D33" i="9"/>
  <c r="E34" i="9"/>
  <c r="D34" i="9"/>
  <c r="C34" i="9"/>
  <c r="J34" i="9" s="1"/>
  <c r="C33" i="9"/>
  <c r="D32" i="9"/>
  <c r="E32" i="9"/>
  <c r="C32" i="9"/>
  <c r="D29" i="9"/>
  <c r="E29" i="9"/>
  <c r="C29" i="9"/>
  <c r="D28" i="9"/>
  <c r="J28" i="9" s="1"/>
  <c r="E28" i="9"/>
  <c r="C28" i="9"/>
  <c r="D27" i="9"/>
  <c r="E27" i="9"/>
  <c r="C27" i="9"/>
  <c r="J27" i="9" s="1"/>
  <c r="D23" i="9"/>
  <c r="E23" i="9"/>
  <c r="C23" i="9"/>
  <c r="G23" i="9" s="1"/>
  <c r="G22" i="1" s="1"/>
  <c r="C21" i="9"/>
  <c r="D19" i="9"/>
  <c r="E19" i="9"/>
  <c r="C19" i="9"/>
  <c r="G29" i="9" l="1"/>
  <c r="I29" i="9"/>
  <c r="H29" i="9"/>
  <c r="J29" i="9"/>
  <c r="I28" i="9"/>
  <c r="J19" i="9"/>
  <c r="J16" i="1" s="1"/>
  <c r="J32" i="9"/>
  <c r="J33" i="9"/>
  <c r="G32" i="9"/>
  <c r="I32" i="9"/>
  <c r="H27" i="9"/>
  <c r="H33" i="9"/>
  <c r="F32" i="9"/>
  <c r="H32" i="9"/>
  <c r="G27" i="9"/>
  <c r="I27" i="9"/>
  <c r="F28" i="9"/>
  <c r="F34" i="9"/>
  <c r="F33" i="9"/>
  <c r="I33" i="9"/>
  <c r="F29" i="9"/>
  <c r="G34" i="9"/>
  <c r="G33" i="9"/>
  <c r="H34" i="9"/>
  <c r="H28" i="9"/>
  <c r="I34" i="9"/>
  <c r="G28" i="9"/>
  <c r="I19" i="9"/>
  <c r="I16" i="1" s="1"/>
  <c r="F19" i="9"/>
  <c r="F16" i="1" s="1"/>
  <c r="J23" i="9"/>
  <c r="J22" i="1" s="1"/>
  <c r="G19" i="9"/>
  <c r="G16" i="1" s="1"/>
  <c r="F23" i="9"/>
  <c r="F22" i="1" s="1"/>
  <c r="I23" i="9"/>
  <c r="I22" i="1" s="1"/>
  <c r="H23" i="9"/>
  <c r="H22" i="1" s="1"/>
  <c r="H19" i="9"/>
  <c r="H16" i="1" s="1"/>
  <c r="G17" i="9"/>
  <c r="H17" i="9"/>
  <c r="I17" i="9"/>
  <c r="J17" i="9"/>
  <c r="F17" i="9"/>
  <c r="F13" i="1" s="1"/>
  <c r="D13" i="9"/>
  <c r="E13" i="9"/>
  <c r="D14" i="9"/>
  <c r="E14" i="9"/>
  <c r="D15" i="9"/>
  <c r="E15" i="9"/>
  <c r="C14" i="9"/>
  <c r="C15" i="9"/>
  <c r="C13" i="9"/>
  <c r="E17" i="9"/>
  <c r="D17" i="9"/>
  <c r="F7" i="1"/>
  <c r="E10" i="9"/>
  <c r="D10" i="9"/>
  <c r="D7" i="9"/>
  <c r="E7" i="9"/>
  <c r="D8" i="9"/>
  <c r="E8" i="9"/>
  <c r="C8" i="9"/>
  <c r="C7" i="9"/>
  <c r="G2" i="6"/>
  <c r="H2" i="6" s="1"/>
  <c r="I2" i="6" s="1"/>
  <c r="J2" i="6" s="1"/>
  <c r="G2" i="4"/>
  <c r="H2" i="4" s="1"/>
  <c r="I2" i="4" s="1"/>
  <c r="J2" i="4" s="1"/>
  <c r="G2" i="1"/>
  <c r="H2" i="1" s="1"/>
  <c r="I2" i="1" s="1"/>
  <c r="J2" i="1" s="1"/>
  <c r="XFD2" i="9"/>
  <c r="G3" i="9"/>
  <c r="H3" i="9" s="1"/>
  <c r="I3" i="9" s="1"/>
  <c r="J3" i="9" s="1"/>
  <c r="D3" i="9"/>
  <c r="E3" i="9" s="1"/>
  <c r="G7" i="1" l="1"/>
  <c r="F15" i="1"/>
  <c r="F18" i="1" s="1"/>
  <c r="G13" i="1"/>
  <c r="F10" i="1"/>
  <c r="F12" i="1"/>
  <c r="F11" i="1"/>
  <c r="F6" i="1"/>
  <c r="F5" i="1"/>
  <c r="G6" i="1"/>
  <c r="G5" i="1"/>
  <c r="C31" i="6"/>
  <c r="E31" i="6"/>
  <c r="D31" i="6"/>
  <c r="D29" i="6"/>
  <c r="D48" i="9" s="1"/>
  <c r="E29" i="6"/>
  <c r="E48" i="9" s="1"/>
  <c r="C29" i="6"/>
  <c r="C48" i="9" s="1"/>
  <c r="D22" i="6"/>
  <c r="E26" i="6"/>
  <c r="D26" i="6"/>
  <c r="E25" i="6"/>
  <c r="D25" i="6"/>
  <c r="C26" i="6"/>
  <c r="C25" i="6"/>
  <c r="C44" i="9" s="1"/>
  <c r="C30" i="4"/>
  <c r="D2" i="6"/>
  <c r="E2" i="6" s="1"/>
  <c r="C28" i="4"/>
  <c r="E26" i="4"/>
  <c r="D26" i="4"/>
  <c r="C26" i="4"/>
  <c r="E25" i="4"/>
  <c r="D25" i="4"/>
  <c r="E24" i="4"/>
  <c r="D24" i="4"/>
  <c r="E23" i="4"/>
  <c r="D23" i="4"/>
  <c r="C25" i="4"/>
  <c r="C24" i="4"/>
  <c r="C23" i="4"/>
  <c r="D18" i="4"/>
  <c r="E18" i="4"/>
  <c r="C18" i="4"/>
  <c r="C14" i="4"/>
  <c r="D16" i="4"/>
  <c r="E16" i="4"/>
  <c r="E20" i="4" s="1"/>
  <c r="E28" i="4" s="1"/>
  <c r="E30" i="4" s="1"/>
  <c r="C16" i="4"/>
  <c r="D14" i="4"/>
  <c r="E14" i="4"/>
  <c r="D15" i="4"/>
  <c r="E15" i="4"/>
  <c r="D17" i="4"/>
  <c r="E17" i="4"/>
  <c r="D19" i="4"/>
  <c r="E19" i="4"/>
  <c r="C19" i="4"/>
  <c r="C17" i="4"/>
  <c r="C15" i="4"/>
  <c r="E10" i="4"/>
  <c r="E11" i="4" s="1"/>
  <c r="D5" i="4"/>
  <c r="E5" i="4"/>
  <c r="D6" i="4"/>
  <c r="E6" i="4"/>
  <c r="D7" i="4"/>
  <c r="E7" i="4"/>
  <c r="D8" i="4"/>
  <c r="D11" i="4" s="1"/>
  <c r="E8" i="4"/>
  <c r="D9" i="4"/>
  <c r="E9" i="4"/>
  <c r="D10" i="4"/>
  <c r="C10" i="4"/>
  <c r="C9" i="4"/>
  <c r="C8" i="4"/>
  <c r="C7" i="4"/>
  <c r="C11" i="4" s="1"/>
  <c r="C6" i="4"/>
  <c r="C5" i="4"/>
  <c r="D2" i="4"/>
  <c r="E2" i="4" s="1"/>
  <c r="D22" i="1"/>
  <c r="E22" i="1"/>
  <c r="C22" i="1"/>
  <c r="E19" i="1"/>
  <c r="D19" i="1"/>
  <c r="C19" i="1"/>
  <c r="D16" i="1"/>
  <c r="E16" i="1"/>
  <c r="C16" i="1"/>
  <c r="D15" i="1"/>
  <c r="D18" i="1" s="1"/>
  <c r="D35" i="9" s="1"/>
  <c r="E15" i="1"/>
  <c r="E18" i="1" s="1"/>
  <c r="E35" i="9" s="1"/>
  <c r="C15" i="1"/>
  <c r="C18" i="1" s="1"/>
  <c r="C21" i="1" s="1"/>
  <c r="C24" i="1" s="1"/>
  <c r="C4" i="6" s="1"/>
  <c r="C15" i="6" s="1"/>
  <c r="C13" i="1"/>
  <c r="D13" i="1"/>
  <c r="E13" i="1"/>
  <c r="D12" i="1"/>
  <c r="E12" i="1"/>
  <c r="C12" i="1"/>
  <c r="C11" i="1"/>
  <c r="D11" i="1"/>
  <c r="E11" i="1"/>
  <c r="D10" i="1"/>
  <c r="E10" i="1"/>
  <c r="C10" i="1"/>
  <c r="E7" i="1"/>
  <c r="D7" i="1"/>
  <c r="C7" i="1"/>
  <c r="C6" i="1"/>
  <c r="D6" i="1"/>
  <c r="E6" i="1"/>
  <c r="D5" i="1"/>
  <c r="E5" i="1"/>
  <c r="C5" i="1"/>
  <c r="C27" i="6" l="1"/>
  <c r="C30" i="6" s="1"/>
  <c r="C32" i="6" s="1"/>
  <c r="G35" i="9"/>
  <c r="I35" i="9"/>
  <c r="J35" i="9"/>
  <c r="H35" i="9"/>
  <c r="F35" i="9"/>
  <c r="C22" i="6"/>
  <c r="C47" i="9"/>
  <c r="D27" i="6"/>
  <c r="D44" i="9"/>
  <c r="E27" i="6"/>
  <c r="E44" i="9"/>
  <c r="G48" i="9"/>
  <c r="H48" i="9"/>
  <c r="I48" i="9"/>
  <c r="J48" i="9"/>
  <c r="F48" i="9"/>
  <c r="H7" i="1"/>
  <c r="F20" i="4"/>
  <c r="D21" i="1"/>
  <c r="D24" i="1" s="1"/>
  <c r="D21" i="9"/>
  <c r="E21" i="1"/>
  <c r="E24" i="1" s="1"/>
  <c r="E21" i="9"/>
  <c r="F21" i="9" s="1"/>
  <c r="G21" i="9" s="1"/>
  <c r="H21" i="9" s="1"/>
  <c r="I21" i="9" s="1"/>
  <c r="J21" i="9" s="1"/>
  <c r="H13" i="1"/>
  <c r="G15" i="1"/>
  <c r="G18" i="1" s="1"/>
  <c r="G12" i="1"/>
  <c r="G10" i="1"/>
  <c r="G11" i="1"/>
  <c r="E22" i="6"/>
  <c r="C20" i="4"/>
  <c r="D20" i="4"/>
  <c r="D28" i="4" s="1"/>
  <c r="D30" i="4" s="1"/>
  <c r="D2" i="1"/>
  <c r="E2" i="1" s="1"/>
  <c r="G44" i="9" l="1"/>
  <c r="G27" i="6" s="1"/>
  <c r="F44" i="9"/>
  <c r="F25" i="6" s="1"/>
  <c r="F8" i="4" s="1"/>
  <c r="H44" i="9"/>
  <c r="H27" i="6" s="1"/>
  <c r="J44" i="9"/>
  <c r="I44" i="9"/>
  <c r="E4" i="6"/>
  <c r="E15" i="6" s="1"/>
  <c r="E47" i="9"/>
  <c r="D4" i="6"/>
  <c r="D15" i="6" s="1"/>
  <c r="D30" i="6" s="1"/>
  <c r="D32" i="6" s="1"/>
  <c r="D47" i="9"/>
  <c r="G28" i="4"/>
  <c r="H5" i="1"/>
  <c r="H6" i="1"/>
  <c r="I7" i="1"/>
  <c r="G19" i="1"/>
  <c r="G21" i="1" s="1"/>
  <c r="G24" i="1" s="1"/>
  <c r="F19" i="1"/>
  <c r="F21" i="1" s="1"/>
  <c r="F24" i="1" s="1"/>
  <c r="I13" i="1"/>
  <c r="H15" i="1"/>
  <c r="H18" i="1" s="1"/>
  <c r="H11" i="1"/>
  <c r="H10" i="1"/>
  <c r="H12" i="1"/>
  <c r="E30" i="6" l="1"/>
  <c r="E32" i="6" s="1"/>
  <c r="F31" i="6" s="1"/>
  <c r="F27" i="6"/>
  <c r="F4" i="6"/>
  <c r="G4" i="6"/>
  <c r="I27" i="6"/>
  <c r="G47" i="9"/>
  <c r="G22" i="6" s="1"/>
  <c r="H47" i="9"/>
  <c r="I47" i="9"/>
  <c r="J47" i="9"/>
  <c r="F47" i="9"/>
  <c r="F20" i="6" s="1"/>
  <c r="F22" i="6" s="1"/>
  <c r="F30" i="6" s="1"/>
  <c r="J7" i="1"/>
  <c r="I5" i="1"/>
  <c r="I6" i="1"/>
  <c r="H28" i="4"/>
  <c r="H19" i="1"/>
  <c r="H21" i="1" s="1"/>
  <c r="H24" i="1" s="1"/>
  <c r="J13" i="1"/>
  <c r="I15" i="1"/>
  <c r="I18" i="1" s="1"/>
  <c r="I12" i="1"/>
  <c r="I10" i="1"/>
  <c r="I11" i="1"/>
  <c r="F24" i="4" l="1"/>
  <c r="F5" i="4"/>
  <c r="F26" i="4"/>
  <c r="F28" i="4" s="1"/>
  <c r="G30" i="6"/>
  <c r="H4" i="6"/>
  <c r="H22" i="6"/>
  <c r="J27" i="6"/>
  <c r="J5" i="1"/>
  <c r="J6" i="1"/>
  <c r="I28" i="4"/>
  <c r="I19" i="1"/>
  <c r="I21" i="1" s="1"/>
  <c r="I24" i="1" s="1"/>
  <c r="J15" i="1"/>
  <c r="J18" i="1" s="1"/>
  <c r="J11" i="1"/>
  <c r="J12" i="1"/>
  <c r="J10" i="1"/>
  <c r="G5" i="4" l="1"/>
  <c r="G11" i="4" s="1"/>
  <c r="H30" i="6"/>
  <c r="H5" i="4" s="1"/>
  <c r="I4" i="6"/>
  <c r="I22" i="6"/>
  <c r="F32" i="6"/>
  <c r="G31" i="6" s="1"/>
  <c r="G32" i="6" s="1"/>
  <c r="H31" i="6" s="1"/>
  <c r="J19" i="1"/>
  <c r="J21" i="1" s="1"/>
  <c r="J24" i="1" s="1"/>
  <c r="H11" i="4" l="1"/>
  <c r="I30" i="6"/>
  <c r="I5" i="4" s="1"/>
  <c r="J28" i="4"/>
  <c r="H32" i="6"/>
  <c r="I31" i="6" s="1"/>
  <c r="J4" i="6"/>
  <c r="J22" i="6"/>
  <c r="F11" i="4"/>
  <c r="F30" i="4" s="1"/>
  <c r="I11" i="4" l="1"/>
  <c r="I32" i="6"/>
  <c r="J31" i="6" s="1"/>
  <c r="J30" i="6"/>
  <c r="J5" i="4" s="1"/>
  <c r="J11" i="4" s="1"/>
  <c r="G30" i="4"/>
  <c r="J32" i="6" l="1"/>
  <c r="H30" i="4"/>
  <c r="I30" i="4" l="1"/>
  <c r="J3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tc={C82DA31A-DD6C-4C2F-AE84-C74F54B47566}</author>
    <author>tc={02AFD844-1D6C-4769-8BE4-3351A5FA3D70}</author>
    <author>tc={1D3A6387-039E-46FD-AAA4-32E4384E5F37}</author>
    <author>tc={4EA909CD-99C1-48E1-8893-D66BEE1D4DBD}</author>
    <author>tc={7D9003A4-6095-460B-A421-F88E265C8D8D}</author>
    <author>tc={4B14AC67-C95E-4721-8FA4-26D6E98F7C0D}</author>
    <author>tc={25FC99C0-4501-4E18-9E8D-FCB5734EEE28}</author>
    <author>tc={2936EFDC-FBCE-4ECF-9B8D-8268C634F5AF}</author>
  </authors>
  <commentList>
    <comment ref="B7" authorId="0" shapeId="0" xr:uid="{C82DA31A-DD6C-4C2F-AE84-C74F54B47566}">
      <text>
        <t>[Threaded comment]
Your version of Excel allows you to read this threaded comment; however, any edits to it will get removed if the file is opened in a newer version of Excel. Learn more: https://go.microsoft.com/fwlink/?linkid=870924
Comment:
    We will project product revenue as a decreasing percent of total revenue over time keeping in line with the historical trend. This is attributed to decline in PC demand and the potential growth for revenue in AI and cloud services.</t>
      </text>
    </comment>
    <comment ref="B8" authorId="1" shapeId="0" xr:uid="{02AFD844-1D6C-4769-8BE4-3351A5FA3D70}">
      <text>
        <t>[Threaded comment]
Your version of Excel allows you to read this threaded comment; however, any edits to it will get removed if the file is opened in a newer version of Excel. Learn more: https://go.microsoft.com/fwlink/?linkid=870924
Comment:
    We will project service revenue as a 1% increase of total revenue to demonstrate growth in MSFT’s cloud and AI services over the next 5 years.</t>
      </text>
    </comment>
    <comment ref="B10" authorId="2" shapeId="0" xr:uid="{1D3A6387-039E-46FD-AAA4-32E4384E5F37}">
      <text>
        <t>[Threaded comment]
Your version of Excel allows you to read this threaded comment; however, any edits to it will get removed if the file is opened in a newer version of Excel. Learn more: https://go.microsoft.com/fwlink/?linkid=870924
Comment:
    We will assume the YoY revenue growth to be 15% based off of MSFT’s 2024 10-K filing which outlines annual revenue increasing by 16%.</t>
      </text>
    </comment>
    <comment ref="B13" authorId="3" shapeId="0" xr:uid="{4EA909CD-99C1-48E1-8893-D66BEE1D4DBD}">
      <text>
        <t>[Threaded comment]
Your version of Excel allows you to read this threaded comment; however, any edits to it will get removed if the file is opened in a newer version of Excel. Learn more: https://go.microsoft.com/fwlink/?linkid=870924
Comment:
    Will decrease 1% YoY to show decline in demand for personal computers and expansion in AI and cloud services.</t>
      </text>
    </comment>
    <comment ref="B14" authorId="4" shapeId="0" xr:uid="{7D9003A4-6095-460B-A421-F88E265C8D8D}">
      <text>
        <t>[Threaded comment]
Your version of Excel allows you to read this threaded comment; however, any edits to it will get removed if the file is opened in a newer version of Excel. Learn more: https://go.microsoft.com/fwlink/?linkid=870924
Comment:
    Will increase 1% YoY to forecast growth in AI and cloud services.</t>
      </text>
    </comment>
    <comment ref="B15" authorId="5" shapeId="0" xr:uid="{4B14AC67-C95E-4721-8FA4-26D6E98F7C0D}">
      <text>
        <t>[Threaded comment]
Your version of Excel allows you to read this threaded comment; however, any edits to it will get removed if the file is opened in a newer version of Excel. Learn more: https://go.microsoft.com/fwlink/?linkid=870924
Comment:
    Will be maintained at 45% of expenses.</t>
      </text>
    </comment>
    <comment ref="B17" authorId="6" shapeId="0" xr:uid="{25FC99C0-4501-4E18-9E8D-FCB5734EEE28}">
      <text>
        <t>[Threaded comment]
Your version of Excel allows you to read this threaded comment; however, any edits to it will get removed if the file is opened in a newer version of Excel. Learn more: https://go.microsoft.com/fwlink/?linkid=870924
Comment:
    Taking the average % increase of cost of revenue and operating expenses to forecast total expenses YoY. Cost of revenue increase is 13% and operating expenses increase is 7% (10-K).</t>
      </text>
    </comment>
    <comment ref="B46" authorId="7" shapeId="0" xr:uid="{2936EFDC-FBCE-4ECF-9B8D-8268C634F5AF}">
      <text>
        <t>[Threaded comment]
Your version of Excel allows you to read this threaded comment; however, any edits to it will get removed if the file is opened in a newer version of Excel. Learn more: https://go.microsoft.com/fwlink/?linkid=870924
Comment:
    Acquired Nuance and Activision in 2022 and 2023 respectively.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tc={1AE2DA7B-F8E4-4FD9-8703-0DF20EA7EBFA}</author>
    <author>tc={529A76EE-4B43-4019-8F23-A20C902C8823}</author>
    <author>tc={0426B7C1-5562-4691-A3CA-DAB582A22657}</author>
    <author>tc={2D0A50F5-0B21-4098-89ED-FF372FDE7505}</author>
  </authors>
  <commentList>
    <comment ref="B12" authorId="0" shapeId="0" xr:uid="{1AE2DA7B-F8E4-4FD9-8703-0DF20EA7EBFA}">
      <text>
        <t>[Threaded comment]
Your version of Excel allows you to read this threaded comment; however, any edits to it will get removed if the file is opened in a newer version of Excel. Learn more: https://go.microsoft.com/fwlink/?linkid=870924
Comment:
    R&amp;D, Sales and Marketing, General &amp; Administrative Line Items</t>
      </text>
    </comment>
    <comment ref="B16" authorId="1" shapeId="0" xr:uid="{529A76EE-4B43-4019-8F23-A20C902C8823}">
      <text>
        <t>[Threaded comment]
Your version of Excel allows you to read this threaded comment; however, any edits to it will get removed if the file is opened in a newer version of Excel. Learn more: https://go.microsoft.com/fwlink/?linkid=870924
Comment:
    Composes of interest and dividends income, interest expense, gains and losses on investments and derivatives, gains and losses on foreign currencies.</t>
      </text>
    </comment>
    <comment ref="B19" authorId="2" shapeId="0" xr:uid="{0426B7C1-5562-4691-A3CA-DAB582A22657}">
      <text>
        <t>[Threaded comment]
Your version of Excel allows you to read this threaded comment; however, any edits to it will get removed if the file is opened in a newer version of Excel. Learn more: https://go.microsoft.com/fwlink/?linkid=870924
Comment:
    Provision for Income Taxes means liabilities related to tax for a company. Essentially a company’s income tax expense, inclusive of federal, state, municipal, foreign income taxes.</t>
      </text>
    </comment>
    <comment ref="B22" authorId="3" shapeId="0" xr:uid="{2D0A50F5-0B21-4098-89ED-FF372FDE7505}">
      <text>
        <t>[Threaded comment]
Your version of Excel allows you to read this threaded comment; however, any edits to it will get removed if the file is opened in a newer version of Excel. Learn more: https://go.microsoft.com/fwlink/?linkid=870924
Comment:
    Includes net change related to derivatives, net change related to investments, translation adjustments and other line items.
Reply:
    OCI refers to revenue, expenses, gains, losses, that have yet to be realized and are excluded from net income on the income statement.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tc={611FBB26-A109-4CFF-99F4-DB4C66FC6F37}</author>
    <author>tc={7A36B54C-F0EE-4D86-BCD1-45BE9FEF14F3}</author>
    <author>tc={A5EF03F6-AC5C-4D3F-A7AC-137F80DA18C0}</author>
    <author>tc={89B219CC-7ECD-4E11-A9A3-567E50D67AD5}</author>
  </authors>
  <commentList>
    <comment ref="B8" authorId="0" shapeId="0" xr:uid="{611FBB26-A109-4CFF-99F4-DB4C66FC6F37}">
      <text>
        <t xml:space="preserve">[Threaded comment]
Your version of Excel allows you to read this threaded comment; however, any edits to it will get removed if the file is opened in a newer version of Excel. Learn more: https://go.microsoft.com/fwlink/?linkid=870924
Comment:
    Property, Plant and Equipment or PP&amp;E is a type of fixed asset, meaning it is tangible and is used to help the company run its operations. An important component to these assets is they cannot be sold quickly in order to raise cash. They can be used to secure loans however. PP&amp;E is calculated by adding the gross value of these assets to CapEx and minus the depreciation.
Reply:
    Goodwill represents the premium a company pays for another company. The premium being the difference in the price paid to acquire and the fair value of all assets purchased in the acquisition. </t>
      </text>
    </comment>
    <comment ref="B9" authorId="1" shapeId="0" xr:uid="{7A36B54C-F0EE-4D86-BCD1-45BE9FEF14F3}">
      <text>
        <t>[Threaded comment]
Your version of Excel allows you to read this threaded comment; however, any edits to it will get removed if the file is opened in a newer version of Excel. Learn more: https://go.microsoft.com/fwlink/?linkid=870924
Comment:
    Permits use of an asset without owning it. Forecasting this line item is different.</t>
      </text>
    </comment>
    <comment ref="B23" authorId="2" shapeId="0" xr:uid="{A5EF03F6-AC5C-4D3F-A7AC-137F80DA18C0}">
      <text>
        <t>[Threaded comment]
Your version of Excel allows you to read this threaded comment; however, any edits to it will get removed if the file is opened in a newer version of Excel. Learn more: https://go.microsoft.com/fwlink/?linkid=870924
Comment:
    Paid in Capital represents the total cash a company receives for its common stock issuances. Represents the money raised by the business through selling equity rather than money from business operations.</t>
      </text>
    </comment>
    <comment ref="B24" authorId="3" shapeId="0" xr:uid="{89B219CC-7ECD-4E11-A9A3-567E50D67AD5}">
      <text>
        <t>[Threaded comment]
Your version of Excel allows you to read this threaded comment; however, any edits to it will get removed if the file is opened in a newer version of Excel. Learn more: https://go.microsoft.com/fwlink/?linkid=870924
Comment:
    Not considered an asset as shareholders are entitled to this cash.</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tc={DB8B8205-F1FF-4158-BFAB-8492524A0AAA}</author>
  </authors>
  <commentList>
    <comment ref="B20" authorId="0" shapeId="0" xr:uid="{DB8B8205-F1FF-4158-BFAB-8492524A0AAA}">
      <text>
        <t>[Threaded comment]
Your version of Excel allows you to read this threaded comment; however, any edits to it will get removed if the file is opened in a newer version of Excel. Learn more: https://go.microsoft.com/fwlink/?linkid=870924
Comment:
    Paid in Capital represents the total cash a company receives for its common stock issuances. Represents the money raised by the business through selling equity rather than money from business operations.</t>
      </text>
    </comment>
  </commentList>
</comments>
</file>

<file path=xl/sharedStrings.xml><?xml version="1.0" encoding="utf-8"?>
<sst xmlns="http://schemas.openxmlformats.org/spreadsheetml/2006/main" count="287" uniqueCount="226">
  <si>
    <t>Income Statement:</t>
  </si>
  <si>
    <t>Revenue:</t>
  </si>
  <si>
    <t>Product</t>
  </si>
  <si>
    <t>Operating Income:</t>
  </si>
  <si>
    <t>Pre-Tax Income:</t>
  </si>
  <si>
    <t>Net Income:</t>
  </si>
  <si>
    <t>Comprehensive Income:</t>
  </si>
  <si>
    <t>(In millions, except per share amounts)</t>
  </si>
  <si>
    <t>Year Ended June 30,
Revenue:</t>
  </si>
  <si>
    <t>Service and other</t>
  </si>
  <si>
    <t>Total revenue</t>
  </si>
  <si>
    <t>Cost of revenue:</t>
  </si>
  <si>
    <t>Total cost of revenue</t>
  </si>
  <si>
    <t>Gross margin</t>
  </si>
  <si>
    <t>Research and development</t>
  </si>
  <si>
    <t>Sales and marketing</t>
  </si>
  <si>
    <t>General and administrative</t>
  </si>
  <si>
    <t>Operating income</t>
  </si>
  <si>
    <t>Other income (expense), net</t>
  </si>
  <si>
    <t>Income before income taxes</t>
  </si>
  <si>
    <t>Provision for income taxes</t>
  </si>
  <si>
    <t>Net income</t>
  </si>
  <si>
    <t>Earnings per share:</t>
  </si>
  <si>
    <t>Basic</t>
  </si>
  <si>
    <t>Diluted</t>
  </si>
  <si>
    <t>Weighted average shares outstanding:</t>
  </si>
  <si>
    <t>Refer to accompanying notes.</t>
  </si>
  <si>
    <t>Other comprehensive income (loss), net of tax:</t>
  </si>
  <si>
    <t>Net change related to derivatives</t>
  </si>
  <si>
    <t>Net change related to investments</t>
  </si>
  <si>
    <t>Translation adjustments and other</t>
  </si>
  <si>
    <t>Other comprehensive income (loss)</t>
  </si>
  <si>
    <t>Comprehensive income</t>
  </si>
  <si>
    <t>Balance Sheet:</t>
  </si>
  <si>
    <t>BALANCE SHEETS</t>
  </si>
  <si>
    <t>(In millions)</t>
  </si>
  <si>
    <t>Cash and cash equivalents</t>
  </si>
  <si>
    <t>Short-term investments</t>
  </si>
  <si>
    <t>Total cash, cash equivalents, and short-term investments</t>
  </si>
  <si>
    <t>Accounts receivable, net of allowance for doubtful accounts of $830 and $650</t>
  </si>
  <si>
    <t>Inventories</t>
  </si>
  <si>
    <t>Other current assets</t>
  </si>
  <si>
    <t>Total current assets</t>
  </si>
  <si>
    <t>Property and equipment, net of accumulated depreciation of $76,421 and $68,251</t>
  </si>
  <si>
    <t>Operating lease right-of-use assets</t>
  </si>
  <si>
    <t>Equity and other investments</t>
  </si>
  <si>
    <t>Goodwill</t>
  </si>
  <si>
    <t>Intangible assets, net</t>
  </si>
  <si>
    <t>Other long-term assets</t>
  </si>
  <si>
    <t>Total assets</t>
  </si>
  <si>
    <t>Liabilities and stockholders' equity</t>
  </si>
  <si>
    <t>Current liabilities:</t>
  </si>
  <si>
    <t>Accounts payable</t>
  </si>
  <si>
    <t>Short-term debt</t>
  </si>
  <si>
    <t>Current portion of long-term debt</t>
  </si>
  <si>
    <t>Accrued compensation</t>
  </si>
  <si>
    <t>Short-term income taxes</t>
  </si>
  <si>
    <t>Short-term unearned revenue</t>
  </si>
  <si>
    <t>Other current liabilities</t>
  </si>
  <si>
    <t>Total current liabilities</t>
  </si>
  <si>
    <t>Long-term debt</t>
  </si>
  <si>
    <t>Long-term income taxes</t>
  </si>
  <si>
    <t>Long-term unearned revenue</t>
  </si>
  <si>
    <t>Deferred income taxes</t>
  </si>
  <si>
    <t>Operating lease liabilities</t>
  </si>
  <si>
    <t>Other long-term liabilities</t>
  </si>
  <si>
    <t>Total liabilities</t>
  </si>
  <si>
    <t>Commitments and contingencies</t>
  </si>
  <si>
    <t>Stockholders' equity:</t>
  </si>
  <si>
    <t>Common stock and paid-in capital - shares authorized 24,000; outstanding 7,434 and 7,432</t>
  </si>
  <si>
    <t>Retained earnings</t>
  </si>
  <si>
    <t>Accumulated other comprehensive loss</t>
  </si>
  <si>
    <t>Total stockholders' equity</t>
  </si>
  <si>
    <t>Total liabilities and stockholders' equity</t>
  </si>
  <si>
    <t>Assets:</t>
  </si>
  <si>
    <t>Accounts Receivable:</t>
  </si>
  <si>
    <t>Cash, Cash Equivalenets, and Short Term Investments:</t>
  </si>
  <si>
    <t>Total Assets:</t>
  </si>
  <si>
    <t>Liabilities:</t>
  </si>
  <si>
    <t>Inventory &amp; Other Assets:</t>
  </si>
  <si>
    <t>Operating Lease Assets:</t>
  </si>
  <si>
    <t>PP&amp;E, Goodwill, Investments:</t>
  </si>
  <si>
    <t>Intangible &amp; Other Assets:</t>
  </si>
  <si>
    <t>Accounts Payable:</t>
  </si>
  <si>
    <t>Total Debt:</t>
  </si>
  <si>
    <t>Accrued Compensation and Unearned Revenue:</t>
  </si>
  <si>
    <t>Operating Lease Liabilities:</t>
  </si>
  <si>
    <t>Income Tax:</t>
  </si>
  <si>
    <t>Total Liabilities:</t>
  </si>
  <si>
    <t>Equity:</t>
  </si>
  <si>
    <t>Common Stock &amp; Paid in Capital</t>
  </si>
  <si>
    <t>Accumulated Other Comprehensive Loss:</t>
  </si>
  <si>
    <t>Retained Earnings:</t>
  </si>
  <si>
    <t>Total Equity:</t>
  </si>
  <si>
    <t>Total Liabilities &amp; Equity:</t>
  </si>
  <si>
    <t>Balance Check:</t>
  </si>
  <si>
    <t>CASH FLOWS STATEMENTS</t>
  </si>
  <si>
    <t>Year Ended June 30,
Operations</t>
  </si>
  <si>
    <t>Adjustments to reconcile net income to net cash from operations:</t>
  </si>
  <si>
    <t>Depreciation, amortization, and other</t>
  </si>
  <si>
    <t>Stock-based compensation expense</t>
  </si>
  <si>
    <t>Net recognized losses (gains) on investments and derivatives</t>
  </si>
  <si>
    <t>Changes in operating assets and liabilities:</t>
  </si>
  <si>
    <t>Accounts receivable</t>
  </si>
  <si>
    <t>Unearned revenue</t>
  </si>
  <si>
    <t>Income taxes</t>
  </si>
  <si>
    <t>Net cash from operations</t>
  </si>
  <si>
    <t>Financing</t>
  </si>
  <si>
    <t>Proceeds from issuance of debt, maturities of 90 days or less, net</t>
  </si>
  <si>
    <t>Proceeds from issuance of debt</t>
  </si>
  <si>
    <t>Repayments of debt</t>
  </si>
  <si>
    <t>Common stock issued</t>
  </si>
  <si>
    <t>Common stock repurchased</t>
  </si>
  <si>
    <t>Common stock cash dividends paid</t>
  </si>
  <si>
    <t>Other, net</t>
  </si>
  <si>
    <t>Net cash used in financing</t>
  </si>
  <si>
    <t>Investing</t>
  </si>
  <si>
    <t>Additions to property and equipment</t>
  </si>
  <si>
    <t>Acquisition of companies, net of cash acquired, and purchases of intangible and other assets</t>
  </si>
  <si>
    <t>Purchases of investments</t>
  </si>
  <si>
    <t>Maturities of investments</t>
  </si>
  <si>
    <t>Sales of investments</t>
  </si>
  <si>
    <t>Net cash used in investing</t>
  </si>
  <si>
    <t>Effect of foreign exchange rates on cash and cash equivalents</t>
  </si>
  <si>
    <t>Net change in cash and cash equivalents</t>
  </si>
  <si>
    <t>Cash and cash equivalents, beginning of period</t>
  </si>
  <si>
    <t>Cash and cash equivalents, end of period</t>
  </si>
  <si>
    <t>STOCKHOLDERS' EQUITY STATEMENTS</t>
  </si>
  <si>
    <t>Year Ended June 30,
Common stock and paid-in capital</t>
  </si>
  <si>
    <t>Balance, beginning of period</t>
  </si>
  <si>
    <t>Balance, end of period</t>
  </si>
  <si>
    <t>Common stock cash dividends</t>
  </si>
  <si>
    <t>Cash dividends declared per common share</t>
  </si>
  <si>
    <t>Operations:</t>
  </si>
  <si>
    <t>Cash Flow Statement:</t>
  </si>
  <si>
    <t>Financing:</t>
  </si>
  <si>
    <t>Net Cash from Operations:</t>
  </si>
  <si>
    <t>Net Cash from Financing:</t>
  </si>
  <si>
    <t>Investing:</t>
  </si>
  <si>
    <t>(-) CapEx</t>
  </si>
  <si>
    <t>(-) Acquisitions &amp; Other:</t>
  </si>
  <si>
    <t>Net Cash from Investing:</t>
  </si>
  <si>
    <t>FX Rate Effects:</t>
  </si>
  <si>
    <t>Net Change in Cash:</t>
  </si>
  <si>
    <t>Cash at Beginning of Period:</t>
  </si>
  <si>
    <t>Cash End of Period:</t>
  </si>
  <si>
    <t>Assumptions:</t>
  </si>
  <si>
    <t>Product:</t>
  </si>
  <si>
    <t>Product Revenue:</t>
  </si>
  <si>
    <t>Service Revenue:</t>
  </si>
  <si>
    <t>Total Revenue:</t>
  </si>
  <si>
    <t>Operating Expenses:</t>
  </si>
  <si>
    <t>Other Comprehensive Income:</t>
  </si>
  <si>
    <t>Other Income / (Expense):</t>
  </si>
  <si>
    <t>Product as a % of Total Revenue:</t>
  </si>
  <si>
    <t>Service as a % of Total Revenue:</t>
  </si>
  <si>
    <t>Revenue YoY:</t>
  </si>
  <si>
    <t>Expenses:</t>
  </si>
  <si>
    <t>Total Expenses:</t>
  </si>
  <si>
    <t>Products as a % of Total Expenses:</t>
  </si>
  <si>
    <t>Operating Expenses as a % of Total Expenses:</t>
  </si>
  <si>
    <t>Expenses YoY:</t>
  </si>
  <si>
    <t>Service &amp; Other as a % of Total Expenses:</t>
  </si>
  <si>
    <t>Service &amp; Other:</t>
  </si>
  <si>
    <t>Date</t>
  </si>
  <si>
    <t>Work Done</t>
  </si>
  <si>
    <t>Notes</t>
  </si>
  <si>
    <t>- Set up raw data from 10-K Financials
- Inputted data for Income Statement and Balance Sheet</t>
  </si>
  <si>
    <t>- Inputted data for Cash Flow Statement</t>
  </si>
  <si>
    <t>- Revenue was forcasted by assuming a standard rate of growth for revenue, this value is 15%. This value was determined by conservatively adjusting Microsofts YoY growth from 2023 to 2024 of 16%.
- Product and service revenues were forecasted as a % of total revenue. Product and services portion of revenue was forecasted to decrease and increase by 1% respectively from the 2024  % total of revenue. This is due to Microsoft reporting decreases in personal computing hardware demand and increasing AI and cloud services demand.</t>
  </si>
  <si>
    <t>- Total expenses to be forecased at 10% growth YoY, taking the average of % increases in cost of revenue and operating expenses.
- Cost of products as total % of expenses has decreased historically, will be forecasted to decrease by 1% YoY, similarily cost of services and other as total % of expenses has increased historically and will be forecasted to increase by 1% YoY.</t>
  </si>
  <si>
    <t>- Forcasted Other Income / Expenses, Income Tax and Other Comprehensive Income</t>
  </si>
  <si>
    <t>Income Tax Rate:</t>
  </si>
  <si>
    <t>- Other Income / Expenses was forecasted by averaging the last 3 historical values. Number is minisciule and should not impact finanaces significantly. Similarily Other Comprehensive Income was forecasted the same way given the smaller values.
- Tax rate was forecasted using information from the 10-K, Microsoft saw a 1% decrease in their effective tax rate from 2023 to 2024 due to tax law changes. Microsoft added that their foreign income effectively decreases their tax rate and notes that YoY foreign income is also increasing. US income increased by 19% and foreign income increased by 23% YoY. We will forecast conservatively and assume foreign income grows faster than US income and as a result decreases their effective tax rate YoY by 0.5%.</t>
  </si>
  <si>
    <t>Cash Flow:</t>
  </si>
  <si>
    <t>- Forcasted Revenue for Income Statement</t>
  </si>
  <si>
    <t>- Forecasted Expenses for Income Statement</t>
  </si>
  <si>
    <t>- Forecasted Assets for Balance Sheet</t>
  </si>
  <si>
    <t>Other Liabilities:</t>
  </si>
  <si>
    <t>Accounts Receivable as a % of Revenue:</t>
  </si>
  <si>
    <t>Inventory &amp; Other as a % of Cost of Revenue:</t>
  </si>
  <si>
    <t>Operating Lease Assets as a % of Operating Expenses:</t>
  </si>
  <si>
    <t>- Forecasted Liabilities for Balance Sheet</t>
  </si>
  <si>
    <t>Accounts Payable as a % of Cost of Revenue:</t>
  </si>
  <si>
    <t>Accrued Compensation and Unearned Revenue a % of Total Expenses:</t>
  </si>
  <si>
    <t>Other Liabilities as a % of Total Expenses:</t>
  </si>
  <si>
    <t>- Accounts Receivable, Inventory and Operating Lease Assets will be forecasted, other line items will come from the Cash Flow Statement.
- Accounts Receivable a % of Revenue
- Inventory &amp; Other a % of Cost of Revenue
- Operating Lease Assets a % of Operating Expenses
- Use average of historical data for projections</t>
  </si>
  <si>
    <t>- Other Balance Sheet forecasts</t>
  </si>
  <si>
    <t>- Operating Lease Liabilities forecasted by adding the change in Operating Lease Assets YoY to previous Opereating Lease Liabilities value.</t>
  </si>
  <si>
    <t>- Cash Flow projections</t>
  </si>
  <si>
    <t>- Forecasted change in working capital by calculating the difference of Working Capital Assets and Liabilities (Accounts Receivable, Inventory &amp; Other, Operating Lease Assets, Accounts Payable, Accrued Compensation, Other Liabilities &amp; Unearned Revenue)
- Difference in Assets was between previous year and current year, current assets decrease cash.
- Difference in Liabilities was betweeen current year and previous year, current liabilities increase cash.</t>
  </si>
  <si>
    <t>CapEx as a % of Total Revenue:</t>
  </si>
  <si>
    <t>D&amp;A as a % of Total Revenue:</t>
  </si>
  <si>
    <t>Acquisitions &amp; Other:</t>
  </si>
  <si>
    <t>Dividends Paid as a % of Net Income:</t>
  </si>
  <si>
    <t>FX Rate Effects as a % of Total Revenue:</t>
  </si>
  <si>
    <t>- CapEx as a % of Total Revenue
- D&amp;A as a % of Total Revenue
- FX Rate Effects as a % of Total Revenue
- Acquisitions has cost Microsoft a total of 94.2 billion over the past 2 years upon acquiring Activision in 2023 (75.4 Billion) and Nuance in 2022 (18.8 Billion). With continued plans to complete acquisitions related to AI and cloud software, we will average this spending over the past 3 years to forecast future acquisition costs. No other significant acquisitions were reports in 2022 - 2024. Sourced from 10-K
- A weighting will be applied to the average as Activision is Microsofts largest acquisition ever and will inflate the projected acquisition spending if weight equally. Nuance is also a historically large acquisition by Microsoft.</t>
  </si>
  <si>
    <t>- Dividends Paid as a % of Comprehensive Income
- FX Rate Effects as a % of Revenue</t>
  </si>
  <si>
    <t>- Linking to Balance Sheet</t>
  </si>
  <si>
    <t>- Cash in balance sheet is previous balance plus net change in cash.
- PP&amp;E, Goodwill are linked to D&amp;A and CapEx.  Line item can be forecasted by taking the previous value, adding CapEx, subtract D&amp;A
- Intangibles and Other will be forecasted by taking the previous value and adding acquisitions</t>
  </si>
  <si>
    <t>- Accounts Payable a % of Cost of Revenue
- Accrued Compensation and Unearned Revenue a % of Total Expenses
- Other Liabilities and Unearned Revenue a % of Total Expenses
- Use average of historical data for projections
- Income Tax will be forecasted as a % of Net Income</t>
  </si>
  <si>
    <t>Income Tax as a % of Pre-Tax Income:</t>
  </si>
  <si>
    <t>- Learning that if if line items on the balance sheet and cash flow statement don't match, it won't balance.
- Wondering why there'd ever be a scenario when line items on balance sheet and cash flow statement don't match. 
- Really about figuring out (or for learning purposes making good assumptions) on how the YoY changes in Assets and Liabilities can be reflected in the Cash Flow Statement</t>
  </si>
  <si>
    <t>- Remove line items that are not trivial, goal is balance the assets and liabilities using cash only for things that have trivial forecasts
- Increase in Assets YoY = cash outflow
- Increase in Liabilities YoY = cash inflow
- Keeping a lot of line items constant, managed to balance out a year with some projections.</t>
  </si>
  <si>
    <t>Working Capital:</t>
  </si>
  <si>
    <t>Depreciation &amp; Amortization:</t>
  </si>
  <si>
    <t>Total Debt as Average YoY Growth:</t>
  </si>
  <si>
    <t>Common Stock &amp; Paid in Capital as Average YoY Growth:</t>
  </si>
  <si>
    <t>Accumulated Other Comprehensive Loss as Constant Average:</t>
  </si>
  <si>
    <t>Retained Earnings as Constant:</t>
  </si>
  <si>
    <t>- Going to simplify line items of balance sheet and cash flow statement so I can link properly, creating a cash flow statement from the balance sheet
- Removed line items from original cash flow statement, changed to balance sheet line items
- Forcasted Total Debt as YoY growth</t>
  </si>
  <si>
    <t>Common Dividends as a % of Total Revenue:</t>
  </si>
  <si>
    <t>Common Dividends:</t>
  </si>
  <si>
    <t>Balanced by Retained Earnings and Net Change in Cash from Cash Flow</t>
  </si>
  <si>
    <t>Balanced by Cash and Change in Working Capital</t>
  </si>
  <si>
    <t>Balanced by Operating Lease Assets / Liabilities</t>
  </si>
  <si>
    <t>Balanced by CapEx and Depreciation and Decreasing / Increasing Cash</t>
  </si>
  <si>
    <t>Balanced by Acquisitions and Decreasing Cash</t>
  </si>
  <si>
    <t>Balanced by Cash, Net Income, Paid Dividends from Cash Flow</t>
  </si>
  <si>
    <t>Balanced by Retained Earnings Decrease and a Decrease to Cash on Cash Flow</t>
  </si>
  <si>
    <t>Common Stock Issuance:</t>
  </si>
  <si>
    <t>Balanced by Common Stock Issuance in Cash Flow</t>
  </si>
  <si>
    <t>-Completing the Model</t>
  </si>
  <si>
    <t>Total Change in Debt:</t>
  </si>
  <si>
    <t>Balanced by Change in Debt on Cash Flow, Increasing Debt and Cash</t>
  </si>
  <si>
    <r>
      <t xml:space="preserve">- Balanced model finally
- Key learning: Retained Earnings or Equity Line Item on Balance sheet can be used to reconcile change in cash from assets and income on the balance sheet, </t>
    </r>
    <r>
      <rPr>
        <b/>
        <sz val="11"/>
        <color theme="1"/>
        <rFont val="Aptos Narrow"/>
        <family val="2"/>
        <scheme val="minor"/>
      </rPr>
      <t>use change in cash to balance,</t>
    </r>
    <r>
      <rPr>
        <sz val="11"/>
        <color theme="1"/>
        <rFont val="Aptos Narrow"/>
        <family val="2"/>
        <scheme val="minor"/>
      </rPr>
      <t xml:space="preserve"> end of period cash is a redundant number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</si>
</sst>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yyyy\A"/>
    <numFmt numFmtId="165" formatCode="_(&quot;$&quot;* #,##0_);_(&quot;$&quot;* \(#,##0\);_(&quot;$&quot;* &quot;-&quot;??_);_(@_)"/>
    <numFmt numFmtId="166" formatCode="yyyy\E"/>
    <numFmt numFmtId="167" formatCode="0.00%;\-\ 0.00%;\ \-\ \%;"/>
    <numFmt numFmtId="169" formatCode="mm\/dd\/yyyy"/>
  </numFmts>
  <fonts count="9" x14ac:knownFonts="1">
    <font>
      <sz val="11"/>
      <color theme="1"/>
      <name val="Aptos Narrow"/>
      <family val="2"/>
      <scheme val="minor"/>
    </font>
    <font>
      <b/>
      <sz val="12"/>
      <color theme="1"/>
      <name val="Aptos Narrow"/>
      <family val="2"/>
      <scheme val="minor"/>
    </font>
    <font>
      <sz val="12"/>
      <color theme="1"/>
      <name val="Aptos Narrow"/>
      <family val="2"/>
      <scheme val="minor"/>
    </font>
    <font>
      <sz val="8"/>
      <name val="Aptos Narrow"/>
      <family val="2"/>
      <scheme val="minor"/>
    </font>
    <font>
      <b/>
      <sz val="11"/>
      <color theme="1"/>
      <name val="Aptos Narrow"/>
      <family val="2"/>
      <scheme val="minor"/>
    </font>
    <font>
      <sz val="9"/>
      <color indexed="81"/>
      <name val="Tahoma"/>
      <family val="2"/>
    </font>
    <font>
      <sz val="11"/>
      <color theme="1"/>
      <name val="Aptos Narrow"/>
      <family val="2"/>
      <scheme val="minor"/>
    </font>
    <font>
      <b/>
      <sz val="12"/>
      <color theme="3" tint="0.249977111117893"/>
      <name val="Aptos Narrow"/>
      <family val="2"/>
      <scheme val="minor"/>
    </font>
    <font>
      <sz val="9"/>
      <color indexed="81"/>
      <name val="Tahoma"/>
      <charset val="1"/>
    </font>
  </fonts>
  <fills count="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rgb="FFFFC000"/>
        <bgColor indexed="64"/>
      </patternFill>
    </fill>
    <fill>
      <patternFill patternType="solid">
        <fgColor theme="7" tint="0.59999389629810485"/>
        <bgColor indexed="64"/>
      </patternFill>
    </fill>
  </fills>
  <borders count="3">
    <border>
      <left/>
      <right/>
      <top/>
      <bottom/>
      <diagonal/>
    </border>
    <border>
      <left/>
      <right/>
      <top style="thin">
        <color indexed="64"/>
      </top>
      <bottom style="double">
        <color indexed="64"/>
      </bottom>
      <diagonal/>
    </border>
    <border>
      <left/>
      <right/>
      <top style="thin">
        <color indexed="64"/>
      </top>
      <bottom/>
      <diagonal/>
    </border>
  </borders>
  <cellStyleXfs count="2">
    <xf numFmtId="0" fontId="0" fillId="0" borderId="0"/>
    <xf numFmtId="9" fontId="6" fillId="0" borderId="0" applyFont="0" applyFill="0" applyBorder="0" applyAlignment="0" applyProtection="0"/>
  </cellStyleXfs>
  <cellXfs count="66">
    <xf numFmtId="0" fontId="0" fillId="0" borderId="0" xfId="0"/>
    <xf numFmtId="0" fontId="1" fillId="0" borderId="0" xfId="0" applyFont="1"/>
    <xf numFmtId="0" fontId="2" fillId="0" borderId="0" xfId="0" applyFont="1"/>
    <xf numFmtId="0" fontId="2" fillId="0" borderId="0" xfId="0" applyFont="1" applyAlignment="1">
      <alignment horizontal="left" indent="1"/>
    </xf>
    <xf numFmtId="165" fontId="2" fillId="0" borderId="0" xfId="0" applyNumberFormat="1" applyFont="1"/>
    <xf numFmtId="0" fontId="2" fillId="0" borderId="0" xfId="0" applyFont="1" applyAlignment="1">
      <alignment horizontal="left" indent="2"/>
    </xf>
    <xf numFmtId="0" fontId="1" fillId="0" borderId="1" xfId="0" applyFont="1" applyBorder="1"/>
    <xf numFmtId="0" fontId="1" fillId="0" borderId="2" xfId="0" applyFont="1" applyBorder="1"/>
    <xf numFmtId="0" fontId="2" fillId="0" borderId="0" xfId="0" applyFont="1" applyAlignment="1">
      <alignment horizontal="left"/>
    </xf>
    <xf numFmtId="165" fontId="1" fillId="0" borderId="2" xfId="0" applyNumberFormat="1" applyFont="1" applyBorder="1"/>
    <xf numFmtId="164" fontId="1" fillId="0" borderId="0" xfId="0" applyNumberFormat="1" applyFont="1"/>
    <xf numFmtId="165" fontId="1" fillId="0" borderId="1" xfId="0" applyNumberFormat="1" applyFont="1" applyBorder="1"/>
    <xf numFmtId="0" fontId="0" fillId="0" borderId="0" xfId="0" applyAlignment="1">
      <alignment wrapText="1"/>
    </xf>
    <xf numFmtId="0" fontId="4" fillId="0" borderId="0" xfId="0" applyFont="1"/>
    <xf numFmtId="165" fontId="1" fillId="0" borderId="0" xfId="0" applyNumberFormat="1" applyFont="1"/>
    <xf numFmtId="166" fontId="1" fillId="0" borderId="0" xfId="0" applyNumberFormat="1" applyFont="1"/>
    <xf numFmtId="9" fontId="2" fillId="0" borderId="0" xfId="1" applyFont="1"/>
    <xf numFmtId="167" fontId="2" fillId="0" borderId="0" xfId="1" applyNumberFormat="1" applyFont="1" applyBorder="1"/>
    <xf numFmtId="167" fontId="1" fillId="0" borderId="0" xfId="1" applyNumberFormat="1" applyFont="1" applyBorder="1"/>
    <xf numFmtId="167" fontId="7" fillId="0" borderId="0" xfId="1" applyNumberFormat="1" applyFont="1" applyBorder="1"/>
    <xf numFmtId="44" fontId="2" fillId="0" borderId="0" xfId="0" applyNumberFormat="1" applyFont="1"/>
    <xf numFmtId="0" fontId="1" fillId="0" borderId="0" xfId="0" applyFont="1" applyAlignment="1">
      <alignment horizontal="left"/>
    </xf>
    <xf numFmtId="169" fontId="0" fillId="0" borderId="0" xfId="0" applyNumberFormat="1"/>
    <xf numFmtId="49" fontId="0" fillId="0" borderId="0" xfId="0" applyNumberFormat="1" applyAlignment="1">
      <alignment wrapText="1"/>
    </xf>
    <xf numFmtId="0" fontId="4" fillId="0" borderId="0" xfId="0" applyFont="1" applyAlignment="1">
      <alignment horizontal="center" vertical="center"/>
    </xf>
    <xf numFmtId="49" fontId="0" fillId="0" borderId="0" xfId="0" quotePrefix="1" applyNumberFormat="1" applyAlignment="1">
      <alignment wrapText="1"/>
    </xf>
    <xf numFmtId="49" fontId="4" fillId="0" borderId="0" xfId="0" applyNumberFormat="1" applyFont="1" applyAlignment="1">
      <alignment horizontal="center" vertical="center" wrapText="1"/>
    </xf>
    <xf numFmtId="165" fontId="7" fillId="0" borderId="0" xfId="0" applyNumberFormat="1" applyFont="1"/>
    <xf numFmtId="167" fontId="2" fillId="0" borderId="0" xfId="0" applyNumberFormat="1" applyFont="1"/>
    <xf numFmtId="0" fontId="2" fillId="2" borderId="0" xfId="0" applyFont="1" applyFill="1"/>
    <xf numFmtId="0" fontId="2" fillId="2" borderId="0" xfId="0" applyFont="1" applyFill="1" applyAlignment="1">
      <alignment horizontal="left" indent="1"/>
    </xf>
    <xf numFmtId="165" fontId="2" fillId="2" borderId="0" xfId="0" applyNumberFormat="1" applyFont="1" applyFill="1"/>
    <xf numFmtId="0" fontId="2" fillId="3" borderId="0" xfId="0" applyFont="1" applyFill="1" applyAlignment="1">
      <alignment horizontal="left" indent="1"/>
    </xf>
    <xf numFmtId="165" fontId="2" fillId="3" borderId="0" xfId="0" applyNumberFormat="1" applyFont="1" applyFill="1"/>
    <xf numFmtId="0" fontId="2" fillId="3" borderId="0" xfId="0" applyFont="1" applyFill="1"/>
    <xf numFmtId="0" fontId="2" fillId="0" borderId="0" xfId="0" applyFont="1" applyFill="1" applyAlignment="1">
      <alignment horizontal="left" indent="1"/>
    </xf>
    <xf numFmtId="165" fontId="2" fillId="0" borderId="0" xfId="0" applyNumberFormat="1" applyFont="1" applyFill="1"/>
    <xf numFmtId="0" fontId="2" fillId="0" borderId="0" xfId="0" applyFont="1" applyFill="1"/>
    <xf numFmtId="0" fontId="2" fillId="4" borderId="0" xfId="0" applyFont="1" applyFill="1"/>
    <xf numFmtId="0" fontId="2" fillId="4" borderId="0" xfId="0" applyFont="1" applyFill="1" applyAlignment="1">
      <alignment horizontal="left" indent="1"/>
    </xf>
    <xf numFmtId="165" fontId="2" fillId="4" borderId="0" xfId="0" applyNumberFormat="1" applyFont="1" applyFill="1"/>
    <xf numFmtId="0" fontId="1" fillId="0" borderId="2" xfId="0" applyFont="1" applyFill="1" applyBorder="1"/>
    <xf numFmtId="165" fontId="1" fillId="0" borderId="2" xfId="0" applyNumberFormat="1" applyFont="1" applyFill="1" applyBorder="1"/>
    <xf numFmtId="0" fontId="1" fillId="0" borderId="2" xfId="0" applyFont="1" applyFill="1" applyBorder="1" applyAlignment="1">
      <alignment horizontal="left"/>
    </xf>
    <xf numFmtId="165" fontId="1" fillId="0" borderId="2" xfId="0" applyNumberFormat="1" applyFont="1" applyFill="1" applyBorder="1" applyAlignment="1">
      <alignment horizontal="left"/>
    </xf>
    <xf numFmtId="0" fontId="2" fillId="0" borderId="0" xfId="0" applyFont="1" applyFill="1" applyAlignment="1">
      <alignment horizontal="left"/>
    </xf>
    <xf numFmtId="0" fontId="2" fillId="5" borderId="0" xfId="0" applyFont="1" applyFill="1" applyAlignment="1">
      <alignment horizontal="left" indent="1"/>
    </xf>
    <xf numFmtId="0" fontId="1" fillId="0" borderId="0" xfId="0" applyFont="1" applyFill="1"/>
    <xf numFmtId="164" fontId="1" fillId="0" borderId="0" xfId="0" applyNumberFormat="1" applyFont="1" applyFill="1"/>
    <xf numFmtId="166" fontId="1" fillId="0" borderId="0" xfId="0" applyNumberFormat="1" applyFont="1" applyFill="1"/>
    <xf numFmtId="0" fontId="1" fillId="0" borderId="1" xfId="0" applyFont="1" applyFill="1" applyBorder="1"/>
    <xf numFmtId="165" fontId="1" fillId="0" borderId="1" xfId="0" applyNumberFormat="1" applyFont="1" applyFill="1" applyBorder="1"/>
    <xf numFmtId="165" fontId="1" fillId="0" borderId="0" xfId="0" applyNumberFormat="1" applyFont="1" applyFill="1"/>
    <xf numFmtId="0" fontId="2" fillId="0" borderId="0" xfId="0" applyFont="1" applyFill="1" applyAlignment="1">
      <alignment horizontal="left" indent="2"/>
    </xf>
    <xf numFmtId="165" fontId="2" fillId="6" borderId="0" xfId="0" applyNumberFormat="1" applyFont="1" applyFill="1"/>
    <xf numFmtId="0" fontId="2" fillId="6" borderId="0" xfId="0" applyFont="1" applyFill="1" applyAlignment="1">
      <alignment horizontal="left" indent="1"/>
    </xf>
    <xf numFmtId="0" fontId="2" fillId="6" borderId="0" xfId="0" applyFont="1" applyFill="1"/>
    <xf numFmtId="0" fontId="2" fillId="5" borderId="0" xfId="0" applyFont="1" applyFill="1"/>
    <xf numFmtId="165" fontId="2" fillId="5" borderId="0" xfId="0" applyNumberFormat="1" applyFont="1" applyFill="1"/>
    <xf numFmtId="0" fontId="2" fillId="3" borderId="0" xfId="0" applyFont="1" applyFill="1" applyAlignment="1">
      <alignment horizontal="left" indent="2"/>
    </xf>
    <xf numFmtId="0" fontId="2" fillId="7" borderId="0" xfId="0" applyFont="1" applyFill="1" applyAlignment="1">
      <alignment horizontal="left" indent="1"/>
    </xf>
    <xf numFmtId="165" fontId="2" fillId="7" borderId="0" xfId="0" applyNumberFormat="1" applyFont="1" applyFill="1"/>
    <xf numFmtId="0" fontId="2" fillId="7" borderId="0" xfId="0" applyFont="1" applyFill="1"/>
    <xf numFmtId="0" fontId="2" fillId="8" borderId="0" xfId="0" applyFont="1" applyFill="1"/>
    <xf numFmtId="0" fontId="2" fillId="8" borderId="0" xfId="0" applyFont="1" applyFill="1" applyAlignment="1">
      <alignment horizontal="left" indent="1"/>
    </xf>
    <xf numFmtId="165" fontId="2" fillId="8" borderId="0" xfId="0" applyNumberFormat="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Nathan Oh" id="{7543B737-FF94-4DE5-992F-E5FBD9DC0FFC}" userId="S::nathan.oh@veeva.com::763ae5b9-0546-41fc-b0d2-71ed1a02a9f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7" dT="2025-04-02T21:52:20.72" personId="{7543B737-FF94-4DE5-992F-E5FBD9DC0FFC}" id="{C82DA31A-DD6C-4C2F-AE84-C74F54B47566}">
    <text>We will project product revenue as a decreasing percent of total revenue over time keeping in line with the historical trend. This is attributed to decline in PC demand and the potential growth for revenue in AI and cloud services.</text>
  </threadedComment>
  <threadedComment ref="B8" dT="2025-04-03T03:22:51.86" personId="{7543B737-FF94-4DE5-992F-E5FBD9DC0FFC}" id="{02AFD844-1D6C-4769-8BE4-3351A5FA3D70}">
    <text>We will project service revenue as a 1% increase of total revenue to demonstrate growth in MSFT’s cloud and AI services over the next 5 years.</text>
  </threadedComment>
  <threadedComment ref="B10" dT="2025-04-02T21:46:58.09" personId="{7543B737-FF94-4DE5-992F-E5FBD9DC0FFC}" id="{1D3A6387-039E-46FD-AAA4-32E4384E5F37}">
    <text>We will assume the YoY revenue growth to be 15% based off of MSFT’s 2024 10-K filing which outlines annual revenue increasing by 16%.</text>
  </threadedComment>
  <threadedComment ref="B13" dT="2025-04-03T03:37:06.23" personId="{7543B737-FF94-4DE5-992F-E5FBD9DC0FFC}" id="{4EA909CD-99C1-48E1-8893-D66BEE1D4DBD}">
    <text>Will decrease 1% YoY to show decline in demand for personal computers and expansion in AI and cloud services.</text>
  </threadedComment>
  <threadedComment ref="B14" dT="2025-04-03T03:51:51.02" personId="{7543B737-FF94-4DE5-992F-E5FBD9DC0FFC}" id="{7D9003A4-6095-460B-A421-F88E265C8D8D}">
    <text>Will increase 1% YoY to forecast growth in AI and cloud services.</text>
  </threadedComment>
  <threadedComment ref="B15" dT="2025-04-03T03:41:44.22" personId="{7543B737-FF94-4DE5-992F-E5FBD9DC0FFC}" id="{4B14AC67-C95E-4721-8FA4-26D6E98F7C0D}">
    <text>Will be maintained at 45% of expenses.</text>
  </threadedComment>
  <threadedComment ref="B17" dT="2025-04-03T03:47:42.86" personId="{7543B737-FF94-4DE5-992F-E5FBD9DC0FFC}" id="{25FC99C0-4501-4E18-9E8D-FCB5734EEE28}">
    <text>Taking the average % increase of cost of revenue and operating expenses to forecast total expenses YoY. Cost of revenue increase is 13% and operating expenses increase is 7% (10-K).</text>
  </threadedComment>
  <threadedComment ref="B46" dT="2025-04-03T20:34:06.42" personId="{7543B737-FF94-4DE5-992F-E5FBD9DC0FFC}" id="{2936EFDC-FBCE-4ECF-9B8D-8268C634F5AF}">
    <text>Acquired Nuance and Activision in 2022 and 2023 respectively.</text>
  </threadedComment>
</ThreadedComments>
</file>

<file path=xl/threadedComments/threadedComment2.xml><?xml version="1.0" encoding="utf-8"?>
<ThreadedComments xmlns="http://schemas.microsoft.com/office/spreadsheetml/2018/threadedcomments" xmlns:x="http://schemas.openxmlformats.org/spreadsheetml/2006/main">
  <threadedComment ref="B12" dT="2025-04-01T13:12:23.14" personId="{7543B737-FF94-4DE5-992F-E5FBD9DC0FFC}" id="{1AE2DA7B-F8E4-4FD9-8703-0DF20EA7EBFA}">
    <text>R&amp;D, Sales and Marketing, General &amp; Administrative Line Items</text>
  </threadedComment>
  <threadedComment ref="B16" dT="2025-04-01T14:40:42.03" personId="{7543B737-FF94-4DE5-992F-E5FBD9DC0FFC}" id="{529A76EE-4B43-4019-8F23-A20C902C8823}">
    <text>Composes of interest and dividends income, interest expense, gains and losses on investments and derivatives, gains and losses on foreign currencies.</text>
  </threadedComment>
  <threadedComment ref="B19" dT="2025-04-01T13:18:55.08" personId="{7543B737-FF94-4DE5-992F-E5FBD9DC0FFC}" id="{0426B7C1-5562-4691-A3CA-DAB582A22657}">
    <text>Provision for Income Taxes means liabilities related to tax for a company. Essentially a company’s income tax expense, inclusive of federal, state, municipal, foreign income taxes.</text>
  </threadedComment>
  <threadedComment ref="B22" dT="2025-04-01T13:31:29.53" personId="{7543B737-FF94-4DE5-992F-E5FBD9DC0FFC}" id="{2D0A50F5-0B21-4098-89ED-FF372FDE7505}">
    <text>Includes net change related to derivatives, net change related to investments, translation adjustments and other line items.</text>
  </threadedComment>
  <threadedComment ref="B22" dT="2025-04-01T13:41:45.24" personId="{7543B737-FF94-4DE5-992F-E5FBD9DC0FFC}" id="{603E6D48-9443-41CE-B67A-BB9E2A427CB9}" parentId="{2D0A50F5-0B21-4098-89ED-FF372FDE7505}">
    <text>OCI refers to revenue, expenses, gains, losses, that have yet to be realized and are excluded from net income on the income statement.</text>
  </threadedComment>
</ThreadedComments>
</file>

<file path=xl/threadedComments/threadedComment3.xml><?xml version="1.0" encoding="utf-8"?>
<ThreadedComments xmlns="http://schemas.microsoft.com/office/spreadsheetml/2018/threadedcomments" xmlns:x="http://schemas.openxmlformats.org/spreadsheetml/2006/main">
  <threadedComment ref="B8" dT="2025-04-01T21:44:41.57" personId="{7543B737-FF94-4DE5-992F-E5FBD9DC0FFC}" id="{611FBB26-A109-4CFF-99F4-DB4C66FC6F37}">
    <text>Property, Plant and Equipment or PP&amp;E is a type of fixed asset, meaning it is tangible and is used to help the company run its operations. An important component to these assets is they cannot be sold quickly in order to raise cash. They can be used to secure loans however. PP&amp;E is calculated by adding the gross value of these assets to CapEx and minus the depreciation.</text>
  </threadedComment>
  <threadedComment ref="B8" dT="2025-04-01T21:49:46.89" personId="{7543B737-FF94-4DE5-992F-E5FBD9DC0FFC}" id="{C0BF53BB-5BAB-49C9-82D1-3EFB1385D2A1}" parentId="{611FBB26-A109-4CFF-99F4-DB4C66FC6F37}">
    <text xml:space="preserve">Goodwill represents the premium a company pays for another company. The premium being the difference in the price paid to acquire and the fair value of all assets purchased in the acquisition. </text>
  </threadedComment>
  <threadedComment ref="B9" dT="2025-04-01T21:46:11.69" personId="{7543B737-FF94-4DE5-992F-E5FBD9DC0FFC}" id="{7A36B54C-F0EE-4D86-BCD1-45BE9FEF14F3}">
    <text>Permits use of an asset without owning it. Forecasting this line item is different.</text>
  </threadedComment>
  <threadedComment ref="B23" dT="2025-04-01T23:21:11.21" personId="{7543B737-FF94-4DE5-992F-E5FBD9DC0FFC}" id="{A5EF03F6-AC5C-4D3F-A7AC-137F80DA18C0}">
    <text>Paid in Capital represents the total cash a company receives for its common stock issuances. Represents the money raised by the business through selling equity rather than money from business operations.</text>
  </threadedComment>
  <threadedComment ref="B24" dT="2025-04-01T23:25:28.77" personId="{7543B737-FF94-4DE5-992F-E5FBD9DC0FFC}" id="{89B219CC-7ECD-4E11-A9A3-567E50D67AD5}">
    <text>Not considered an asset as shareholders are entitled to this cash.</text>
  </threadedComment>
</ThreadedComments>
</file>

<file path=xl/threadedComments/threadedComment4.xml><?xml version="1.0" encoding="utf-8"?>
<ThreadedComments xmlns="http://schemas.microsoft.com/office/spreadsheetml/2018/threadedcomments" xmlns:x="http://schemas.openxmlformats.org/spreadsheetml/2006/main">
  <threadedComment ref="B20" dT="2025-04-01T23:21:11.21" personId="{7543B737-FF94-4DE5-992F-E5FBD9DC0FFC}" id="{DB8B8205-F1FF-4158-BFAB-8492524A0AAA}">
    <text>Paid in Capital represents the total cash a company receives for its common stock issuances. Represents the money raised by the business through selling equity rather than money from business operations.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3FAEE-E23F-4A4E-8563-EB80BFFEE415}">
  <dimension ref="B2:XFD49"/>
  <sheetViews>
    <sheetView topLeftCell="A22" workbookViewId="0">
      <selection activeCell="F36" sqref="F36"/>
    </sheetView>
  </sheetViews>
  <sheetFormatPr defaultColWidth="15.77734375" defaultRowHeight="15.6" x14ac:dyDescent="0.3"/>
  <cols>
    <col min="1" max="1" width="2.77734375" style="2" customWidth="1"/>
    <col min="2" max="2" width="64.21875" style="2" customWidth="1"/>
    <col min="3" max="16384" width="15.77734375" style="2"/>
  </cols>
  <sheetData>
    <row r="2" spans="2:15 16384:16384" x14ac:dyDescent="0.3">
      <c r="XFD2" s="10">
        <f t="shared" ref="XFD2" si="0">EDATE(XFC2,12)</f>
        <v>366</v>
      </c>
    </row>
    <row r="3" spans="2:15 16384:16384" x14ac:dyDescent="0.3">
      <c r="B3" s="1" t="s">
        <v>146</v>
      </c>
      <c r="C3" s="10">
        <v>44742</v>
      </c>
      <c r="D3" s="10">
        <f>EDATE(C3,12)</f>
        <v>45107</v>
      </c>
      <c r="E3" s="10">
        <f>EDATE(D3,12)</f>
        <v>45473</v>
      </c>
      <c r="F3" s="15">
        <v>45838</v>
      </c>
      <c r="G3" s="10">
        <f>EDATE(F3,12)</f>
        <v>46203</v>
      </c>
      <c r="H3" s="10">
        <f t="shared" ref="H3:J3" si="1">EDATE(G3,12)</f>
        <v>46568</v>
      </c>
      <c r="I3" s="10">
        <f t="shared" si="1"/>
        <v>46934</v>
      </c>
      <c r="J3" s="10">
        <f t="shared" si="1"/>
        <v>47299</v>
      </c>
    </row>
    <row r="4" spans="2:15 16384:16384" x14ac:dyDescent="0.3">
      <c r="B4" s="1"/>
      <c r="C4" s="10"/>
      <c r="D4" s="10"/>
      <c r="E4" s="10"/>
      <c r="F4" s="15"/>
      <c r="G4" s="10"/>
      <c r="H4" s="10"/>
      <c r="I4" s="10"/>
      <c r="J4" s="10"/>
    </row>
    <row r="5" spans="2:15 16384:16384" x14ac:dyDescent="0.3">
      <c r="B5" s="1" t="s">
        <v>0</v>
      </c>
    </row>
    <row r="6" spans="2:15 16384:16384" x14ac:dyDescent="0.3">
      <c r="B6" s="8" t="s">
        <v>1</v>
      </c>
      <c r="O6" s="16"/>
    </row>
    <row r="7" spans="2:15 16384:16384" x14ac:dyDescent="0.3">
      <c r="B7" s="3" t="s">
        <v>154</v>
      </c>
      <c r="C7" s="17">
        <f>'Income Statement'!C5/'Income Statement'!C$7</f>
        <v>0.36683310637010136</v>
      </c>
      <c r="D7" s="17">
        <f>'Income Statement'!D5/'Income Statement'!D$7</f>
        <v>0.30530637283816625</v>
      </c>
      <c r="E7" s="17">
        <f>'Income Statement'!E5/'Income Statement'!E$7</f>
        <v>0.26424800711482443</v>
      </c>
      <c r="F7" s="19">
        <v>0.26</v>
      </c>
      <c r="G7" s="19">
        <v>0.25</v>
      </c>
      <c r="H7" s="19">
        <v>0.24</v>
      </c>
      <c r="I7" s="19">
        <v>0.23</v>
      </c>
      <c r="J7" s="19">
        <v>0.22</v>
      </c>
    </row>
    <row r="8" spans="2:15 16384:16384" x14ac:dyDescent="0.3">
      <c r="B8" s="3" t="s">
        <v>155</v>
      </c>
      <c r="C8" s="17">
        <f>'Income Statement'!C6/'Income Statement'!C$7</f>
        <v>0.63316689362989864</v>
      </c>
      <c r="D8" s="17">
        <f>'Income Statement'!D6/'Income Statement'!D$7</f>
        <v>0.6946936271618338</v>
      </c>
      <c r="E8" s="17">
        <f>'Income Statement'!E6/'Income Statement'!E$7</f>
        <v>0.73575199288517557</v>
      </c>
      <c r="F8" s="19">
        <v>0.74</v>
      </c>
      <c r="G8" s="19">
        <v>0.75</v>
      </c>
      <c r="H8" s="19">
        <v>0.76</v>
      </c>
      <c r="I8" s="19">
        <v>0.77</v>
      </c>
      <c r="J8" s="19">
        <v>0.78</v>
      </c>
    </row>
    <row r="9" spans="2:15 16384:16384" x14ac:dyDescent="0.3">
      <c r="B9" s="21"/>
      <c r="C9" s="18"/>
      <c r="D9" s="18"/>
      <c r="E9" s="18"/>
      <c r="F9" s="1"/>
      <c r="G9" s="1"/>
      <c r="H9" s="1"/>
      <c r="I9" s="1"/>
      <c r="J9" s="1"/>
    </row>
    <row r="10" spans="2:15 16384:16384" x14ac:dyDescent="0.3">
      <c r="B10" s="8" t="s">
        <v>156</v>
      </c>
      <c r="C10" s="17">
        <v>0</v>
      </c>
      <c r="D10" s="17">
        <f>'Income Statement'!D7/'Income Statement'!C7 - 1</f>
        <v>6.8820295556564215E-2</v>
      </c>
      <c r="E10" s="17">
        <f>'Income Statement'!E7/'Income Statement'!D7 - 1</f>
        <v>0.1566996201307127</v>
      </c>
      <c r="F10" s="19">
        <v>0.15</v>
      </c>
      <c r="G10" s="19">
        <v>0.15</v>
      </c>
      <c r="H10" s="19">
        <v>0.15</v>
      </c>
      <c r="I10" s="19">
        <v>0.15</v>
      </c>
      <c r="J10" s="19">
        <v>0.15</v>
      </c>
    </row>
    <row r="11" spans="2:15 16384:16384" x14ac:dyDescent="0.3">
      <c r="B11" s="8"/>
      <c r="D11" s="17"/>
      <c r="E11" s="17"/>
      <c r="F11" s="17"/>
      <c r="G11" s="17"/>
      <c r="H11" s="17"/>
      <c r="I11" s="17"/>
      <c r="J11" s="17"/>
    </row>
    <row r="12" spans="2:15 16384:16384" x14ac:dyDescent="0.3">
      <c r="B12" s="8" t="s">
        <v>157</v>
      </c>
      <c r="D12" s="17"/>
      <c r="E12" s="17"/>
      <c r="F12" s="17"/>
      <c r="G12" s="17"/>
      <c r="H12" s="17"/>
      <c r="I12" s="17"/>
      <c r="J12" s="17"/>
    </row>
    <row r="13" spans="2:15 16384:16384" x14ac:dyDescent="0.3">
      <c r="B13" s="3" t="s">
        <v>159</v>
      </c>
      <c r="C13" s="17">
        <f>'Income Statement'!C10/'Income Statement'!C$13</f>
        <v>0.1659369641473796</v>
      </c>
      <c r="D13" s="17">
        <f>'Income Statement'!D10/'Income Statement'!D$13</f>
        <v>0.14428812240663899</v>
      </c>
      <c r="E13" s="17">
        <f>'Income Statement'!E10/'Income Statement'!E$13</f>
        <v>0.11255149643670452</v>
      </c>
      <c r="F13" s="19">
        <v>0.11</v>
      </c>
      <c r="G13" s="19">
        <v>0.1</v>
      </c>
      <c r="H13" s="19">
        <v>0.09</v>
      </c>
      <c r="I13" s="19">
        <v>0.08</v>
      </c>
      <c r="J13" s="19">
        <v>7.0000000000000007E-2</v>
      </c>
    </row>
    <row r="14" spans="2:15 16384:16384" x14ac:dyDescent="0.3">
      <c r="B14" s="3" t="s">
        <v>162</v>
      </c>
      <c r="C14" s="17">
        <f>'Income Statement'!C11/'Income Statement'!C$13</f>
        <v>0.37938147919259796</v>
      </c>
      <c r="D14" s="17">
        <f>'Income Statement'!D11/'Income Statement'!D$13</f>
        <v>0.38948230031120334</v>
      </c>
      <c r="E14" s="17">
        <f>'Income Statement'!E11/'Income Statement'!E$13</f>
        <v>0.43365342805975426</v>
      </c>
      <c r="F14" s="19">
        <v>0.44</v>
      </c>
      <c r="G14" s="19">
        <v>0.45</v>
      </c>
      <c r="H14" s="19">
        <v>0.46</v>
      </c>
      <c r="I14" s="19">
        <v>0.47</v>
      </c>
      <c r="J14" s="19">
        <v>0.48</v>
      </c>
    </row>
    <row r="15" spans="2:15 16384:16384" x14ac:dyDescent="0.3">
      <c r="B15" s="3" t="s">
        <v>160</v>
      </c>
      <c r="C15" s="17">
        <f>'Income Statement'!C12/'Income Statement'!C$13</f>
        <v>0.45468155666002247</v>
      </c>
      <c r="D15" s="17">
        <f>'Income Statement'!D12/'Income Statement'!D$13</f>
        <v>0.46622957728215769</v>
      </c>
      <c r="E15" s="17">
        <f>'Income Statement'!E12/'Income Statement'!E$13</f>
        <v>0.4537950755035412</v>
      </c>
      <c r="F15" s="19">
        <v>0.45</v>
      </c>
      <c r="G15" s="19">
        <v>0.45</v>
      </c>
      <c r="H15" s="19">
        <v>0.45</v>
      </c>
      <c r="I15" s="19">
        <v>0.45</v>
      </c>
      <c r="J15" s="19">
        <v>0.45</v>
      </c>
    </row>
    <row r="16" spans="2:15 16384:16384" x14ac:dyDescent="0.3">
      <c r="B16" s="8"/>
      <c r="C16" s="4"/>
      <c r="D16" s="4"/>
      <c r="E16" s="4"/>
    </row>
    <row r="17" spans="2:11" x14ac:dyDescent="0.3">
      <c r="B17" s="8" t="s">
        <v>161</v>
      </c>
      <c r="C17" s="17">
        <v>0</v>
      </c>
      <c r="D17" s="17">
        <f>('Income Statement'!D13/'Income Statement'!C13) - 1</f>
        <v>7.402926353721484E-2</v>
      </c>
      <c r="E17" s="17">
        <f>('Income Statement'!E13/'Income Statement'!D13) - 1</f>
        <v>9.9658000518672241E-2</v>
      </c>
      <c r="F17" s="19">
        <f>(0.13+0.07)/2</f>
        <v>0.1</v>
      </c>
      <c r="G17" s="19">
        <f t="shared" ref="G17:J17" si="2">(0.13+0.07)/2</f>
        <v>0.1</v>
      </c>
      <c r="H17" s="19">
        <f t="shared" si="2"/>
        <v>0.1</v>
      </c>
      <c r="I17" s="19">
        <f t="shared" si="2"/>
        <v>0.1</v>
      </c>
      <c r="J17" s="19">
        <f t="shared" si="2"/>
        <v>0.1</v>
      </c>
    </row>
    <row r="18" spans="2:11" x14ac:dyDescent="0.3">
      <c r="B18" s="21"/>
      <c r="C18" s="14"/>
      <c r="D18" s="14"/>
      <c r="E18" s="14"/>
    </row>
    <row r="19" spans="2:11" x14ac:dyDescent="0.3">
      <c r="B19" s="8" t="s">
        <v>153</v>
      </c>
      <c r="C19" s="4">
        <f>'Income Statement'!C16</f>
        <v>333</v>
      </c>
      <c r="D19" s="4">
        <f>'Income Statement'!D16</f>
        <v>788</v>
      </c>
      <c r="E19" s="4">
        <f>'Income Statement'!E16</f>
        <v>-1646</v>
      </c>
      <c r="F19" s="27">
        <f>AVERAGE($C$19:$E$19)</f>
        <v>-175</v>
      </c>
      <c r="G19" s="27">
        <f>AVERAGE($C$19:$E$19)</f>
        <v>-175</v>
      </c>
      <c r="H19" s="27">
        <f>AVERAGE($C$19:$E$19)</f>
        <v>-175</v>
      </c>
      <c r="I19" s="27">
        <f>AVERAGE($C$19:$E$19)</f>
        <v>-175</v>
      </c>
      <c r="J19" s="27">
        <f>AVERAGE($C$19:$E$19)</f>
        <v>-175</v>
      </c>
    </row>
    <row r="20" spans="2:11" x14ac:dyDescent="0.3">
      <c r="B20" s="8"/>
    </row>
    <row r="21" spans="2:11" x14ac:dyDescent="0.3">
      <c r="B21" s="8" t="s">
        <v>172</v>
      </c>
      <c r="C21" s="17">
        <f>-'Income Statement'!C19/'Income Statement'!C18</f>
        <v>0.13113383343685794</v>
      </c>
      <c r="D21" s="17">
        <f>-'Income Statement'!D19/'Income Statement'!D18</f>
        <v>0.18978625253328257</v>
      </c>
      <c r="E21" s="17">
        <f>-'Income Statement'!E19/'Income Statement'!E18</f>
        <v>0.18231326597827197</v>
      </c>
      <c r="F21" s="19">
        <f>E21-0.005</f>
        <v>0.17731326597827196</v>
      </c>
      <c r="G21" s="19">
        <f t="shared" ref="G21:J21" si="3">F21-0.005</f>
        <v>0.17231326597827196</v>
      </c>
      <c r="H21" s="19">
        <f t="shared" si="3"/>
        <v>0.16731326597827195</v>
      </c>
      <c r="I21" s="19">
        <f t="shared" si="3"/>
        <v>0.16231326597827195</v>
      </c>
      <c r="J21" s="19">
        <f t="shared" si="3"/>
        <v>0.15731326597827194</v>
      </c>
    </row>
    <row r="22" spans="2:11" x14ac:dyDescent="0.3">
      <c r="B22" s="8"/>
      <c r="C22" s="4"/>
      <c r="D22" s="4"/>
      <c r="E22" s="4"/>
    </row>
    <row r="23" spans="2:11" x14ac:dyDescent="0.3">
      <c r="B23" s="8" t="s">
        <v>152</v>
      </c>
      <c r="C23" s="4">
        <f>'Income Statement'!C22</f>
        <v>-6500</v>
      </c>
      <c r="D23" s="4">
        <f>'Income Statement'!D22</f>
        <v>-1665</v>
      </c>
      <c r="E23" s="4">
        <f>'Income Statement'!E22</f>
        <v>753</v>
      </c>
      <c r="F23" s="27">
        <f>AVERAGE($C$23:$E$23)</f>
        <v>-2470.6666666666665</v>
      </c>
      <c r="G23" s="27">
        <f>AVERAGE($C$23:$E$23)</f>
        <v>-2470.6666666666665</v>
      </c>
      <c r="H23" s="27">
        <f>AVERAGE($C$23:$E$23)</f>
        <v>-2470.6666666666665</v>
      </c>
      <c r="I23" s="27">
        <f>AVERAGE($C$23:$E$23)</f>
        <v>-2470.6666666666665</v>
      </c>
      <c r="J23" s="27">
        <f>AVERAGE($C$23:$E$23)</f>
        <v>-2470.6666666666665</v>
      </c>
    </row>
    <row r="25" spans="2:11" x14ac:dyDescent="0.3">
      <c r="B25" s="1" t="s">
        <v>33</v>
      </c>
      <c r="C25" s="17"/>
      <c r="D25" s="14"/>
      <c r="E25" s="14"/>
    </row>
    <row r="26" spans="2:11" x14ac:dyDescent="0.3">
      <c r="B26" s="2" t="s">
        <v>74</v>
      </c>
    </row>
    <row r="27" spans="2:11" x14ac:dyDescent="0.3">
      <c r="B27" s="3" t="s">
        <v>179</v>
      </c>
      <c r="C27" s="17">
        <f>'Balance Sheet'!C6/'Income Statement'!C7</f>
        <v>0.22323599132496091</v>
      </c>
      <c r="D27" s="17">
        <f>'Balance Sheet'!D6/'Income Statement'!D7</f>
        <v>0.22975249510416912</v>
      </c>
      <c r="E27" s="17">
        <f>'Balance Sheet'!E6/'Income Statement'!E7</f>
        <v>0.23222721746722041</v>
      </c>
      <c r="F27" s="19">
        <f>AVERAGE($C27:$E27)</f>
        <v>0.22840523463211682</v>
      </c>
      <c r="G27" s="19">
        <f t="shared" ref="G27:J27" si="4">AVERAGE($C27:$E27)</f>
        <v>0.22840523463211682</v>
      </c>
      <c r="H27" s="19">
        <f t="shared" si="4"/>
        <v>0.22840523463211682</v>
      </c>
      <c r="I27" s="19">
        <f t="shared" si="4"/>
        <v>0.22840523463211682</v>
      </c>
      <c r="J27" s="19">
        <f t="shared" si="4"/>
        <v>0.22840523463211682</v>
      </c>
    </row>
    <row r="28" spans="2:11" x14ac:dyDescent="0.3">
      <c r="B28" s="3" t="s">
        <v>180</v>
      </c>
      <c r="C28" s="17">
        <f>-'Balance Sheet'!C7/SUM('Income Statement'!C10:C11)</f>
        <v>0.32986432561851559</v>
      </c>
      <c r="D28" s="17">
        <f>-'Balance Sheet'!D7/SUM('Income Statement'!D10:D11)</f>
        <v>0.36905394531072072</v>
      </c>
      <c r="E28" s="17">
        <f>-'Balance Sheet'!E7/SUM('Income Statement'!E10:E11)</f>
        <v>0.36790619855897672</v>
      </c>
      <c r="F28" s="19">
        <f t="shared" ref="F28:J29" si="5">AVERAGE($C28:$E28)</f>
        <v>0.35560815649607097</v>
      </c>
      <c r="G28" s="19">
        <f t="shared" si="5"/>
        <v>0.35560815649607097</v>
      </c>
      <c r="H28" s="19">
        <f t="shared" si="5"/>
        <v>0.35560815649607097</v>
      </c>
      <c r="I28" s="19">
        <f t="shared" si="5"/>
        <v>0.35560815649607097</v>
      </c>
      <c r="J28" s="19">
        <f t="shared" si="5"/>
        <v>0.35560815649607097</v>
      </c>
      <c r="K28" s="19"/>
    </row>
    <row r="29" spans="2:11" x14ac:dyDescent="0.3">
      <c r="B29" s="3" t="s">
        <v>181</v>
      </c>
      <c r="C29" s="17">
        <f>-'Balance Sheet'!C9/'Income Statement'!C12</f>
        <v>0.25169898730784696</v>
      </c>
      <c r="D29" s="17">
        <f>-'Balance Sheet'!D9/'Income Statement'!D12</f>
        <v>0.2493698830155226</v>
      </c>
      <c r="E29" s="17">
        <f>-'Balance Sheet'!E9/'Income Statement'!E12</f>
        <v>0.3079334145351198</v>
      </c>
      <c r="F29" s="19">
        <f t="shared" si="5"/>
        <v>0.26966742828616314</v>
      </c>
      <c r="G29" s="19">
        <f t="shared" si="5"/>
        <v>0.26966742828616314</v>
      </c>
      <c r="H29" s="19">
        <f t="shared" si="5"/>
        <v>0.26966742828616314</v>
      </c>
      <c r="I29" s="19">
        <f t="shared" si="5"/>
        <v>0.26966742828616314</v>
      </c>
      <c r="J29" s="19">
        <f t="shared" si="5"/>
        <v>0.26966742828616314</v>
      </c>
    </row>
    <row r="30" spans="2:11" x14ac:dyDescent="0.3">
      <c r="B30" s="3"/>
      <c r="C30" s="17"/>
      <c r="D30" s="17"/>
      <c r="E30" s="17"/>
      <c r="F30" s="19"/>
      <c r="G30" s="19"/>
      <c r="H30" s="19"/>
      <c r="I30" s="19"/>
      <c r="J30" s="19"/>
    </row>
    <row r="31" spans="2:11" x14ac:dyDescent="0.3">
      <c r="B31" s="2" t="s">
        <v>78</v>
      </c>
      <c r="C31" s="17"/>
      <c r="D31" s="17"/>
      <c r="E31" s="17"/>
      <c r="F31" s="19"/>
      <c r="G31" s="19"/>
      <c r="H31" s="19"/>
      <c r="I31" s="19"/>
      <c r="J31" s="19"/>
    </row>
    <row r="32" spans="2:11" x14ac:dyDescent="0.3">
      <c r="B32" s="3" t="s">
        <v>183</v>
      </c>
      <c r="C32" s="17">
        <f>-'Balance Sheet'!C15/SUM('Income Statement'!C10:C11)</f>
        <v>0.30327214684756582</v>
      </c>
      <c r="D32" s="17">
        <f>-'Balance Sheet'!D15/SUM('Income Statement'!D10:D11)</f>
        <v>0.27473695398023168</v>
      </c>
      <c r="E32" s="17">
        <f>-'Balance Sheet'!E15/SUM('Income Statement'!E10:E11)</f>
        <v>0.29678603232857492</v>
      </c>
      <c r="F32" s="19">
        <f>AVERAGE($C32:$E32)</f>
        <v>0.29159837771879077</v>
      </c>
      <c r="G32" s="19">
        <f t="shared" ref="G32:J34" si="6">AVERAGE($C32:$E32)</f>
        <v>0.29159837771879077</v>
      </c>
      <c r="H32" s="19">
        <f t="shared" si="6"/>
        <v>0.29159837771879077</v>
      </c>
      <c r="I32" s="19">
        <f t="shared" si="6"/>
        <v>0.29159837771879077</v>
      </c>
      <c r="J32" s="19">
        <f t="shared" si="6"/>
        <v>0.29159837771879077</v>
      </c>
    </row>
    <row r="33" spans="2:12" x14ac:dyDescent="0.3">
      <c r="B33" s="3" t="s">
        <v>184</v>
      </c>
      <c r="C33" s="17">
        <f>-'Balance Sheet'!C16/'Income Statement'!C13</f>
        <v>0.51414868522983448</v>
      </c>
      <c r="D33" s="17">
        <f>-'Balance Sheet'!D16/'Income Statement'!D13</f>
        <v>0.52533389522821572</v>
      </c>
      <c r="E33" s="17">
        <f>-'Balance Sheet'!E16/'Income Statement'!E13</f>
        <v>0.53613778567164616</v>
      </c>
      <c r="F33" s="19">
        <f t="shared" ref="F33:J34" si="7">AVERAGE($C33:$E33)</f>
        <v>0.52520678870989868</v>
      </c>
      <c r="G33" s="19">
        <f t="shared" si="6"/>
        <v>0.52520678870989868</v>
      </c>
      <c r="H33" s="19">
        <f t="shared" si="6"/>
        <v>0.52520678870989868</v>
      </c>
      <c r="I33" s="19">
        <f t="shared" si="6"/>
        <v>0.52520678870989868</v>
      </c>
      <c r="J33" s="19">
        <f t="shared" si="6"/>
        <v>0.52520678870989868</v>
      </c>
    </row>
    <row r="34" spans="2:12" x14ac:dyDescent="0.3">
      <c r="B34" s="3" t="s">
        <v>185</v>
      </c>
      <c r="C34" s="17">
        <f>-'Balance Sheet'!C19/'Income Statement'!C13</f>
        <v>0.2488793336060651</v>
      </c>
      <c r="D34" s="17">
        <f>-'Balance Sheet'!D19/'Income Statement'!D13</f>
        <v>0.26521978734439833</v>
      </c>
      <c r="E34" s="17">
        <f>-'Balance Sheet'!E19/'Income Statement'!E13</f>
        <v>0.34084561018210763</v>
      </c>
      <c r="F34" s="19">
        <f t="shared" si="7"/>
        <v>0.28498157704419036</v>
      </c>
      <c r="G34" s="19">
        <f t="shared" si="6"/>
        <v>0.28498157704419036</v>
      </c>
      <c r="H34" s="19">
        <f t="shared" si="6"/>
        <v>0.28498157704419036</v>
      </c>
      <c r="I34" s="19">
        <f t="shared" si="6"/>
        <v>0.28498157704419036</v>
      </c>
      <c r="J34" s="19">
        <f t="shared" si="6"/>
        <v>0.28498157704419036</v>
      </c>
      <c r="L34" s="28"/>
    </row>
    <row r="35" spans="2:12" x14ac:dyDescent="0.3">
      <c r="B35" s="3" t="s">
        <v>201</v>
      </c>
      <c r="C35" s="17">
        <f>'Balance Sheet'!C18/'Income Statement'!C18</f>
        <v>0.36272636055234364</v>
      </c>
      <c r="D35" s="17">
        <f>'Balance Sheet'!D18/'Income Statement'!D18</f>
        <v>0.33752841195373467</v>
      </c>
      <c r="E35" s="17">
        <f>'Balance Sheet'!E18/'Income Statement'!E18</f>
        <v>0.32996558026478146</v>
      </c>
      <c r="F35" s="19">
        <f>AVERAGE($C$35:$E$35)</f>
        <v>0.34340678425695326</v>
      </c>
      <c r="G35" s="19">
        <f t="shared" ref="G35:J35" si="8">AVERAGE($C$35:$E$35)</f>
        <v>0.34340678425695326</v>
      </c>
      <c r="H35" s="19">
        <f t="shared" si="8"/>
        <v>0.34340678425695326</v>
      </c>
      <c r="I35" s="19">
        <f t="shared" si="8"/>
        <v>0.34340678425695326</v>
      </c>
      <c r="J35" s="19">
        <f t="shared" si="8"/>
        <v>0.34340678425695326</v>
      </c>
      <c r="L35" s="28"/>
    </row>
    <row r="36" spans="2:12" x14ac:dyDescent="0.3">
      <c r="B36" s="3" t="s">
        <v>206</v>
      </c>
      <c r="C36" s="17">
        <v>0</v>
      </c>
      <c r="D36" s="17">
        <f>'Balance Sheet'!D14/'Balance Sheet'!C14-1</f>
        <v>-5.1103834796408232E-2</v>
      </c>
      <c r="E36" s="17">
        <f>'Balance Sheet'!E14/'Balance Sheet'!D14-1</f>
        <v>9.2999132036327481E-2</v>
      </c>
      <c r="F36" s="27">
        <f>(AVERAGE(D36:E36)+1)*'Balance Sheet'!E14</f>
        <v>52711.527098248509</v>
      </c>
      <c r="G36" s="27">
        <f>(AVERAGE($D$36:$E$36)+1)*F36</f>
        <v>53815.709646124094</v>
      </c>
      <c r="H36" s="27">
        <f t="shared" ref="H36:J36" si="9">(AVERAGE($D$36:$E$36)+1)*G36</f>
        <v>54943.022222024869</v>
      </c>
      <c r="I36" s="27">
        <f t="shared" si="9"/>
        <v>56093.949345650479</v>
      </c>
      <c r="J36" s="27">
        <f t="shared" si="9"/>
        <v>57268.985686248976</v>
      </c>
      <c r="L36" s="28"/>
    </row>
    <row r="37" spans="2:12" x14ac:dyDescent="0.3">
      <c r="C37" s="17"/>
      <c r="D37" s="17"/>
      <c r="E37" s="17"/>
      <c r="F37" s="27"/>
      <c r="G37" s="27"/>
      <c r="H37" s="27"/>
      <c r="I37" s="27"/>
      <c r="J37" s="27"/>
      <c r="L37" s="28"/>
    </row>
    <row r="38" spans="2:12" x14ac:dyDescent="0.3">
      <c r="B38" s="2" t="s">
        <v>89</v>
      </c>
      <c r="C38" s="17"/>
      <c r="D38" s="17"/>
      <c r="E38" s="17"/>
      <c r="F38" s="27"/>
      <c r="G38" s="27"/>
      <c r="H38" s="27"/>
      <c r="I38" s="27"/>
      <c r="J38" s="27"/>
      <c r="L38" s="28"/>
    </row>
    <row r="39" spans="2:12" x14ac:dyDescent="0.3">
      <c r="B39" s="3" t="s">
        <v>207</v>
      </c>
      <c r="C39" s="17">
        <v>0</v>
      </c>
      <c r="D39" s="17">
        <f>'Balance Sheet'!D23/'Balance Sheet'!C23-1</f>
        <v>7.7974211803678362E-2</v>
      </c>
      <c r="E39" s="17">
        <f>'Balance Sheet'!E23/'Balance Sheet'!D23-1</f>
        <v>7.6879574894897384E-2</v>
      </c>
      <c r="F39" s="27">
        <f>(AVERAGE(D39:E39)+1)*'Balance Sheet'!E23</f>
        <v>108737.15435749017</v>
      </c>
      <c r="G39" s="27">
        <f>(AVERAGE($D$39:$E$39)+1)*F39</f>
        <v>117156.33441103261</v>
      </c>
      <c r="H39" s="27">
        <f t="shared" ref="H39:J39" si="10">(AVERAGE($D$39:$E$39)+1)*G39</f>
        <v>126227.38542066915</v>
      </c>
      <c r="I39" s="27">
        <f t="shared" si="10"/>
        <v>136000.77972939477</v>
      </c>
      <c r="J39" s="27">
        <f t="shared" si="10"/>
        <v>146530.89759692262</v>
      </c>
      <c r="L39" s="28"/>
    </row>
    <row r="40" spans="2:12" x14ac:dyDescent="0.3">
      <c r="B40" s="3" t="s">
        <v>209</v>
      </c>
      <c r="F40" s="27">
        <v>173144</v>
      </c>
      <c r="G40" s="27">
        <v>173144</v>
      </c>
      <c r="H40" s="27">
        <v>173144</v>
      </c>
      <c r="I40" s="27">
        <v>173144</v>
      </c>
      <c r="J40" s="27">
        <v>173144</v>
      </c>
      <c r="L40" s="28"/>
    </row>
    <row r="41" spans="2:12" x14ac:dyDescent="0.3">
      <c r="B41" s="3" t="s">
        <v>208</v>
      </c>
      <c r="C41" s="4">
        <v>-4678</v>
      </c>
      <c r="D41" s="4">
        <v>-6343</v>
      </c>
      <c r="E41" s="4">
        <v>-5590</v>
      </c>
      <c r="F41" s="27">
        <f>AVERAGE($C$41:$E$41)</f>
        <v>-5537</v>
      </c>
      <c r="G41" s="27">
        <f t="shared" ref="G41:J41" si="11">AVERAGE($C$41:$E$41)</f>
        <v>-5537</v>
      </c>
      <c r="H41" s="27">
        <f t="shared" si="11"/>
        <v>-5537</v>
      </c>
      <c r="I41" s="27">
        <f t="shared" si="11"/>
        <v>-5537</v>
      </c>
      <c r="J41" s="27">
        <f t="shared" si="11"/>
        <v>-5537</v>
      </c>
      <c r="L41" s="28"/>
    </row>
    <row r="42" spans="2:12" x14ac:dyDescent="0.3">
      <c r="C42" s="17"/>
      <c r="D42" s="17"/>
      <c r="E42" s="17"/>
      <c r="F42" s="27"/>
      <c r="G42" s="27"/>
      <c r="H42" s="27"/>
      <c r="I42" s="27"/>
      <c r="J42" s="27"/>
      <c r="L42" s="28"/>
    </row>
    <row r="43" spans="2:12" x14ac:dyDescent="0.3">
      <c r="B43" s="1" t="s">
        <v>174</v>
      </c>
      <c r="C43" s="17"/>
      <c r="D43" s="17"/>
      <c r="E43" s="17"/>
      <c r="F43" s="27"/>
      <c r="G43" s="27"/>
      <c r="H43" s="27"/>
      <c r="I43" s="27"/>
      <c r="J43" s="27"/>
      <c r="L43" s="28"/>
    </row>
    <row r="44" spans="2:12" x14ac:dyDescent="0.3">
      <c r="B44" s="3" t="s">
        <v>191</v>
      </c>
      <c r="C44" s="17">
        <f>-'Cash Flow'!C25/'Income Statement'!C7</f>
        <v>0.12047208352246935</v>
      </c>
      <c r="D44" s="17">
        <f>-'Cash Flow'!D25/'Income Statement'!D7</f>
        <v>0.13263336715192411</v>
      </c>
      <c r="E44" s="17">
        <f>-'Cash Flow'!E25/'Income Statement'!E7</f>
        <v>0.18144842160230415</v>
      </c>
      <c r="F44" s="19">
        <f>AVERAGE($C$44:$E$44)</f>
        <v>0.14485129075889921</v>
      </c>
      <c r="G44" s="19">
        <f t="shared" ref="G44:J44" si="12">AVERAGE($C$44:$E$44)</f>
        <v>0.14485129075889921</v>
      </c>
      <c r="H44" s="19">
        <f t="shared" si="12"/>
        <v>0.14485129075889921</v>
      </c>
      <c r="I44" s="19">
        <f t="shared" si="12"/>
        <v>0.14485129075889921</v>
      </c>
      <c r="J44" s="19">
        <f t="shared" si="12"/>
        <v>0.14485129075889921</v>
      </c>
    </row>
    <row r="45" spans="2:12" x14ac:dyDescent="0.3">
      <c r="B45" s="3" t="s">
        <v>192</v>
      </c>
      <c r="C45" s="17">
        <v>7.2930851868663937E-2</v>
      </c>
      <c r="D45" s="17">
        <v>6.5408300497841118E-2</v>
      </c>
      <c r="E45" s="17">
        <v>9.0922071458294243E-2</v>
      </c>
      <c r="F45" s="19">
        <f>AVERAGE(C45:E45)</f>
        <v>7.6420407941599766E-2</v>
      </c>
      <c r="G45" s="19">
        <f t="shared" ref="G45:J45" si="13">AVERAGE(D45:F45)</f>
        <v>7.7583593299245038E-2</v>
      </c>
      <c r="H45" s="19">
        <f t="shared" si="13"/>
        <v>8.164202423304634E-2</v>
      </c>
      <c r="I45" s="19">
        <f t="shared" si="13"/>
        <v>7.854867515796371E-2</v>
      </c>
      <c r="J45" s="19">
        <f t="shared" si="13"/>
        <v>7.9258097563418353E-2</v>
      </c>
    </row>
    <row r="46" spans="2:12" x14ac:dyDescent="0.3">
      <c r="B46" s="3" t="s">
        <v>193</v>
      </c>
      <c r="C46" s="4">
        <v>18800</v>
      </c>
      <c r="D46" s="4">
        <v>75400</v>
      </c>
      <c r="E46" s="4">
        <v>0</v>
      </c>
      <c r="F46" s="27">
        <f>0.25*$C$46 + 0.15*$D$46 + 0.6*$E$46</f>
        <v>16010</v>
      </c>
      <c r="G46" s="27">
        <f t="shared" ref="G46:J46" si="14">0.25*$C$46 + 0.15*$D$46 + 0.6*$E$46</f>
        <v>16010</v>
      </c>
      <c r="H46" s="27">
        <f t="shared" si="14"/>
        <v>16010</v>
      </c>
      <c r="I46" s="27">
        <f t="shared" si="14"/>
        <v>16010</v>
      </c>
      <c r="J46" s="27">
        <f t="shared" si="14"/>
        <v>16010</v>
      </c>
    </row>
    <row r="47" spans="2:12" x14ac:dyDescent="0.3">
      <c r="B47" s="3" t="s">
        <v>194</v>
      </c>
      <c r="C47" s="17">
        <f>-'Cash Flow'!C20/'Income Statement'!C24</f>
        <v>0.27378544038165403</v>
      </c>
      <c r="D47" s="17">
        <f>-'Cash Flow'!D20/'Income Statement'!D24</f>
        <v>0.28007242276790767</v>
      </c>
      <c r="E47" s="17">
        <f>-'Cash Flow'!E20/'Income Statement'!E24</f>
        <v>0.2449234438456952</v>
      </c>
      <c r="F47" s="19">
        <f>AVERAGE($C$47:$E$47)</f>
        <v>0.26626043566508562</v>
      </c>
      <c r="G47" s="19">
        <f t="shared" ref="G47:J47" si="15">AVERAGE($C$47:$E$47)</f>
        <v>0.26626043566508562</v>
      </c>
      <c r="H47" s="19">
        <f t="shared" si="15"/>
        <v>0.26626043566508562</v>
      </c>
      <c r="I47" s="19">
        <f t="shared" si="15"/>
        <v>0.26626043566508562</v>
      </c>
      <c r="J47" s="19">
        <f t="shared" si="15"/>
        <v>0.26626043566508562</v>
      </c>
    </row>
    <row r="48" spans="2:12" x14ac:dyDescent="0.3">
      <c r="B48" s="3" t="s">
        <v>195</v>
      </c>
      <c r="C48" s="17">
        <f>'Cash Flow'!C29/'Income Statement'!C7</f>
        <v>-7.1115146013012555E-4</v>
      </c>
      <c r="D48" s="17">
        <f>'Cash Flow'!D29/'Income Statement'!D7</f>
        <v>-9.1546138782058848E-4</v>
      </c>
      <c r="E48" s="17">
        <f>'Cash Flow'!E29/'Income Statement'!E7</f>
        <v>-8.5671624741965225E-4</v>
      </c>
      <c r="F48" s="19">
        <f>-AVERAGE($C$48:$E$48)</f>
        <v>8.2777636512345546E-4</v>
      </c>
      <c r="G48" s="19">
        <f t="shared" ref="G48:J48" si="16">-AVERAGE($C$48:$E$48)</f>
        <v>8.2777636512345546E-4</v>
      </c>
      <c r="H48" s="19">
        <f t="shared" si="16"/>
        <v>8.2777636512345546E-4</v>
      </c>
      <c r="I48" s="19">
        <f t="shared" si="16"/>
        <v>8.2777636512345546E-4</v>
      </c>
      <c r="J48" s="19">
        <f t="shared" si="16"/>
        <v>8.2777636512345546E-4</v>
      </c>
    </row>
    <row r="49" spans="2:10" x14ac:dyDescent="0.3">
      <c r="B49" s="3" t="s">
        <v>211</v>
      </c>
      <c r="C49" s="17">
        <f>-'Cash Flow'!C20/'Income Statement'!C7</f>
        <v>9.146618247843849E-2</v>
      </c>
      <c r="D49" s="17">
        <f>-'Cash Flow'!D20/'Income Statement'!D7</f>
        <v>9.3433688035297169E-2</v>
      </c>
      <c r="E49" s="17">
        <f>-'Cash Flow'!E20/'Income Statement'!E7</f>
        <v>8.8816997250348806E-2</v>
      </c>
      <c r="F49" s="19">
        <f>AVERAGE($C$49:$E$49)</f>
        <v>9.1238955921361484E-2</v>
      </c>
      <c r="G49" s="19">
        <f t="shared" ref="G49:J49" si="17">AVERAGE($C$49:$E$49)</f>
        <v>9.1238955921361484E-2</v>
      </c>
      <c r="H49" s="19">
        <f t="shared" si="17"/>
        <v>9.1238955921361484E-2</v>
      </c>
      <c r="I49" s="19">
        <f t="shared" si="17"/>
        <v>9.1238955921361484E-2</v>
      </c>
      <c r="J49" s="19">
        <f t="shared" si="17"/>
        <v>9.1238955921361484E-2</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F213-D254-47B4-805B-46AA028A712A}">
  <dimension ref="B2:J25"/>
  <sheetViews>
    <sheetView zoomScale="90" zoomScaleNormal="90" workbookViewId="0">
      <selection activeCell="B34" sqref="B34"/>
    </sheetView>
  </sheetViews>
  <sheetFormatPr defaultColWidth="15.77734375" defaultRowHeight="15.6" x14ac:dyDescent="0.3"/>
  <cols>
    <col min="1" max="1" width="2.77734375" style="2" customWidth="1"/>
    <col min="2" max="2" width="30" style="2" customWidth="1"/>
    <col min="3" max="16384" width="15.77734375" style="2"/>
  </cols>
  <sheetData>
    <row r="2" spans="2:10" x14ac:dyDescent="0.3">
      <c r="B2" s="1" t="s">
        <v>0</v>
      </c>
      <c r="C2" s="10">
        <v>44742</v>
      </c>
      <c r="D2" s="10">
        <f>EDATE(C2,12)</f>
        <v>45107</v>
      </c>
      <c r="E2" s="10">
        <f>EDATE(D2,12)</f>
        <v>45473</v>
      </c>
      <c r="F2" s="15">
        <v>45838</v>
      </c>
      <c r="G2" s="15">
        <f>EDATE(F2,12)</f>
        <v>46203</v>
      </c>
      <c r="H2" s="15">
        <f t="shared" ref="H2:J2" si="0">EDATE(G2,12)</f>
        <v>46568</v>
      </c>
      <c r="I2" s="15">
        <f t="shared" si="0"/>
        <v>46934</v>
      </c>
      <c r="J2" s="15">
        <f t="shared" si="0"/>
        <v>47299</v>
      </c>
    </row>
    <row r="4" spans="2:10" x14ac:dyDescent="0.3">
      <c r="B4" s="2" t="s">
        <v>1</v>
      </c>
    </row>
    <row r="5" spans="2:10" x14ac:dyDescent="0.3">
      <c r="B5" s="3" t="s">
        <v>148</v>
      </c>
      <c r="C5" s="4">
        <f>'IS - Raw Data'!B3</f>
        <v>72732</v>
      </c>
      <c r="D5" s="4">
        <f>'IS - Raw Data'!C3</f>
        <v>64699</v>
      </c>
      <c r="E5" s="4">
        <f>'IS - Raw Data'!D3</f>
        <v>64773</v>
      </c>
      <c r="F5" s="20">
        <f>F$7*Assumptions!F7</f>
        <v>73291.478000000003</v>
      </c>
      <c r="G5" s="20">
        <f>G$7*Assumptions!G7</f>
        <v>81043.461249999993</v>
      </c>
      <c r="H5" s="20">
        <f>H$7*Assumptions!H7</f>
        <v>89471.981219999972</v>
      </c>
      <c r="I5" s="20">
        <f>I$7*Assumptions!I7</f>
        <v>98605.579302874976</v>
      </c>
      <c r="J5" s="20">
        <f>J$7*Assumptions!J7</f>
        <v>108466.13723316246</v>
      </c>
    </row>
    <row r="6" spans="2:10" x14ac:dyDescent="0.3">
      <c r="B6" s="3" t="s">
        <v>149</v>
      </c>
      <c r="C6" s="4">
        <f>'IS - Raw Data'!B4</f>
        <v>125538</v>
      </c>
      <c r="D6" s="4">
        <f>'IS - Raw Data'!C4</f>
        <v>147216</v>
      </c>
      <c r="E6" s="4">
        <f>'IS - Raw Data'!D4</f>
        <v>180349</v>
      </c>
      <c r="F6" s="20">
        <f>F$7*Assumptions!F8</f>
        <v>208598.82199999999</v>
      </c>
      <c r="G6" s="20">
        <f>G$7*Assumptions!G8</f>
        <v>243130.38374999998</v>
      </c>
      <c r="H6" s="20">
        <f>H$7*Assumptions!H8</f>
        <v>283327.94052999996</v>
      </c>
      <c r="I6" s="20">
        <f>I$7*Assumptions!I8</f>
        <v>330114.33070962492</v>
      </c>
      <c r="J6" s="20">
        <f>J$7*Assumptions!J8</f>
        <v>384561.75928121235</v>
      </c>
    </row>
    <row r="7" spans="2:10" x14ac:dyDescent="0.3">
      <c r="B7" s="7" t="s">
        <v>150</v>
      </c>
      <c r="C7" s="9">
        <f>SUM(C5:C6)</f>
        <v>198270</v>
      </c>
      <c r="D7" s="9">
        <f t="shared" ref="D7:E7" si="1">SUM(D5:D6)</f>
        <v>211915</v>
      </c>
      <c r="E7" s="9">
        <f t="shared" si="1"/>
        <v>245122</v>
      </c>
      <c r="F7" s="9">
        <f>E7*(1 + Assumptions!F10)</f>
        <v>281890.3</v>
      </c>
      <c r="G7" s="9">
        <f>F7*(1 + Assumptions!G10)</f>
        <v>324173.84499999997</v>
      </c>
      <c r="H7" s="9">
        <f>G7*(1 + Assumptions!H10)</f>
        <v>372799.92174999992</v>
      </c>
      <c r="I7" s="9">
        <f>H7*(1 + Assumptions!I10)</f>
        <v>428719.91001249989</v>
      </c>
      <c r="J7" s="9">
        <f>I7*(1 + Assumptions!J10)</f>
        <v>493027.89651437482</v>
      </c>
    </row>
    <row r="8" spans="2:10" x14ac:dyDescent="0.3">
      <c r="B8" s="5"/>
    </row>
    <row r="9" spans="2:10" x14ac:dyDescent="0.3">
      <c r="B9" s="2" t="s">
        <v>157</v>
      </c>
    </row>
    <row r="10" spans="2:10" x14ac:dyDescent="0.3">
      <c r="B10" s="3" t="s">
        <v>147</v>
      </c>
      <c r="C10" s="4">
        <f>-'IS - Raw Data'!B7</f>
        <v>-19064</v>
      </c>
      <c r="D10" s="4">
        <f>-'IS - Raw Data'!C7</f>
        <v>-17804</v>
      </c>
      <c r="E10" s="4">
        <f>-'IS - Raw Data'!D7</f>
        <v>-15272</v>
      </c>
      <c r="F10" s="4">
        <f>Assumptions!F13*'Income Statement'!F$13</f>
        <v>-16418.369000000002</v>
      </c>
      <c r="G10" s="4">
        <f>Assumptions!G13*'Income Statement'!G$13</f>
        <v>-16418.369000000002</v>
      </c>
      <c r="H10" s="4">
        <f>Assumptions!H13*'Income Statement'!H$13</f>
        <v>-16254.185310000003</v>
      </c>
      <c r="I10" s="4">
        <f>Assumptions!I13*'Income Statement'!I$13</f>
        <v>-15892.981192000007</v>
      </c>
      <c r="J10" s="4">
        <f>Assumptions!J13*'Income Statement'!J$13</f>
        <v>-15296.994397300008</v>
      </c>
    </row>
    <row r="11" spans="2:10" x14ac:dyDescent="0.3">
      <c r="B11" s="3" t="s">
        <v>163</v>
      </c>
      <c r="C11" s="4">
        <f>-'IS - Raw Data'!B8</f>
        <v>-43586</v>
      </c>
      <c r="D11" s="4">
        <f>-'IS - Raw Data'!C8</f>
        <v>-48059</v>
      </c>
      <c r="E11" s="4">
        <f>-'IS - Raw Data'!D8</f>
        <v>-58842</v>
      </c>
      <c r="F11" s="4">
        <f>Assumptions!F14*'Income Statement'!F$13</f>
        <v>-65673.47600000001</v>
      </c>
      <c r="G11" s="4">
        <f>Assumptions!G14*'Income Statement'!G$13</f>
        <v>-73882.660500000013</v>
      </c>
      <c r="H11" s="4">
        <f>Assumptions!H14*'Income Statement'!H$13</f>
        <v>-83076.947140000018</v>
      </c>
      <c r="I11" s="4">
        <f>Assumptions!I14*'Income Statement'!I$13</f>
        <v>-93371.264503000028</v>
      </c>
      <c r="J11" s="4">
        <f>Assumptions!J14*'Income Statement'!J$13</f>
        <v>-104893.67586720004</v>
      </c>
    </row>
    <row r="12" spans="2:10" x14ac:dyDescent="0.3">
      <c r="B12" s="3" t="s">
        <v>151</v>
      </c>
      <c r="C12" s="4">
        <f>-SUM('IS - Raw Data'!B11:B13)</f>
        <v>-52237</v>
      </c>
      <c r="D12" s="4">
        <f>-SUM('IS - Raw Data'!C11:C13)</f>
        <v>-57529</v>
      </c>
      <c r="E12" s="4">
        <f>-SUM('IS - Raw Data'!D11:D13)</f>
        <v>-61575</v>
      </c>
      <c r="F12" s="4">
        <f>Assumptions!F15*'Income Statement'!F$13</f>
        <v>-67166.055000000008</v>
      </c>
      <c r="G12" s="4">
        <f>Assumptions!G15*'Income Statement'!G$13</f>
        <v>-73882.660500000013</v>
      </c>
      <c r="H12" s="4">
        <f>Assumptions!H15*'Income Statement'!H$13</f>
        <v>-81270.926550000018</v>
      </c>
      <c r="I12" s="4">
        <f>Assumptions!I15*'Income Statement'!I$13</f>
        <v>-89398.019205000033</v>
      </c>
      <c r="J12" s="4">
        <f>Assumptions!J15*'Income Statement'!J$13</f>
        <v>-98337.82112550005</v>
      </c>
    </row>
    <row r="13" spans="2:10" x14ac:dyDescent="0.3">
      <c r="B13" s="7" t="s">
        <v>158</v>
      </c>
      <c r="C13" s="9">
        <f t="shared" ref="C13:E13" si="2">SUM(C10:C12)</f>
        <v>-114887</v>
      </c>
      <c r="D13" s="9">
        <f t="shared" si="2"/>
        <v>-123392</v>
      </c>
      <c r="E13" s="9">
        <f t="shared" si="2"/>
        <v>-135689</v>
      </c>
      <c r="F13" s="9">
        <f>(1 + Assumptions!F17)*'Income Statement'!E13</f>
        <v>-149257.90000000002</v>
      </c>
      <c r="G13" s="9">
        <f>(1 + Assumptions!G17)*'Income Statement'!F13</f>
        <v>-164183.69000000003</v>
      </c>
      <c r="H13" s="9">
        <f>(1 + Assumptions!H17)*'Income Statement'!G13</f>
        <v>-180602.05900000004</v>
      </c>
      <c r="I13" s="9">
        <f>(1 + Assumptions!I17)*'Income Statement'!H13</f>
        <v>-198662.26490000007</v>
      </c>
      <c r="J13" s="9">
        <f>(1 + Assumptions!J17)*'Income Statement'!I13</f>
        <v>-218528.4913900001</v>
      </c>
    </row>
    <row r="14" spans="2:10" x14ac:dyDescent="0.3">
      <c r="B14" s="5"/>
    </row>
    <row r="15" spans="2:10" x14ac:dyDescent="0.3">
      <c r="B15" s="7" t="s">
        <v>3</v>
      </c>
      <c r="C15" s="9">
        <f>SUM(C13,C7)</f>
        <v>83383</v>
      </c>
      <c r="D15" s="9">
        <f t="shared" ref="D15:J15" si="3">SUM(D13,D7)</f>
        <v>88523</v>
      </c>
      <c r="E15" s="9">
        <f t="shared" si="3"/>
        <v>109433</v>
      </c>
      <c r="F15" s="9">
        <f t="shared" si="3"/>
        <v>132632.39999999997</v>
      </c>
      <c r="G15" s="9">
        <f t="shared" si="3"/>
        <v>159990.15499999994</v>
      </c>
      <c r="H15" s="9">
        <f t="shared" si="3"/>
        <v>192197.86274999988</v>
      </c>
      <c r="I15" s="9">
        <f t="shared" si="3"/>
        <v>230057.64511249983</v>
      </c>
      <c r="J15" s="9">
        <f t="shared" si="3"/>
        <v>274499.40512437472</v>
      </c>
    </row>
    <row r="16" spans="2:10" x14ac:dyDescent="0.3">
      <c r="B16" s="3" t="s">
        <v>153</v>
      </c>
      <c r="C16" s="4">
        <f>'IS - Raw Data'!B15</f>
        <v>333</v>
      </c>
      <c r="D16" s="4">
        <f>'IS - Raw Data'!C15</f>
        <v>788</v>
      </c>
      <c r="E16" s="4">
        <f>'IS - Raw Data'!D15</f>
        <v>-1646</v>
      </c>
      <c r="F16" s="4">
        <f>Assumptions!F19</f>
        <v>-175</v>
      </c>
      <c r="G16" s="4">
        <f>Assumptions!G19</f>
        <v>-175</v>
      </c>
      <c r="H16" s="4">
        <f>Assumptions!H19</f>
        <v>-175</v>
      </c>
      <c r="I16" s="4">
        <f>Assumptions!I19</f>
        <v>-175</v>
      </c>
      <c r="J16" s="4">
        <f>Assumptions!J19</f>
        <v>-175</v>
      </c>
    </row>
    <row r="17" spans="2:10" x14ac:dyDescent="0.3">
      <c r="B17" s="3"/>
      <c r="F17" s="4"/>
      <c r="G17" s="4"/>
      <c r="H17" s="4"/>
      <c r="I17" s="4"/>
      <c r="J17" s="4"/>
    </row>
    <row r="18" spans="2:10" x14ac:dyDescent="0.3">
      <c r="B18" s="7" t="s">
        <v>4</v>
      </c>
      <c r="C18" s="9">
        <f>SUM(C15:C16)</f>
        <v>83716</v>
      </c>
      <c r="D18" s="9">
        <f t="shared" ref="D18:J18" si="4">SUM(D15:D16)</f>
        <v>89311</v>
      </c>
      <c r="E18" s="9">
        <f t="shared" si="4"/>
        <v>107787</v>
      </c>
      <c r="F18" s="9">
        <f t="shared" si="4"/>
        <v>132457.39999999997</v>
      </c>
      <c r="G18" s="9">
        <f t="shared" si="4"/>
        <v>159815.15499999994</v>
      </c>
      <c r="H18" s="9">
        <f t="shared" si="4"/>
        <v>192022.86274999988</v>
      </c>
      <c r="I18" s="9">
        <f t="shared" si="4"/>
        <v>229882.64511249983</v>
      </c>
      <c r="J18" s="9">
        <f t="shared" si="4"/>
        <v>274324.40512437472</v>
      </c>
    </row>
    <row r="19" spans="2:10" x14ac:dyDescent="0.3">
      <c r="B19" s="3" t="s">
        <v>87</v>
      </c>
      <c r="C19" s="4">
        <f>-'IS - Raw Data'!B17</f>
        <v>-10978</v>
      </c>
      <c r="D19" s="4">
        <f>-'IS - Raw Data'!C17</f>
        <v>-16950</v>
      </c>
      <c r="E19" s="4">
        <f>-'IS - Raw Data'!D17</f>
        <v>-19651</v>
      </c>
      <c r="F19" s="20">
        <f>-F18*Assumptions!F21</f>
        <v>-23486.454196990355</v>
      </c>
      <c r="G19" s="20">
        <f>-G18*Assumptions!G21</f>
        <v>-27538.271310873748</v>
      </c>
      <c r="H19" s="20">
        <f>-H18*Assumptions!H21</f>
        <v>-32127.97230919994</v>
      </c>
      <c r="I19" s="20">
        <f>-I18*Assumptions!I21</f>
        <v>-37313.002919933882</v>
      </c>
      <c r="J19" s="20">
        <f>-J18*Assumptions!J21</f>
        <v>-43154.868107661991</v>
      </c>
    </row>
    <row r="21" spans="2:10" x14ac:dyDescent="0.3">
      <c r="B21" s="7" t="s">
        <v>5</v>
      </c>
      <c r="C21" s="9">
        <f>SUM(C18:C19)</f>
        <v>72738</v>
      </c>
      <c r="D21" s="9">
        <f t="shared" ref="D21:J21" si="5">SUM(D18:D19)</f>
        <v>72361</v>
      </c>
      <c r="E21" s="9">
        <f t="shared" si="5"/>
        <v>88136</v>
      </c>
      <c r="F21" s="9">
        <f t="shared" si="5"/>
        <v>108970.94580300961</v>
      </c>
      <c r="G21" s="9">
        <f t="shared" si="5"/>
        <v>132276.8836891262</v>
      </c>
      <c r="H21" s="9">
        <f t="shared" si="5"/>
        <v>159894.89044079994</v>
      </c>
      <c r="I21" s="9">
        <f t="shared" si="5"/>
        <v>192569.64219256595</v>
      </c>
      <c r="J21" s="9">
        <f t="shared" si="5"/>
        <v>231169.53701671274</v>
      </c>
    </row>
    <row r="22" spans="2:10" x14ac:dyDescent="0.3">
      <c r="B22" s="3" t="s">
        <v>152</v>
      </c>
      <c r="C22" s="4">
        <f>SUM('IS - Raw Data'!B28:B30)</f>
        <v>-6500</v>
      </c>
      <c r="D22" s="4">
        <f>SUM('IS - Raw Data'!C28:C30)</f>
        <v>-1665</v>
      </c>
      <c r="E22" s="4">
        <f>SUM('IS - Raw Data'!D28:D30)</f>
        <v>753</v>
      </c>
      <c r="F22" s="4">
        <f>Assumptions!F23</f>
        <v>-2470.6666666666665</v>
      </c>
      <c r="G22" s="4">
        <f>Assumptions!G23</f>
        <v>-2470.6666666666665</v>
      </c>
      <c r="H22" s="4">
        <f>Assumptions!H23</f>
        <v>-2470.6666666666665</v>
      </c>
      <c r="I22" s="4">
        <f>Assumptions!I23</f>
        <v>-2470.6666666666665</v>
      </c>
      <c r="J22" s="4">
        <f>Assumptions!J23</f>
        <v>-2470.6666666666665</v>
      </c>
    </row>
    <row r="24" spans="2:10" ht="16.2" thickBot="1" x14ac:dyDescent="0.35">
      <c r="B24" s="6" t="s">
        <v>6</v>
      </c>
      <c r="C24" s="11">
        <f>SUM(C21:C22)</f>
        <v>66238</v>
      </c>
      <c r="D24" s="11">
        <f t="shared" ref="D24:J24" si="6">SUM(D21:D22)</f>
        <v>70696</v>
      </c>
      <c r="E24" s="11">
        <f t="shared" si="6"/>
        <v>88889</v>
      </c>
      <c r="F24" s="11">
        <f t="shared" si="6"/>
        <v>106500.27913634294</v>
      </c>
      <c r="G24" s="11">
        <f t="shared" si="6"/>
        <v>129806.21702245953</v>
      </c>
      <c r="H24" s="11">
        <f t="shared" si="6"/>
        <v>157424.22377413328</v>
      </c>
      <c r="I24" s="11">
        <f t="shared" si="6"/>
        <v>190098.9755258993</v>
      </c>
      <c r="J24" s="11">
        <f t="shared" si="6"/>
        <v>228698.87035004608</v>
      </c>
    </row>
    <row r="25" spans="2:10" ht="16.2" thickTop="1" x14ac:dyDescent="0.3"/>
  </sheetData>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797D6-58E2-43BD-81AC-E32975F6A441}">
  <dimension ref="A2:M30"/>
  <sheetViews>
    <sheetView zoomScale="90" zoomScaleNormal="90" workbookViewId="0">
      <selection activeCell="K15" sqref="K15"/>
    </sheetView>
  </sheetViews>
  <sheetFormatPr defaultRowHeight="15.6" x14ac:dyDescent="0.3"/>
  <cols>
    <col min="1" max="1" width="2.77734375" style="37" customWidth="1"/>
    <col min="2" max="2" width="51.5546875" style="37" customWidth="1"/>
    <col min="3" max="10" width="17.88671875" style="37" customWidth="1"/>
    <col min="11" max="11" width="16.33203125" style="37" customWidth="1"/>
    <col min="12" max="12" width="16.5546875" style="37" customWidth="1"/>
    <col min="13" max="13" width="14.6640625" style="37" customWidth="1"/>
    <col min="14" max="14" width="9.88671875" style="37" bestFit="1" customWidth="1"/>
    <col min="15" max="16384" width="8.88671875" style="37"/>
  </cols>
  <sheetData>
    <row r="2" spans="1:13" x14ac:dyDescent="0.3">
      <c r="A2" s="47"/>
      <c r="B2" s="47" t="s">
        <v>33</v>
      </c>
      <c r="C2" s="48">
        <v>44742</v>
      </c>
      <c r="D2" s="48">
        <f>EDATE(C2,12)</f>
        <v>45107</v>
      </c>
      <c r="E2" s="48">
        <f>EDATE(D2,12)</f>
        <v>45473</v>
      </c>
      <c r="F2" s="49">
        <v>45838</v>
      </c>
      <c r="G2" s="48">
        <f>EDATE(F2,12)</f>
        <v>46203</v>
      </c>
      <c r="H2" s="48">
        <f t="shared" ref="H2:J2" si="0">EDATE(G2,12)</f>
        <v>46568</v>
      </c>
      <c r="I2" s="48">
        <f t="shared" si="0"/>
        <v>46934</v>
      </c>
      <c r="J2" s="48">
        <f t="shared" si="0"/>
        <v>47299</v>
      </c>
    </row>
    <row r="4" spans="1:13" x14ac:dyDescent="0.3">
      <c r="B4" s="37" t="s">
        <v>74</v>
      </c>
    </row>
    <row r="5" spans="1:13" s="56" customFormat="1" x14ac:dyDescent="0.3">
      <c r="B5" s="55" t="s">
        <v>76</v>
      </c>
      <c r="C5" s="54">
        <f>'BS - Raw Data'!B5</f>
        <v>104757</v>
      </c>
      <c r="D5" s="54">
        <f>'BS - Raw Data'!C5</f>
        <v>111262</v>
      </c>
      <c r="E5" s="54">
        <f>'BS - Raw Data'!D5</f>
        <v>75543</v>
      </c>
      <c r="F5" s="54">
        <f>E5+'Cash Flow'!F30</f>
        <v>125440.18991314009</v>
      </c>
      <c r="G5" s="54">
        <f>F5+'Cash Flow'!G30</f>
        <v>197447.52970387699</v>
      </c>
      <c r="H5" s="54">
        <f>G5+'Cash Flow'!H30</f>
        <v>290009.87579313049</v>
      </c>
      <c r="I5" s="54">
        <f>H5+'Cash Flow'!I30</f>
        <v>403959.48492726625</v>
      </c>
      <c r="J5" s="54">
        <f>I5+'Cash Flow'!J30</f>
        <v>544842.24248087453</v>
      </c>
      <c r="K5" s="56" t="s">
        <v>213</v>
      </c>
    </row>
    <row r="6" spans="1:13" s="34" customFormat="1" x14ac:dyDescent="0.3">
      <c r="B6" s="32" t="s">
        <v>75</v>
      </c>
      <c r="C6" s="33">
        <f>'BS - Raw Data'!B6</f>
        <v>44261</v>
      </c>
      <c r="D6" s="33">
        <f>'BS - Raw Data'!C6</f>
        <v>48688</v>
      </c>
      <c r="E6" s="33">
        <f>'BS - Raw Data'!D6</f>
        <v>56924</v>
      </c>
      <c r="F6" s="33">
        <f>Assumptions!F27*'Income Statement'!F7</f>
        <v>64385.2201120178</v>
      </c>
      <c r="G6" s="33">
        <f>Assumptions!G27*'Income Statement'!G7</f>
        <v>74043.003128820463</v>
      </c>
      <c r="H6" s="33">
        <f>Assumptions!H27*'Income Statement'!H7</f>
        <v>85149.453598143518</v>
      </c>
      <c r="I6" s="33">
        <f>Assumptions!I27*'Income Statement'!I7</f>
        <v>97921.871637865042</v>
      </c>
      <c r="J6" s="33">
        <f>Assumptions!J27*'Income Statement'!J7</f>
        <v>112610.15238354479</v>
      </c>
      <c r="K6" s="34" t="s">
        <v>214</v>
      </c>
      <c r="M6" s="33"/>
    </row>
    <row r="7" spans="1:13" s="34" customFormat="1" x14ac:dyDescent="0.3">
      <c r="B7" s="32" t="s">
        <v>79</v>
      </c>
      <c r="C7" s="33">
        <f>SUM('BS - Raw Data'!B7:B8)</f>
        <v>20666</v>
      </c>
      <c r="D7" s="33">
        <f>SUM('BS - Raw Data'!C7:C8)</f>
        <v>24307</v>
      </c>
      <c r="E7" s="33">
        <f>SUM('BS - Raw Data'!D7:D8)</f>
        <v>27267</v>
      </c>
      <c r="F7" s="33">
        <f>-Assumptions!F28*SUM('Income Statement'!F10:F11)</f>
        <v>29192.529663811209</v>
      </c>
      <c r="G7" s="33">
        <f>-Assumptions!G28*SUM('Income Statement'!G10:G11)</f>
        <v>32111.782630192327</v>
      </c>
      <c r="H7" s="33">
        <f>-Assumptions!H28*SUM('Income Statement'!H10:H11)</f>
        <v>35322.960893211559</v>
      </c>
      <c r="I7" s="33">
        <f>-Assumptions!I28*SUM('Income Statement'!I10:I11)</f>
        <v>38855.256982532723</v>
      </c>
      <c r="J7" s="33">
        <f>-Assumptions!J28*SUM('Income Statement'!J10:J11)</f>
        <v>42740.782680785996</v>
      </c>
      <c r="K7" s="34" t="s">
        <v>214</v>
      </c>
    </row>
    <row r="8" spans="1:13" s="57" customFormat="1" x14ac:dyDescent="0.3">
      <c r="B8" s="46" t="s">
        <v>81</v>
      </c>
      <c r="C8" s="58">
        <f>SUM('BS - Raw Data'!B10,'BS - Raw Data'!B12,'BS - Raw Data'!B13)</f>
        <v>148813</v>
      </c>
      <c r="D8" s="58">
        <f>SUM('BS - Raw Data'!C10,'BS - Raw Data'!C12,'BS - Raw Data'!C13)</f>
        <v>173406</v>
      </c>
      <c r="E8" s="58">
        <f>SUM('BS - Raw Data'!D10,'BS - Raw Data'!D12,'BS - Raw Data'!D13)</f>
        <v>269411</v>
      </c>
      <c r="F8" s="58">
        <f>E8-'Cash Flow'!F25-'Cash Flow'!F7</f>
        <v>288701.00208663335</v>
      </c>
      <c r="G8" s="58">
        <f>F8-'Cash Flow'!G25-'Cash Flow'!G7</f>
        <v>310507.4302164262</v>
      </c>
      <c r="H8" s="58">
        <f>G8-'Cash Flow'!H25-'Cash Flow'!H7</f>
        <v>334071.83983113902</v>
      </c>
      <c r="I8" s="58">
        <f>H8-'Cash Flow'!I25-'Cash Flow'!I7</f>
        <v>362497.09122516547</v>
      </c>
      <c r="J8" s="58">
        <f>I8-'Cash Flow'!J25-'Cash Flow'!J7</f>
        <v>394836.36529199436</v>
      </c>
      <c r="K8" s="57" t="s">
        <v>216</v>
      </c>
    </row>
    <row r="9" spans="1:13" s="38" customFormat="1" x14ac:dyDescent="0.3">
      <c r="B9" s="39" t="s">
        <v>80</v>
      </c>
      <c r="C9" s="40">
        <f>'BS - Raw Data'!B11</f>
        <v>13148</v>
      </c>
      <c r="D9" s="40">
        <f>'BS - Raw Data'!C11</f>
        <v>14346</v>
      </c>
      <c r="E9" s="40">
        <f>'BS - Raw Data'!D11</f>
        <v>18961</v>
      </c>
      <c r="F9" s="40">
        <f>-Assumptions!F29*'Income Statement'!F12</f>
        <v>18112.497319976992</v>
      </c>
      <c r="G9" s="40">
        <f>-Assumptions!G29*'Income Statement'!G12</f>
        <v>19923.747051974693</v>
      </c>
      <c r="H9" s="40">
        <f>-Assumptions!H29*'Income Statement'!H12</f>
        <v>21916.121757172161</v>
      </c>
      <c r="I9" s="40">
        <f>-Assumptions!I29*'Income Statement'!I12</f>
        <v>24107.73393288938</v>
      </c>
      <c r="J9" s="40">
        <f>-Assumptions!J29*'Income Statement'!J12</f>
        <v>26518.507326178322</v>
      </c>
      <c r="K9" s="38" t="s">
        <v>215</v>
      </c>
    </row>
    <row r="10" spans="1:13" s="29" customFormat="1" x14ac:dyDescent="0.3">
      <c r="B10" s="30" t="s">
        <v>82</v>
      </c>
      <c r="C10" s="31">
        <f>SUM('BS - Raw Data'!B14:B15)</f>
        <v>33195</v>
      </c>
      <c r="D10" s="31">
        <f>SUM('BS - Raw Data'!C14:C15)</f>
        <v>39967</v>
      </c>
      <c r="E10" s="31">
        <f>SUM('BS - Raw Data'!D14:D15)</f>
        <v>64057</v>
      </c>
      <c r="F10" s="31">
        <f>E10-'Cash Flow'!F26</f>
        <v>80067</v>
      </c>
      <c r="G10" s="31">
        <f>F10-'Cash Flow'!G26</f>
        <v>96077</v>
      </c>
      <c r="H10" s="31">
        <f>G10-'Cash Flow'!H26</f>
        <v>112087</v>
      </c>
      <c r="I10" s="31">
        <f>H10-'Cash Flow'!I26</f>
        <v>128097</v>
      </c>
      <c r="J10" s="31">
        <f>I10-'Cash Flow'!J26</f>
        <v>144107</v>
      </c>
      <c r="K10" s="29" t="s">
        <v>217</v>
      </c>
    </row>
    <row r="11" spans="1:13" x14ac:dyDescent="0.3">
      <c r="B11" s="41" t="s">
        <v>77</v>
      </c>
      <c r="C11" s="42">
        <f>SUM(C8:C10,C5:C7)</f>
        <v>364840</v>
      </c>
      <c r="D11" s="42">
        <f>SUM(D8:D10,D5:D7)</f>
        <v>411976</v>
      </c>
      <c r="E11" s="42">
        <f>SUM(E8:E10,E5:E7)</f>
        <v>512163</v>
      </c>
      <c r="F11" s="42">
        <f t="shared" ref="F11:J11" si="1">SUM(F8:F10,F5:F7)</f>
        <v>605898.43909557944</v>
      </c>
      <c r="G11" s="42">
        <f t="shared" ref="G11" si="2">SUM(G8:G10,G5:G7)</f>
        <v>730110.49273129075</v>
      </c>
      <c r="H11" s="42">
        <f t="shared" ref="H11" si="3">SUM(H8:H10,H5:H7)</f>
        <v>878557.25187279668</v>
      </c>
      <c r="I11" s="42">
        <f t="shared" ref="I11" si="4">SUM(I8:I10,I5:I7)</f>
        <v>1055438.4387057188</v>
      </c>
      <c r="J11" s="42">
        <f t="shared" ref="J11" si="5">SUM(J8:J10,J5:J7)</f>
        <v>1265655.050163378</v>
      </c>
    </row>
    <row r="13" spans="1:13" x14ac:dyDescent="0.3">
      <c r="B13" s="37" t="s">
        <v>78</v>
      </c>
    </row>
    <row r="14" spans="1:13" s="63" customFormat="1" x14ac:dyDescent="0.3">
      <c r="B14" s="64" t="s">
        <v>84</v>
      </c>
      <c r="C14" s="65">
        <f>SUM('BS - Raw Data'!B21,'BS - Raw Data'!B22,'BS - Raw Data'!B28)</f>
        <v>49781</v>
      </c>
      <c r="D14" s="65">
        <f>SUM('BS - Raw Data'!C21,'BS - Raw Data'!C22,'BS - Raw Data'!C28)</f>
        <v>47237</v>
      </c>
      <c r="E14" s="65">
        <f>SUM('BS - Raw Data'!D21,'BS - Raw Data'!D22,'BS - Raw Data'!D28)</f>
        <v>51630</v>
      </c>
      <c r="F14" s="65">
        <f>Assumptions!F36</f>
        <v>52711.527098248509</v>
      </c>
      <c r="G14" s="65">
        <f>Assumptions!G36</f>
        <v>53815.709646124094</v>
      </c>
      <c r="H14" s="65">
        <f>Assumptions!H36</f>
        <v>54943.022222024869</v>
      </c>
      <c r="I14" s="65">
        <f>Assumptions!I36</f>
        <v>56093.949345650479</v>
      </c>
      <c r="J14" s="65">
        <f>Assumptions!J36</f>
        <v>57268.985686248976</v>
      </c>
      <c r="K14" s="63" t="s">
        <v>224</v>
      </c>
      <c r="M14" s="65"/>
    </row>
    <row r="15" spans="1:13" s="34" customFormat="1" x14ac:dyDescent="0.3">
      <c r="B15" s="32" t="s">
        <v>83</v>
      </c>
      <c r="C15" s="33">
        <f>'BS - Raw Data'!B20</f>
        <v>19000</v>
      </c>
      <c r="D15" s="33">
        <f>'BS - Raw Data'!C20</f>
        <v>18095</v>
      </c>
      <c r="E15" s="33">
        <f>'BS - Raw Data'!D20</f>
        <v>21996</v>
      </c>
      <c r="F15" s="33">
        <f>-Assumptions!F32*SUM('Income Statement'!F10:F11)</f>
        <v>23937.84882594243</v>
      </c>
      <c r="G15" s="33">
        <f>-Assumptions!G32*SUM('Income Statement'!G10:G11)</f>
        <v>26331.633708536672</v>
      </c>
      <c r="H15" s="33">
        <f>-Assumptions!H32*SUM('Income Statement'!H10:H11)</f>
        <v>28964.797079390341</v>
      </c>
      <c r="I15" s="33">
        <f>-Assumptions!I32*SUM('Income Statement'!I10:I11)</f>
        <v>31861.276787329378</v>
      </c>
      <c r="J15" s="33">
        <f>-Assumptions!J32*SUM('Income Statement'!J10:J11)</f>
        <v>35047.404466062319</v>
      </c>
      <c r="K15" s="34" t="s">
        <v>214</v>
      </c>
    </row>
    <row r="16" spans="1:13" s="34" customFormat="1" x14ac:dyDescent="0.3">
      <c r="B16" s="32" t="s">
        <v>85</v>
      </c>
      <c r="C16" s="33">
        <f>SUM('BS - Raw Data'!B23,'BS - Raw Data'!B25,'BS - Raw Data'!B30)</f>
        <v>59069</v>
      </c>
      <c r="D16" s="33">
        <f>SUM('BS - Raw Data'!C23,'BS - Raw Data'!C25,'BS - Raw Data'!C30)</f>
        <v>64822</v>
      </c>
      <c r="E16" s="33">
        <f>SUM('BS - Raw Data'!D23,'BS - Raw Data'!D25,'BS - Raw Data'!D30)</f>
        <v>72748</v>
      </c>
      <c r="F16" s="33">
        <f>-Assumptions!F33*SUM('Income Statement'!F13)</f>
        <v>78391.262348583201</v>
      </c>
      <c r="G16" s="33">
        <f>-Assumptions!G33*SUM('Income Statement'!G13)</f>
        <v>86230.388583441527</v>
      </c>
      <c r="H16" s="33">
        <f>-Assumptions!H33*SUM('Income Statement'!H13)</f>
        <v>94853.42744178568</v>
      </c>
      <c r="I16" s="33">
        <f>-Assumptions!I33*SUM('Income Statement'!I13)</f>
        <v>104338.77018596425</v>
      </c>
      <c r="J16" s="33">
        <f>-Assumptions!J33*SUM('Income Statement'!J13)</f>
        <v>114772.64720456069</v>
      </c>
      <c r="K16" s="34" t="s">
        <v>214</v>
      </c>
    </row>
    <row r="17" spans="2:11" s="38" customFormat="1" x14ac:dyDescent="0.3">
      <c r="B17" s="39" t="s">
        <v>86</v>
      </c>
      <c r="C17" s="40">
        <f>'BS - Raw Data'!B32</f>
        <v>11489</v>
      </c>
      <c r="D17" s="40">
        <f>'BS - Raw Data'!C32</f>
        <v>12728</v>
      </c>
      <c r="E17" s="40">
        <f>'BS - Raw Data'!D32</f>
        <v>15497</v>
      </c>
      <c r="F17" s="40">
        <f>E17+F9-E9</f>
        <v>14648.497319976988</v>
      </c>
      <c r="G17" s="40">
        <f t="shared" ref="G17:J17" si="6">F17+G9-F9</f>
        <v>16459.747051974689</v>
      </c>
      <c r="H17" s="40">
        <f t="shared" si="6"/>
        <v>18452.121757172157</v>
      </c>
      <c r="I17" s="40">
        <f t="shared" si="6"/>
        <v>20643.733932889376</v>
      </c>
      <c r="J17" s="40">
        <f t="shared" si="6"/>
        <v>23054.507326178318</v>
      </c>
      <c r="K17" s="38" t="s">
        <v>215</v>
      </c>
    </row>
    <row r="18" spans="2:11" s="34" customFormat="1" x14ac:dyDescent="0.3">
      <c r="B18" s="32" t="s">
        <v>87</v>
      </c>
      <c r="C18" s="33">
        <f>SUM('BS - Raw Data'!B24,'BS - Raw Data'!B29,'BS - Raw Data'!B31)</f>
        <v>30366</v>
      </c>
      <c r="D18" s="33">
        <f>SUM('BS - Raw Data'!C24,'BS - Raw Data'!C29,'BS - Raw Data'!C31)</f>
        <v>30145</v>
      </c>
      <c r="E18" s="33">
        <f>SUM('BS - Raw Data'!D24,'BS - Raw Data'!D29,'BS - Raw Data'!D31)</f>
        <v>35566</v>
      </c>
      <c r="F18" s="33">
        <f>Assumptions!F35*'Income Statement'!F18</f>
        <v>45486.769785036951</v>
      </c>
      <c r="G18" s="33">
        <f>Assumptions!G35*'Income Statement'!G18</f>
        <v>54881.608454076522</v>
      </c>
      <c r="H18" s="33">
        <f>Assumptions!H35*'Income Statement'!H18</f>
        <v>65941.953800791758</v>
      </c>
      <c r="I18" s="33">
        <f>Assumptions!I35*'Income Statement'!I18</f>
        <v>78943.259914565977</v>
      </c>
      <c r="J18" s="33">
        <f>Assumptions!J35*'Income Statement'!J18</f>
        <v>94204.861806963192</v>
      </c>
      <c r="K18" s="34" t="s">
        <v>214</v>
      </c>
    </row>
    <row r="19" spans="2:11" s="34" customFormat="1" x14ac:dyDescent="0.3">
      <c r="B19" s="32" t="s">
        <v>178</v>
      </c>
      <c r="C19" s="33">
        <f>SUM('BS - Raw Data'!B26,'BS - Raw Data'!B33)</f>
        <v>28593</v>
      </c>
      <c r="D19" s="33">
        <f>SUM('BS - Raw Data'!C26,'BS - Raw Data'!C33)</f>
        <v>32726</v>
      </c>
      <c r="E19" s="33">
        <f>SUM('BS - Raw Data'!D26,'BS - Raw Data'!D33)</f>
        <v>46249</v>
      </c>
      <c r="F19" s="33">
        <f>-Assumptions!F34*'Income Statement'!F13</f>
        <v>42535.751728304065</v>
      </c>
      <c r="G19" s="33">
        <f>-Assumptions!G34*'Income Statement'!G13</f>
        <v>46789.326901134475</v>
      </c>
      <c r="H19" s="33">
        <f>-Assumptions!H34*'Income Statement'!H13</f>
        <v>51468.259591247923</v>
      </c>
      <c r="I19" s="33">
        <f>-Assumptions!I34*'Income Statement'!I13</f>
        <v>56615.085550372722</v>
      </c>
      <c r="J19" s="33">
        <f>-Assumptions!J34*'Income Statement'!J13</f>
        <v>62276.594105410004</v>
      </c>
      <c r="K19" s="34" t="s">
        <v>214</v>
      </c>
    </row>
    <row r="20" spans="2:11" x14ac:dyDescent="0.3">
      <c r="B20" s="41" t="s">
        <v>88</v>
      </c>
      <c r="C20" s="42">
        <f>SUM(C14:C19)</f>
        <v>198298</v>
      </c>
      <c r="D20" s="42">
        <f t="shared" ref="D20:J20" si="7">SUM(D14:D19)</f>
        <v>205753</v>
      </c>
      <c r="E20" s="42">
        <f t="shared" si="7"/>
        <v>243686</v>
      </c>
      <c r="F20" s="42">
        <f>SUM(F14:F19)</f>
        <v>257711.65710609214</v>
      </c>
      <c r="G20" s="42">
        <f t="shared" ref="G20:J20" si="8">SUM(G14:G19)</f>
        <v>284508.41434528795</v>
      </c>
      <c r="H20" s="42">
        <f t="shared" si="8"/>
        <v>314623.58189241274</v>
      </c>
      <c r="I20" s="42">
        <f t="shared" si="8"/>
        <v>348496.07571677217</v>
      </c>
      <c r="J20" s="42">
        <f t="shared" si="8"/>
        <v>386625.00059542345</v>
      </c>
    </row>
    <row r="22" spans="2:11" x14ac:dyDescent="0.3">
      <c r="B22" s="45" t="s">
        <v>89</v>
      </c>
    </row>
    <row r="23" spans="2:11" s="62" customFormat="1" x14ac:dyDescent="0.3">
      <c r="B23" s="60" t="s">
        <v>90</v>
      </c>
      <c r="C23" s="61">
        <f>'BS - Raw Data'!B38</f>
        <v>86939</v>
      </c>
      <c r="D23" s="61">
        <f>'BS - Raw Data'!C38</f>
        <v>93718</v>
      </c>
      <c r="E23" s="61">
        <f>'BS - Raw Data'!D38</f>
        <v>100923</v>
      </c>
      <c r="F23" s="61">
        <f>Assumptions!F39</f>
        <v>108737.15435749017</v>
      </c>
      <c r="G23" s="61">
        <f>Assumptions!G39</f>
        <v>117156.33441103261</v>
      </c>
      <c r="H23" s="61">
        <f>Assumptions!H39</f>
        <v>126227.38542066915</v>
      </c>
      <c r="I23" s="61">
        <f>Assumptions!I39</f>
        <v>136000.77972939477</v>
      </c>
      <c r="J23" s="61">
        <f>Assumptions!J39</f>
        <v>146530.89759692262</v>
      </c>
      <c r="K23" s="62" t="s">
        <v>221</v>
      </c>
    </row>
    <row r="24" spans="2:11" s="56" customFormat="1" x14ac:dyDescent="0.3">
      <c r="B24" s="55" t="s">
        <v>92</v>
      </c>
      <c r="C24" s="54">
        <f>'BS - Raw Data'!B39</f>
        <v>84281</v>
      </c>
      <c r="D24" s="54">
        <f>'BS - Raw Data'!C39</f>
        <v>118848</v>
      </c>
      <c r="E24" s="54">
        <f>'BS - Raw Data'!D39</f>
        <v>173144</v>
      </c>
      <c r="F24" s="54">
        <f>E24+'Cash Flow'!F4+'Cash Flow'!F20+'Cash Flow'!F21</f>
        <v>245039.62763199717</v>
      </c>
      <c r="G24" s="54">
        <f>F24+'Cash Flow'!G4+'Cash Flow'!G20+'Cash Flow'!G21</f>
        <v>334035.74397497013</v>
      </c>
      <c r="H24" s="54">
        <f>G24+'Cash Flow'!H4+'Cash Flow'!H20+'Cash Flow'!H21</f>
        <v>443296.2845597149</v>
      </c>
      <c r="I24" s="54">
        <f>H24+'Cash Flow'!I4+'Cash Flow'!I20+'Cash Flow'!I21</f>
        <v>576531.5832595519</v>
      </c>
      <c r="J24" s="54">
        <f>I24+'Cash Flow'!J4+'Cash Flow'!J20+'Cash Flow'!J21</f>
        <v>738089.15197103191</v>
      </c>
      <c r="K24" s="56" t="s">
        <v>218</v>
      </c>
    </row>
    <row r="25" spans="2:11" s="56" customFormat="1" x14ac:dyDescent="0.3">
      <c r="B25" s="55" t="s">
        <v>91</v>
      </c>
      <c r="C25" s="54">
        <f>'BS - Raw Data'!B40</f>
        <v>-4678</v>
      </c>
      <c r="D25" s="54">
        <f>'BS - Raw Data'!C40</f>
        <v>-6343</v>
      </c>
      <c r="E25" s="54">
        <f>'BS - Raw Data'!D40</f>
        <v>-5590</v>
      </c>
      <c r="F25" s="54">
        <f>E25</f>
        <v>-5590</v>
      </c>
      <c r="G25" s="54">
        <f t="shared" ref="G25:J25" si="9">F25</f>
        <v>-5590</v>
      </c>
      <c r="H25" s="54">
        <f t="shared" si="9"/>
        <v>-5590</v>
      </c>
      <c r="I25" s="54">
        <f t="shared" si="9"/>
        <v>-5590</v>
      </c>
      <c r="J25" s="54">
        <f t="shared" si="9"/>
        <v>-5590</v>
      </c>
      <c r="K25" s="56" t="s">
        <v>219</v>
      </c>
    </row>
    <row r="26" spans="2:11" x14ac:dyDescent="0.3">
      <c r="B26" s="41" t="s">
        <v>93</v>
      </c>
      <c r="C26" s="42">
        <f>SUM(C23:C25)</f>
        <v>166542</v>
      </c>
      <c r="D26" s="42">
        <f t="shared" ref="D26:J26" si="10">SUM(D23:D25)</f>
        <v>206223</v>
      </c>
      <c r="E26" s="42">
        <f t="shared" si="10"/>
        <v>268477</v>
      </c>
      <c r="F26" s="42">
        <f t="shared" si="10"/>
        <v>348186.78198948735</v>
      </c>
      <c r="G26" s="42">
        <f t="shared" si="10"/>
        <v>445602.07838600274</v>
      </c>
      <c r="H26" s="42">
        <f t="shared" si="10"/>
        <v>563933.66998038406</v>
      </c>
      <c r="I26" s="42">
        <f t="shared" si="10"/>
        <v>706942.36298894673</v>
      </c>
      <c r="J26" s="42">
        <f t="shared" si="10"/>
        <v>879030.0495679545</v>
      </c>
    </row>
    <row r="28" spans="2:11" ht="16.2" thickBot="1" x14ac:dyDescent="0.35">
      <c r="B28" s="50" t="s">
        <v>94</v>
      </c>
      <c r="C28" s="51">
        <f>SUM(C26,C20)</f>
        <v>364840</v>
      </c>
      <c r="D28" s="51">
        <f t="shared" ref="D28:K28" si="11">SUM(D26,D20)</f>
        <v>411976</v>
      </c>
      <c r="E28" s="51">
        <f t="shared" si="11"/>
        <v>512163</v>
      </c>
      <c r="F28" s="51">
        <f t="shared" si="11"/>
        <v>605898.43909557955</v>
      </c>
      <c r="G28" s="51">
        <f t="shared" si="11"/>
        <v>730110.49273129064</v>
      </c>
      <c r="H28" s="51">
        <f t="shared" si="11"/>
        <v>878557.2518727968</v>
      </c>
      <c r="I28" s="51">
        <f t="shared" si="11"/>
        <v>1055438.4387057188</v>
      </c>
      <c r="J28" s="51">
        <f t="shared" si="11"/>
        <v>1265655.050163378</v>
      </c>
    </row>
    <row r="29" spans="2:11" ht="16.2" thickTop="1" x14ac:dyDescent="0.3"/>
    <row r="30" spans="2:11" x14ac:dyDescent="0.3">
      <c r="B30" s="47" t="s">
        <v>95</v>
      </c>
      <c r="C30" s="52">
        <f>C28-C11</f>
        <v>0</v>
      </c>
      <c r="D30" s="52">
        <f t="shared" ref="D30:J30" si="12">D28-D11</f>
        <v>0</v>
      </c>
      <c r="E30" s="52">
        <f t="shared" si="12"/>
        <v>0</v>
      </c>
      <c r="F30" s="52">
        <f t="shared" si="12"/>
        <v>0</v>
      </c>
      <c r="G30" s="52">
        <f t="shared" si="12"/>
        <v>0</v>
      </c>
      <c r="H30" s="52">
        <f t="shared" si="12"/>
        <v>0</v>
      </c>
      <c r="I30" s="52">
        <f t="shared" si="12"/>
        <v>0</v>
      </c>
      <c r="J30" s="52">
        <f t="shared" si="12"/>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F450A-8F3B-45CB-87A5-3C38B7AABAB7}">
  <dimension ref="A2:O34"/>
  <sheetViews>
    <sheetView zoomScale="80" zoomScaleNormal="80" workbookViewId="0">
      <selection activeCell="A18" sqref="A18:XFD18"/>
    </sheetView>
  </sheetViews>
  <sheetFormatPr defaultRowHeight="15.6" x14ac:dyDescent="0.3"/>
  <cols>
    <col min="1" max="1" width="2.77734375" style="37" customWidth="1"/>
    <col min="2" max="2" width="51.5546875" style="37" customWidth="1"/>
    <col min="3" max="10" width="17.88671875" style="37" customWidth="1"/>
    <col min="11" max="14" width="8.88671875" style="37"/>
    <col min="15" max="15" width="10.44140625" style="37" bestFit="1" customWidth="1"/>
    <col min="16" max="16384" width="8.88671875" style="37"/>
  </cols>
  <sheetData>
    <row r="2" spans="1:15" x14ac:dyDescent="0.3">
      <c r="A2" s="47"/>
      <c r="B2" s="47" t="s">
        <v>134</v>
      </c>
      <c r="C2" s="48">
        <v>44742</v>
      </c>
      <c r="D2" s="48">
        <f>EDATE(C2,12)</f>
        <v>45107</v>
      </c>
      <c r="E2" s="48">
        <f>EDATE(D2,12)</f>
        <v>45473</v>
      </c>
      <c r="F2" s="49">
        <v>45838</v>
      </c>
      <c r="G2" s="48">
        <f>EDATE(F2,12)</f>
        <v>46203</v>
      </c>
      <c r="H2" s="48">
        <f t="shared" ref="H2:J2" si="0">EDATE(G2,12)</f>
        <v>46568</v>
      </c>
      <c r="I2" s="48">
        <f t="shared" si="0"/>
        <v>46934</v>
      </c>
      <c r="J2" s="48">
        <f t="shared" si="0"/>
        <v>47299</v>
      </c>
    </row>
    <row r="4" spans="1:15" x14ac:dyDescent="0.3">
      <c r="B4" s="47" t="s">
        <v>6</v>
      </c>
      <c r="C4" s="42">
        <f>'Income Statement'!C24</f>
        <v>66238</v>
      </c>
      <c r="D4" s="42">
        <f>'Income Statement'!D24</f>
        <v>70696</v>
      </c>
      <c r="E4" s="42">
        <f>'Income Statement'!E24</f>
        <v>88889</v>
      </c>
      <c r="F4" s="42">
        <f>'Income Statement'!F24</f>
        <v>106500.27913634294</v>
      </c>
      <c r="G4" s="42">
        <f>'Income Statement'!G24</f>
        <v>129806.21702245953</v>
      </c>
      <c r="H4" s="42">
        <f>'Income Statement'!H24</f>
        <v>157424.22377413328</v>
      </c>
      <c r="I4" s="42">
        <f>'Income Statement'!I24</f>
        <v>190098.9755258993</v>
      </c>
      <c r="J4" s="42">
        <f>'Income Statement'!J24</f>
        <v>228698.87035004608</v>
      </c>
    </row>
    <row r="6" spans="1:15" x14ac:dyDescent="0.3">
      <c r="B6" s="37" t="s">
        <v>133</v>
      </c>
    </row>
    <row r="7" spans="1:15" s="57" customFormat="1" x14ac:dyDescent="0.3">
      <c r="B7" s="46" t="s">
        <v>205</v>
      </c>
      <c r="F7" s="58">
        <f>Assumptions!F45*'Income Statement'!F7</f>
        <v>21542.171720779941</v>
      </c>
      <c r="G7" s="58">
        <f>Assumptions!G45*'Income Statement'!G7</f>
        <v>25150.571748732498</v>
      </c>
      <c r="H7" s="58">
        <f>Assumptions!H45*'Income Statement'!H7</f>
        <v>30436.140245591272</v>
      </c>
      <c r="I7" s="58">
        <f>Assumptions!I45*'Income Statement'!I7</f>
        <v>33675.38094532329</v>
      </c>
      <c r="J7" s="58">
        <f>Assumptions!J45*'Income Statement'!J7</f>
        <v>39076.453123423249</v>
      </c>
    </row>
    <row r="8" spans="1:15" s="34" customFormat="1" x14ac:dyDescent="0.3">
      <c r="B8" s="32" t="s">
        <v>204</v>
      </c>
      <c r="F8" s="33"/>
      <c r="G8" s="33"/>
      <c r="H8" s="33"/>
      <c r="I8" s="33"/>
      <c r="J8" s="33"/>
    </row>
    <row r="9" spans="1:15" s="34" customFormat="1" x14ac:dyDescent="0.3">
      <c r="B9" s="59" t="s">
        <v>75</v>
      </c>
      <c r="C9" s="33"/>
      <c r="D9" s="33"/>
      <c r="E9" s="33"/>
      <c r="F9" s="33">
        <f>'Balance Sheet'!E6-'Balance Sheet'!F6</f>
        <v>-7461.2201120177997</v>
      </c>
      <c r="G9" s="33">
        <f>'Balance Sheet'!F6-'Balance Sheet'!G6</f>
        <v>-9657.783016802663</v>
      </c>
      <c r="H9" s="33">
        <f>'Balance Sheet'!G6-'Balance Sheet'!H6</f>
        <v>-11106.450469323056</v>
      </c>
      <c r="I9" s="33">
        <f>'Balance Sheet'!H6-'Balance Sheet'!I6</f>
        <v>-12772.418039721524</v>
      </c>
      <c r="J9" s="33">
        <f>'Balance Sheet'!I6-'Balance Sheet'!J6</f>
        <v>-14688.280745679745</v>
      </c>
    </row>
    <row r="10" spans="1:15" s="34" customFormat="1" x14ac:dyDescent="0.3">
      <c r="B10" s="59" t="s">
        <v>79</v>
      </c>
      <c r="C10" s="33"/>
      <c r="D10" s="33"/>
      <c r="E10" s="33"/>
      <c r="F10" s="33">
        <f>'Balance Sheet'!E7-'Balance Sheet'!F7</f>
        <v>-1925.5296638112086</v>
      </c>
      <c r="G10" s="33">
        <f>'Balance Sheet'!F7-'Balance Sheet'!G7</f>
        <v>-2919.2529663811183</v>
      </c>
      <c r="H10" s="33">
        <f>'Balance Sheet'!G7-'Balance Sheet'!H7</f>
        <v>-3211.178263019232</v>
      </c>
      <c r="I10" s="33">
        <f>'Balance Sheet'!H7-'Balance Sheet'!I7</f>
        <v>-3532.2960893211639</v>
      </c>
      <c r="J10" s="33">
        <f>'Balance Sheet'!I7-'Balance Sheet'!J7</f>
        <v>-3885.5256982532737</v>
      </c>
    </row>
    <row r="11" spans="1:15" s="34" customFormat="1" x14ac:dyDescent="0.3">
      <c r="B11" s="59" t="s">
        <v>83</v>
      </c>
      <c r="C11" s="33"/>
      <c r="D11" s="33"/>
      <c r="E11" s="33"/>
      <c r="F11" s="33">
        <f>'Balance Sheet'!F15-'Balance Sheet'!E15</f>
        <v>1941.8488259424303</v>
      </c>
      <c r="G11" s="33">
        <f>'Balance Sheet'!G15-'Balance Sheet'!F15</f>
        <v>2393.7848825942419</v>
      </c>
      <c r="H11" s="33">
        <f>'Balance Sheet'!H15-'Balance Sheet'!G15</f>
        <v>2633.1633708536683</v>
      </c>
      <c r="I11" s="33">
        <f>'Balance Sheet'!I15-'Balance Sheet'!H15</f>
        <v>2896.4797079390373</v>
      </c>
      <c r="J11" s="33">
        <f>'Balance Sheet'!J15-'Balance Sheet'!I15</f>
        <v>3186.1276787329407</v>
      </c>
    </row>
    <row r="12" spans="1:15" s="34" customFormat="1" x14ac:dyDescent="0.3">
      <c r="B12" s="59" t="s">
        <v>85</v>
      </c>
      <c r="C12" s="33"/>
      <c r="D12" s="33"/>
      <c r="E12" s="33"/>
      <c r="F12" s="33">
        <f>'Balance Sheet'!F16-'Balance Sheet'!E16</f>
        <v>5643.2623485832009</v>
      </c>
      <c r="G12" s="33">
        <f>'Balance Sheet'!G16-'Balance Sheet'!F16</f>
        <v>7839.1262348583259</v>
      </c>
      <c r="H12" s="33">
        <f>'Balance Sheet'!H16-'Balance Sheet'!G16</f>
        <v>8623.0388583441527</v>
      </c>
      <c r="I12" s="33">
        <f>'Balance Sheet'!I16-'Balance Sheet'!H16</f>
        <v>9485.3427441785752</v>
      </c>
      <c r="J12" s="33">
        <f>'Balance Sheet'!J16-'Balance Sheet'!I16</f>
        <v>10433.877018596439</v>
      </c>
    </row>
    <row r="13" spans="1:15" x14ac:dyDescent="0.3">
      <c r="B13" s="53" t="s">
        <v>87</v>
      </c>
      <c r="C13" s="36"/>
      <c r="D13" s="36"/>
      <c r="E13" s="36"/>
      <c r="F13" s="36">
        <f>'Balance Sheet'!F18-'Balance Sheet'!E18</f>
        <v>9920.7697850369514</v>
      </c>
      <c r="G13" s="36">
        <f>'Balance Sheet'!G18-'Balance Sheet'!F18</f>
        <v>9394.838669039571</v>
      </c>
      <c r="H13" s="36">
        <f>'Balance Sheet'!H18-'Balance Sheet'!G18</f>
        <v>11060.345346715236</v>
      </c>
      <c r="I13" s="36">
        <f>'Balance Sheet'!I18-'Balance Sheet'!H18</f>
        <v>13001.306113774219</v>
      </c>
      <c r="J13" s="36">
        <f>'Balance Sheet'!J18-'Balance Sheet'!I18</f>
        <v>15261.601892397215</v>
      </c>
      <c r="O13" s="36"/>
    </row>
    <row r="14" spans="1:15" x14ac:dyDescent="0.3">
      <c r="B14" s="53" t="s">
        <v>178</v>
      </c>
      <c r="C14" s="36"/>
      <c r="D14" s="36"/>
      <c r="E14" s="36"/>
      <c r="F14" s="36">
        <f>'Balance Sheet'!F19-'Balance Sheet'!E19</f>
        <v>-3713.2482716959348</v>
      </c>
      <c r="G14" s="36">
        <f>'Balance Sheet'!G19-'Balance Sheet'!F19</f>
        <v>4253.5751728304094</v>
      </c>
      <c r="H14" s="36">
        <f>'Balance Sheet'!H19-'Balance Sheet'!G19</f>
        <v>4678.9326901134482</v>
      </c>
      <c r="I14" s="36">
        <f>'Balance Sheet'!I19-'Balance Sheet'!H19</f>
        <v>5146.8259591247988</v>
      </c>
      <c r="J14" s="36">
        <f>'Balance Sheet'!J19-'Balance Sheet'!I19</f>
        <v>5661.5085550372823</v>
      </c>
    </row>
    <row r="15" spans="1:15" x14ac:dyDescent="0.3">
      <c r="B15" s="41" t="s">
        <v>136</v>
      </c>
      <c r="C15" s="42">
        <f>SUM(C9:C14,C4)</f>
        <v>66238</v>
      </c>
      <c r="D15" s="42">
        <f>SUM(D9:D14,D4)</f>
        <v>70696</v>
      </c>
      <c r="E15" s="42">
        <f>SUM(E9:E14,E4)</f>
        <v>88889</v>
      </c>
      <c r="F15" s="42">
        <f>SUM(F4:F14)</f>
        <v>132448.3337691605</v>
      </c>
      <c r="G15" s="42">
        <f t="shared" ref="G15:J15" si="1">SUM(G4:G14)</f>
        <v>166261.0777473308</v>
      </c>
      <c r="H15" s="42">
        <f t="shared" si="1"/>
        <v>200538.21555340878</v>
      </c>
      <c r="I15" s="42">
        <f t="shared" si="1"/>
        <v>237999.59686719652</v>
      </c>
      <c r="J15" s="42">
        <f t="shared" si="1"/>
        <v>283744.6321743002</v>
      </c>
    </row>
    <row r="17" spans="1:10" x14ac:dyDescent="0.3">
      <c r="B17" s="37" t="s">
        <v>135</v>
      </c>
    </row>
    <row r="18" spans="1:10" s="65" customFormat="1" x14ac:dyDescent="0.3">
      <c r="A18" s="63"/>
      <c r="B18" s="64" t="s">
        <v>223</v>
      </c>
      <c r="F18" s="65">
        <f>'Balance Sheet'!F14-'Balance Sheet'!E14</f>
        <v>1081.527098248509</v>
      </c>
      <c r="G18" s="65">
        <f>'Balance Sheet'!G14-'Balance Sheet'!F14</f>
        <v>1104.1825478755854</v>
      </c>
      <c r="H18" s="65">
        <f>'Balance Sheet'!H14-'Balance Sheet'!G14</f>
        <v>1127.3125759007744</v>
      </c>
      <c r="I18" s="65">
        <f>'Balance Sheet'!I14-'Balance Sheet'!H14</f>
        <v>1150.92712362561</v>
      </c>
      <c r="J18" s="65">
        <f>'Balance Sheet'!J14-'Balance Sheet'!I14</f>
        <v>1175.0363405984972</v>
      </c>
    </row>
    <row r="19" spans="1:10" s="61" customFormat="1" x14ac:dyDescent="0.3">
      <c r="A19" s="62"/>
      <c r="B19" s="60" t="s">
        <v>220</v>
      </c>
      <c r="F19" s="61">
        <f>'Balance Sheet'!F23-'Balance Sheet'!E23</f>
        <v>7814.1543574901734</v>
      </c>
      <c r="G19" s="61">
        <f>'Balance Sheet'!G23-'Balance Sheet'!F23</f>
        <v>8419.1800535424409</v>
      </c>
      <c r="H19" s="61">
        <f>'Balance Sheet'!H23-'Balance Sheet'!G23</f>
        <v>9071.0510096365324</v>
      </c>
      <c r="I19" s="61">
        <f>'Balance Sheet'!I23-'Balance Sheet'!H23</f>
        <v>9773.3943087256193</v>
      </c>
      <c r="J19" s="61">
        <f>'Balance Sheet'!J23-'Balance Sheet'!I23</f>
        <v>10530.11786752785</v>
      </c>
    </row>
    <row r="20" spans="1:10" s="54" customFormat="1" x14ac:dyDescent="0.3">
      <c r="A20" s="56"/>
      <c r="B20" s="55" t="s">
        <v>212</v>
      </c>
      <c r="C20" s="54">
        <v>-18135</v>
      </c>
      <c r="D20" s="54">
        <v>-19800</v>
      </c>
      <c r="E20" s="54">
        <v>-21771</v>
      </c>
      <c r="F20" s="54">
        <f>-Assumptions!F47*'Income Statement'!F21</f>
        <v>-29014.651504345773</v>
      </c>
      <c r="G20" s="54">
        <f>-Assumptions!G47*'Income Statement'!G21</f>
        <v>-35220.100679486597</v>
      </c>
      <c r="H20" s="54">
        <f>-Assumptions!H47*'Income Statement'!H21</f>
        <v>-42573.683189388525</v>
      </c>
      <c r="I20" s="54">
        <f>-Assumptions!I47*'Income Statement'!I21</f>
        <v>-51273.676826062263</v>
      </c>
      <c r="J20" s="54">
        <f>-Assumptions!J47*'Income Statement'!J21</f>
        <v>-61551.301638566067</v>
      </c>
    </row>
    <row r="21" spans="1:10" s="54" customFormat="1" x14ac:dyDescent="0.3">
      <c r="A21" s="56"/>
      <c r="B21" s="55" t="s">
        <v>91</v>
      </c>
      <c r="F21" s="54">
        <f>'Balance Sheet'!F25</f>
        <v>-5590</v>
      </c>
      <c r="G21" s="54">
        <f>'Balance Sheet'!G25</f>
        <v>-5590</v>
      </c>
      <c r="H21" s="54">
        <f>'Balance Sheet'!H25</f>
        <v>-5590</v>
      </c>
      <c r="I21" s="54">
        <f>'Balance Sheet'!I25</f>
        <v>-5590</v>
      </c>
      <c r="J21" s="54">
        <f>'Balance Sheet'!J25</f>
        <v>-5590</v>
      </c>
    </row>
    <row r="22" spans="1:10" x14ac:dyDescent="0.3">
      <c r="B22" s="43" t="s">
        <v>137</v>
      </c>
      <c r="C22" s="44">
        <f>SUM(C18:C21)</f>
        <v>-18135</v>
      </c>
      <c r="D22" s="44">
        <f>SUM(D18:D21)</f>
        <v>-19800</v>
      </c>
      <c r="E22" s="44">
        <f>SUM(E18:E21)</f>
        <v>-21771</v>
      </c>
      <c r="F22" s="44">
        <f>SUM(F18:F21)</f>
        <v>-25708.970048607091</v>
      </c>
      <c r="G22" s="44">
        <f>SUM(G18:G21)</f>
        <v>-31286.738078068571</v>
      </c>
      <c r="H22" s="44">
        <f>SUM(H18:H21)</f>
        <v>-37965.319603851218</v>
      </c>
      <c r="I22" s="44">
        <f>SUM(I18:I21)</f>
        <v>-45939.355393711034</v>
      </c>
      <c r="J22" s="44">
        <f>SUM(J18:J21)</f>
        <v>-55436.14743043972</v>
      </c>
    </row>
    <row r="23" spans="1:10" x14ac:dyDescent="0.3">
      <c r="B23" s="35"/>
      <c r="C23" s="36"/>
      <c r="D23" s="36"/>
      <c r="E23" s="36"/>
    </row>
    <row r="24" spans="1:10" x14ac:dyDescent="0.3">
      <c r="B24" s="45" t="s">
        <v>138</v>
      </c>
      <c r="C24" s="36"/>
      <c r="D24" s="36"/>
      <c r="E24" s="36"/>
    </row>
    <row r="25" spans="1:10" s="57" customFormat="1" x14ac:dyDescent="0.3">
      <c r="B25" s="46" t="s">
        <v>139</v>
      </c>
      <c r="C25" s="58">
        <f>'CF - Raw Data'!B31</f>
        <v>-23886</v>
      </c>
      <c r="D25" s="58">
        <f>'CF - Raw Data'!C31</f>
        <v>-28107</v>
      </c>
      <c r="E25" s="58">
        <f>'CF - Raw Data'!D31</f>
        <v>-44477</v>
      </c>
      <c r="F25" s="58">
        <f>-Assumptions!F44*'Income Statement'!F7</f>
        <v>-40832.173807413325</v>
      </c>
      <c r="G25" s="58">
        <f>-Assumptions!G44*'Income Statement'!G7</f>
        <v>-46956.999878525319</v>
      </c>
      <c r="H25" s="58">
        <f>-Assumptions!H44*'Income Statement'!H7</f>
        <v>-54000.549860304112</v>
      </c>
      <c r="I25" s="58">
        <f>-Assumptions!I44*'Income Statement'!I7</f>
        <v>-62100.63233934973</v>
      </c>
      <c r="J25" s="58">
        <f>-Assumptions!J44*'Income Statement'!J7</f>
        <v>-71415.727190252175</v>
      </c>
    </row>
    <row r="26" spans="1:10" s="29" customFormat="1" x14ac:dyDescent="0.3">
      <c r="B26" s="30" t="s">
        <v>140</v>
      </c>
      <c r="C26" s="31">
        <f>SUM('CF - Raw Data'!B32:B36)</f>
        <v>-6425</v>
      </c>
      <c r="D26" s="31">
        <f>SUM('CF - Raw Data'!C32:C36)</f>
        <v>5427</v>
      </c>
      <c r="E26" s="31">
        <f>SUM('CF - Raw Data'!D32:D36)</f>
        <v>-52493</v>
      </c>
      <c r="F26" s="31">
        <f>-Assumptions!F46</f>
        <v>-16010</v>
      </c>
      <c r="G26" s="31">
        <f>-Assumptions!G46</f>
        <v>-16010</v>
      </c>
      <c r="H26" s="31">
        <f>-Assumptions!H46</f>
        <v>-16010</v>
      </c>
      <c r="I26" s="31">
        <f>-Assumptions!I46</f>
        <v>-16010</v>
      </c>
      <c r="J26" s="31">
        <f>-Assumptions!J46</f>
        <v>-16010</v>
      </c>
    </row>
    <row r="27" spans="1:10" x14ac:dyDescent="0.3">
      <c r="B27" s="43" t="s">
        <v>141</v>
      </c>
      <c r="C27" s="44">
        <f>SUM(C25:C26)</f>
        <v>-30311</v>
      </c>
      <c r="D27" s="44">
        <f t="shared" ref="D27:J27" si="2">SUM(D25:D26)</f>
        <v>-22680</v>
      </c>
      <c r="E27" s="44">
        <f t="shared" si="2"/>
        <v>-96970</v>
      </c>
      <c r="F27" s="44">
        <f>SUM(F25:F26)</f>
        <v>-56842.173807413325</v>
      </c>
      <c r="G27" s="44">
        <f t="shared" si="2"/>
        <v>-62966.999878525319</v>
      </c>
      <c r="H27" s="44">
        <f t="shared" si="2"/>
        <v>-70010.549860304105</v>
      </c>
      <c r="I27" s="44">
        <f t="shared" si="2"/>
        <v>-78110.63233934973</v>
      </c>
      <c r="J27" s="44">
        <f t="shared" si="2"/>
        <v>-87425.727190252175</v>
      </c>
    </row>
    <row r="28" spans="1:10" x14ac:dyDescent="0.3">
      <c r="B28" s="35"/>
      <c r="C28" s="36"/>
      <c r="D28" s="36"/>
      <c r="E28" s="36"/>
    </row>
    <row r="29" spans="1:10" x14ac:dyDescent="0.3">
      <c r="B29" s="45" t="s">
        <v>142</v>
      </c>
      <c r="C29" s="36">
        <f>'CF - Raw Data'!B38</f>
        <v>-141</v>
      </c>
      <c r="D29" s="36">
        <f>'CF - Raw Data'!C38</f>
        <v>-194</v>
      </c>
      <c r="E29" s="36">
        <f>'CF - Raw Data'!D38</f>
        <v>-210</v>
      </c>
      <c r="F29" s="36"/>
      <c r="G29" s="36"/>
      <c r="H29" s="36"/>
      <c r="I29" s="36"/>
      <c r="J29" s="36"/>
    </row>
    <row r="30" spans="1:10" x14ac:dyDescent="0.3">
      <c r="B30" s="43" t="s">
        <v>143</v>
      </c>
      <c r="C30" s="42">
        <f>SUM(C15,C22,C27,C29)</f>
        <v>17651</v>
      </c>
      <c r="D30" s="42">
        <f>SUM(D15,D22,D27,D29)</f>
        <v>28022</v>
      </c>
      <c r="E30" s="44">
        <f>SUM(E15,E22,E27,E29)</f>
        <v>-30062</v>
      </c>
      <c r="F30" s="44">
        <f>SUM(F15,F22,F27,F29)</f>
        <v>49897.189913140079</v>
      </c>
      <c r="G30" s="44">
        <f>SUM(G15,G22,G27,G29)</f>
        <v>72007.339790736907</v>
      </c>
      <c r="H30" s="44">
        <f>SUM(H15,H22,H27,H29)</f>
        <v>92562.346089253464</v>
      </c>
      <c r="I30" s="44">
        <f>SUM(I15,I22,I27,I29)</f>
        <v>113949.60913413575</v>
      </c>
      <c r="J30" s="44">
        <f>SUM(J15,J22,J27,J29)</f>
        <v>140882.75755360833</v>
      </c>
    </row>
    <row r="31" spans="1:10" x14ac:dyDescent="0.3">
      <c r="B31" s="45" t="s">
        <v>144</v>
      </c>
      <c r="C31" s="36">
        <f>'CF - Raw Data'!B40</f>
        <v>14224</v>
      </c>
      <c r="D31" s="36">
        <f>'CF - Raw Data'!C40</f>
        <v>13931</v>
      </c>
      <c r="E31" s="36">
        <f>'CF - Raw Data'!D40</f>
        <v>34704</v>
      </c>
      <c r="F31" s="36">
        <f>E32</f>
        <v>4642</v>
      </c>
      <c r="G31" s="36">
        <f t="shared" ref="G31:J31" si="3">F32</f>
        <v>54539.189913140079</v>
      </c>
      <c r="H31" s="36">
        <f t="shared" si="3"/>
        <v>126546.52970387699</v>
      </c>
      <c r="I31" s="36">
        <f t="shared" si="3"/>
        <v>219108.87579313046</v>
      </c>
      <c r="J31" s="36">
        <f t="shared" si="3"/>
        <v>333058.4849272662</v>
      </c>
    </row>
    <row r="32" spans="1:10" ht="16.2" thickBot="1" x14ac:dyDescent="0.35">
      <c r="B32" s="50" t="s">
        <v>145</v>
      </c>
      <c r="C32" s="51">
        <f>SUM(C30:C31)</f>
        <v>31875</v>
      </c>
      <c r="D32" s="51">
        <f t="shared" ref="D32:J32" si="4">SUM(D30:D31)</f>
        <v>41953</v>
      </c>
      <c r="E32" s="51">
        <f t="shared" si="4"/>
        <v>4642</v>
      </c>
      <c r="F32" s="51">
        <f t="shared" si="4"/>
        <v>54539.189913140079</v>
      </c>
      <c r="G32" s="51">
        <f t="shared" si="4"/>
        <v>126546.52970387699</v>
      </c>
      <c r="H32" s="51">
        <f t="shared" si="4"/>
        <v>219108.87579313046</v>
      </c>
      <c r="I32" s="51">
        <f t="shared" si="4"/>
        <v>333058.4849272662</v>
      </c>
      <c r="J32" s="51">
        <f t="shared" si="4"/>
        <v>473941.24248087453</v>
      </c>
    </row>
    <row r="33" spans="2:5" ht="16.2" thickTop="1" x14ac:dyDescent="0.3"/>
    <row r="34" spans="2:5" x14ac:dyDescent="0.3">
      <c r="B34" s="47"/>
      <c r="C34" s="52"/>
      <c r="D34" s="52"/>
      <c r="E34" s="5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60ABE-6C52-4B66-99F5-AEB8EEF5577C}">
  <dimension ref="A1:C17"/>
  <sheetViews>
    <sheetView tabSelected="1" workbookViewId="0">
      <selection activeCell="C18" sqref="C18"/>
    </sheetView>
  </sheetViews>
  <sheetFormatPr defaultRowHeight="14.4" x14ac:dyDescent="0.3"/>
  <cols>
    <col min="1" max="1" width="14.77734375" customWidth="1"/>
    <col min="2" max="2" width="48.109375" style="23" customWidth="1"/>
    <col min="3" max="3" width="144.109375" style="23" customWidth="1"/>
    <col min="8" max="8" width="12" bestFit="1" customWidth="1"/>
  </cols>
  <sheetData>
    <row r="1" spans="1:3" x14ac:dyDescent="0.3">
      <c r="A1" s="24" t="s">
        <v>164</v>
      </c>
      <c r="B1" s="26" t="s">
        <v>165</v>
      </c>
      <c r="C1" s="26" t="s">
        <v>166</v>
      </c>
    </row>
    <row r="2" spans="1:3" ht="28.8" x14ac:dyDescent="0.3">
      <c r="A2" s="22">
        <v>45748</v>
      </c>
      <c r="B2" s="25" t="s">
        <v>167</v>
      </c>
    </row>
    <row r="3" spans="1:3" x14ac:dyDescent="0.3">
      <c r="A3" s="22">
        <v>45749</v>
      </c>
      <c r="B3" s="25" t="s">
        <v>168</v>
      </c>
    </row>
    <row r="4" spans="1:3" ht="57.6" x14ac:dyDescent="0.3">
      <c r="A4" s="22">
        <v>45750</v>
      </c>
      <c r="B4" s="25" t="s">
        <v>175</v>
      </c>
      <c r="C4" s="25" t="s">
        <v>169</v>
      </c>
    </row>
    <row r="5" spans="1:3" ht="43.2" x14ac:dyDescent="0.3">
      <c r="A5" s="22">
        <v>45750</v>
      </c>
      <c r="B5" s="25" t="s">
        <v>176</v>
      </c>
      <c r="C5" s="25" t="s">
        <v>170</v>
      </c>
    </row>
    <row r="6" spans="1:3" ht="72" x14ac:dyDescent="0.3">
      <c r="A6" s="22">
        <v>45750</v>
      </c>
      <c r="B6" s="25" t="s">
        <v>171</v>
      </c>
      <c r="C6" s="25" t="s">
        <v>173</v>
      </c>
    </row>
    <row r="7" spans="1:3" ht="72" x14ac:dyDescent="0.3">
      <c r="A7" s="22">
        <v>45750</v>
      </c>
      <c r="B7" s="25" t="s">
        <v>177</v>
      </c>
      <c r="C7" s="25" t="s">
        <v>186</v>
      </c>
    </row>
    <row r="8" spans="1:3" ht="72" x14ac:dyDescent="0.3">
      <c r="A8" s="22">
        <v>45750</v>
      </c>
      <c r="B8" s="25" t="s">
        <v>182</v>
      </c>
      <c r="C8" s="25" t="s">
        <v>200</v>
      </c>
    </row>
    <row r="9" spans="1:3" x14ac:dyDescent="0.3">
      <c r="A9" s="22">
        <v>45750</v>
      </c>
      <c r="B9" s="25" t="s">
        <v>187</v>
      </c>
      <c r="C9" s="25" t="s">
        <v>188</v>
      </c>
    </row>
    <row r="10" spans="1:3" ht="57.6" x14ac:dyDescent="0.3">
      <c r="A10" s="22">
        <v>45750</v>
      </c>
      <c r="B10" s="25" t="s">
        <v>189</v>
      </c>
      <c r="C10" s="25" t="s">
        <v>190</v>
      </c>
    </row>
    <row r="11" spans="1:3" ht="115.2" x14ac:dyDescent="0.3">
      <c r="A11" s="22">
        <v>45750</v>
      </c>
      <c r="B11" s="25" t="s">
        <v>189</v>
      </c>
      <c r="C11" s="25" t="s">
        <v>196</v>
      </c>
    </row>
    <row r="12" spans="1:3" ht="28.8" x14ac:dyDescent="0.3">
      <c r="A12" s="22">
        <v>45750</v>
      </c>
      <c r="B12" s="25" t="s">
        <v>189</v>
      </c>
      <c r="C12" s="25" t="s">
        <v>197</v>
      </c>
    </row>
    <row r="13" spans="1:3" ht="43.2" x14ac:dyDescent="0.3">
      <c r="A13" s="22">
        <v>45750</v>
      </c>
      <c r="B13" s="25" t="s">
        <v>198</v>
      </c>
      <c r="C13" s="25" t="s">
        <v>199</v>
      </c>
    </row>
    <row r="14" spans="1:3" ht="43.2" x14ac:dyDescent="0.3">
      <c r="A14" s="22">
        <v>45751</v>
      </c>
      <c r="B14" s="25" t="s">
        <v>198</v>
      </c>
      <c r="C14" s="25" t="s">
        <v>202</v>
      </c>
    </row>
    <row r="15" spans="1:3" ht="57.6" x14ac:dyDescent="0.3">
      <c r="A15" s="22">
        <v>45752</v>
      </c>
      <c r="B15" s="25" t="s">
        <v>198</v>
      </c>
      <c r="C15" s="25" t="s">
        <v>203</v>
      </c>
    </row>
    <row r="16" spans="1:3" ht="43.2" x14ac:dyDescent="0.3">
      <c r="A16" s="22">
        <v>45752</v>
      </c>
      <c r="B16" s="25" t="s">
        <v>198</v>
      </c>
      <c r="C16" s="25" t="s">
        <v>210</v>
      </c>
    </row>
    <row r="17" spans="1:3" ht="43.2" x14ac:dyDescent="0.3">
      <c r="A17" s="22">
        <v>45752</v>
      </c>
      <c r="B17" s="25" t="s">
        <v>222</v>
      </c>
      <c r="C17" s="25" t="s">
        <v>225</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13079-1F42-4111-BF08-47E01FC9F5EC}">
  <dimension ref="A1:D42"/>
  <sheetViews>
    <sheetView workbookViewId="0">
      <selection activeCell="B34" sqref="B34"/>
    </sheetView>
  </sheetViews>
  <sheetFormatPr defaultRowHeight="14.4" x14ac:dyDescent="0.3"/>
  <cols>
    <col min="1" max="1" width="78" customWidth="1"/>
    <col min="2" max="4" width="18.88671875" customWidth="1"/>
  </cols>
  <sheetData>
    <row r="1" spans="1:4" x14ac:dyDescent="0.3">
      <c r="A1" t="s">
        <v>34</v>
      </c>
      <c r="B1">
        <v>2022</v>
      </c>
      <c r="C1">
        <v>2023</v>
      </c>
      <c r="D1">
        <v>2024</v>
      </c>
    </row>
    <row r="2" spans="1:4" x14ac:dyDescent="0.3">
      <c r="A2" s="12" t="s">
        <v>74</v>
      </c>
    </row>
    <row r="3" spans="1:4" x14ac:dyDescent="0.3">
      <c r="A3" t="s">
        <v>36</v>
      </c>
      <c r="B3">
        <v>13931</v>
      </c>
      <c r="C3">
        <v>34704</v>
      </c>
      <c r="D3">
        <v>18315</v>
      </c>
    </row>
    <row r="4" spans="1:4" x14ac:dyDescent="0.3">
      <c r="A4" t="s">
        <v>37</v>
      </c>
      <c r="B4">
        <v>90826</v>
      </c>
      <c r="C4">
        <v>76558</v>
      </c>
      <c r="D4">
        <v>57228</v>
      </c>
    </row>
    <row r="5" spans="1:4" x14ac:dyDescent="0.3">
      <c r="A5" s="13" t="s">
        <v>38</v>
      </c>
      <c r="B5">
        <v>104757</v>
      </c>
      <c r="C5">
        <v>111262</v>
      </c>
      <c r="D5">
        <v>75543</v>
      </c>
    </row>
    <row r="6" spans="1:4" x14ac:dyDescent="0.3">
      <c r="A6" t="s">
        <v>39</v>
      </c>
      <c r="B6">
        <v>44261</v>
      </c>
      <c r="C6">
        <v>48688</v>
      </c>
      <c r="D6">
        <v>56924</v>
      </c>
    </row>
    <row r="7" spans="1:4" x14ac:dyDescent="0.3">
      <c r="A7" t="s">
        <v>40</v>
      </c>
      <c r="B7">
        <v>3742</v>
      </c>
      <c r="C7">
        <v>2500</v>
      </c>
      <c r="D7">
        <v>1246</v>
      </c>
    </row>
    <row r="8" spans="1:4" x14ac:dyDescent="0.3">
      <c r="A8" t="s">
        <v>41</v>
      </c>
      <c r="B8">
        <v>16924</v>
      </c>
      <c r="C8">
        <v>21807</v>
      </c>
      <c r="D8">
        <v>26021</v>
      </c>
    </row>
    <row r="9" spans="1:4" x14ac:dyDescent="0.3">
      <c r="A9" s="13" t="s">
        <v>42</v>
      </c>
      <c r="B9">
        <v>169684</v>
      </c>
      <c r="C9">
        <v>184257</v>
      </c>
      <c r="D9">
        <v>159734</v>
      </c>
    </row>
    <row r="10" spans="1:4" x14ac:dyDescent="0.3">
      <c r="A10" t="s">
        <v>43</v>
      </c>
      <c r="B10">
        <v>74398</v>
      </c>
      <c r="C10">
        <v>95641</v>
      </c>
      <c r="D10">
        <v>135591</v>
      </c>
    </row>
    <row r="11" spans="1:4" x14ac:dyDescent="0.3">
      <c r="A11" t="s">
        <v>44</v>
      </c>
      <c r="B11">
        <v>13148</v>
      </c>
      <c r="C11">
        <v>14346</v>
      </c>
      <c r="D11">
        <v>18961</v>
      </c>
    </row>
    <row r="12" spans="1:4" x14ac:dyDescent="0.3">
      <c r="A12" t="s">
        <v>45</v>
      </c>
      <c r="B12">
        <v>6891</v>
      </c>
      <c r="C12">
        <v>9879</v>
      </c>
      <c r="D12">
        <v>14600</v>
      </c>
    </row>
    <row r="13" spans="1:4" x14ac:dyDescent="0.3">
      <c r="A13" t="s">
        <v>46</v>
      </c>
      <c r="B13">
        <v>67524</v>
      </c>
      <c r="C13">
        <v>67886</v>
      </c>
      <c r="D13">
        <v>119220</v>
      </c>
    </row>
    <row r="14" spans="1:4" x14ac:dyDescent="0.3">
      <c r="A14" t="s">
        <v>47</v>
      </c>
      <c r="B14">
        <v>11298</v>
      </c>
      <c r="C14">
        <v>9366</v>
      </c>
      <c r="D14">
        <v>27597</v>
      </c>
    </row>
    <row r="15" spans="1:4" x14ac:dyDescent="0.3">
      <c r="A15" t="s">
        <v>48</v>
      </c>
      <c r="B15">
        <v>21897</v>
      </c>
      <c r="C15">
        <v>30601</v>
      </c>
      <c r="D15">
        <v>36460</v>
      </c>
    </row>
    <row r="16" spans="1:4" x14ac:dyDescent="0.3">
      <c r="A16" s="13" t="s">
        <v>49</v>
      </c>
      <c r="B16">
        <v>364840</v>
      </c>
      <c r="C16">
        <v>411976</v>
      </c>
      <c r="D16">
        <v>512163</v>
      </c>
    </row>
    <row r="18" spans="1:4" x14ac:dyDescent="0.3">
      <c r="A18" t="s">
        <v>50</v>
      </c>
    </row>
    <row r="19" spans="1:4" x14ac:dyDescent="0.3">
      <c r="A19" t="s">
        <v>51</v>
      </c>
    </row>
    <row r="20" spans="1:4" x14ac:dyDescent="0.3">
      <c r="A20" t="s">
        <v>52</v>
      </c>
      <c r="B20">
        <v>19000</v>
      </c>
      <c r="C20">
        <v>18095</v>
      </c>
      <c r="D20">
        <v>21996</v>
      </c>
    </row>
    <row r="21" spans="1:4" x14ac:dyDescent="0.3">
      <c r="A21" t="s">
        <v>53</v>
      </c>
      <c r="B21">
        <v>0</v>
      </c>
      <c r="C21">
        <v>0</v>
      </c>
      <c r="D21">
        <v>6693</v>
      </c>
    </row>
    <row r="22" spans="1:4" x14ac:dyDescent="0.3">
      <c r="A22" t="s">
        <v>54</v>
      </c>
      <c r="B22">
        <v>2749</v>
      </c>
      <c r="C22">
        <v>5247</v>
      </c>
      <c r="D22">
        <v>2249</v>
      </c>
    </row>
    <row r="23" spans="1:4" x14ac:dyDescent="0.3">
      <c r="A23" t="s">
        <v>55</v>
      </c>
      <c r="B23">
        <v>10661</v>
      </c>
      <c r="C23">
        <v>11009</v>
      </c>
      <c r="D23">
        <v>12564</v>
      </c>
    </row>
    <row r="24" spans="1:4" x14ac:dyDescent="0.3">
      <c r="A24" t="s">
        <v>56</v>
      </c>
      <c r="B24">
        <v>4067</v>
      </c>
      <c r="C24">
        <v>4152</v>
      </c>
      <c r="D24">
        <v>5017</v>
      </c>
    </row>
    <row r="25" spans="1:4" x14ac:dyDescent="0.3">
      <c r="A25" t="s">
        <v>57</v>
      </c>
      <c r="B25">
        <v>45538</v>
      </c>
      <c r="C25">
        <v>50901</v>
      </c>
      <c r="D25">
        <v>57582</v>
      </c>
    </row>
    <row r="26" spans="1:4" x14ac:dyDescent="0.3">
      <c r="A26" t="s">
        <v>58</v>
      </c>
      <c r="B26">
        <v>13067</v>
      </c>
      <c r="C26">
        <v>14745</v>
      </c>
      <c r="D26">
        <v>19185</v>
      </c>
    </row>
    <row r="27" spans="1:4" x14ac:dyDescent="0.3">
      <c r="A27" s="13" t="s">
        <v>59</v>
      </c>
      <c r="B27">
        <v>95082</v>
      </c>
      <c r="C27">
        <v>104149</v>
      </c>
      <c r="D27">
        <v>125286</v>
      </c>
    </row>
    <row r="28" spans="1:4" x14ac:dyDescent="0.3">
      <c r="A28" t="s">
        <v>60</v>
      </c>
      <c r="B28">
        <v>47032</v>
      </c>
      <c r="C28">
        <v>41990</v>
      </c>
      <c r="D28">
        <v>42688</v>
      </c>
    </row>
    <row r="29" spans="1:4" x14ac:dyDescent="0.3">
      <c r="A29" t="s">
        <v>61</v>
      </c>
      <c r="B29">
        <v>26069</v>
      </c>
      <c r="C29">
        <v>25560</v>
      </c>
      <c r="D29">
        <v>27931</v>
      </c>
    </row>
    <row r="30" spans="1:4" x14ac:dyDescent="0.3">
      <c r="A30" t="s">
        <v>62</v>
      </c>
      <c r="B30">
        <v>2870</v>
      </c>
      <c r="C30">
        <v>2912</v>
      </c>
      <c r="D30">
        <v>2602</v>
      </c>
    </row>
    <row r="31" spans="1:4" x14ac:dyDescent="0.3">
      <c r="A31" t="s">
        <v>63</v>
      </c>
      <c r="B31">
        <v>230</v>
      </c>
      <c r="C31">
        <v>433</v>
      </c>
      <c r="D31">
        <v>2618</v>
      </c>
    </row>
    <row r="32" spans="1:4" x14ac:dyDescent="0.3">
      <c r="A32" t="s">
        <v>64</v>
      </c>
      <c r="B32">
        <v>11489</v>
      </c>
      <c r="C32">
        <v>12728</v>
      </c>
      <c r="D32">
        <v>15497</v>
      </c>
    </row>
    <row r="33" spans="1:4" x14ac:dyDescent="0.3">
      <c r="A33" t="s">
        <v>65</v>
      </c>
      <c r="B33">
        <v>15526</v>
      </c>
      <c r="C33">
        <v>17981</v>
      </c>
      <c r="D33">
        <v>27064</v>
      </c>
    </row>
    <row r="34" spans="1:4" x14ac:dyDescent="0.3">
      <c r="A34" s="13" t="s">
        <v>66</v>
      </c>
      <c r="B34">
        <v>198298</v>
      </c>
      <c r="C34">
        <v>205753</v>
      </c>
      <c r="D34">
        <v>243686</v>
      </c>
    </row>
    <row r="36" spans="1:4" x14ac:dyDescent="0.3">
      <c r="A36" t="s">
        <v>67</v>
      </c>
    </row>
    <row r="37" spans="1:4" x14ac:dyDescent="0.3">
      <c r="A37" t="s">
        <v>68</v>
      </c>
    </row>
    <row r="38" spans="1:4" x14ac:dyDescent="0.3">
      <c r="A38" t="s">
        <v>69</v>
      </c>
      <c r="B38">
        <v>86939</v>
      </c>
      <c r="C38">
        <v>93718</v>
      </c>
      <c r="D38">
        <v>100923</v>
      </c>
    </row>
    <row r="39" spans="1:4" x14ac:dyDescent="0.3">
      <c r="A39" t="s">
        <v>70</v>
      </c>
      <c r="B39">
        <v>84281</v>
      </c>
      <c r="C39">
        <v>118848</v>
      </c>
      <c r="D39">
        <v>173144</v>
      </c>
    </row>
    <row r="40" spans="1:4" x14ac:dyDescent="0.3">
      <c r="A40" t="s">
        <v>71</v>
      </c>
      <c r="B40">
        <v>-4678</v>
      </c>
      <c r="C40">
        <v>-6343</v>
      </c>
      <c r="D40">
        <v>-5590</v>
      </c>
    </row>
    <row r="41" spans="1:4" x14ac:dyDescent="0.3">
      <c r="A41" t="s">
        <v>72</v>
      </c>
      <c r="B41">
        <v>166542</v>
      </c>
      <c r="C41">
        <v>206223</v>
      </c>
      <c r="D41">
        <v>268477</v>
      </c>
    </row>
    <row r="42" spans="1:4" x14ac:dyDescent="0.3">
      <c r="A42" t="s">
        <v>73</v>
      </c>
      <c r="B42">
        <v>364840</v>
      </c>
      <c r="C42">
        <v>411976</v>
      </c>
      <c r="D42">
        <v>512163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95451-24C3-48BD-8D55-21D12B790A85}">
  <dimension ref="A1:D32"/>
  <sheetViews>
    <sheetView workbookViewId="0">
      <selection activeCell="B7" sqref="B7"/>
    </sheetView>
  </sheetViews>
  <sheetFormatPr defaultRowHeight="14.4" x14ac:dyDescent="0.3"/>
  <cols>
    <col min="1" max="1" width="33.77734375" customWidth="1"/>
  </cols>
  <sheetData>
    <row r="1" spans="1:4" x14ac:dyDescent="0.3">
      <c r="A1" t="s">
        <v>7</v>
      </c>
    </row>
    <row r="2" spans="1:4" x14ac:dyDescent="0.3">
      <c r="A2" t="s">
        <v>8</v>
      </c>
      <c r="B2">
        <v>2022</v>
      </c>
      <c r="C2">
        <v>2023</v>
      </c>
      <c r="D2">
        <v>2024</v>
      </c>
    </row>
    <row r="3" spans="1:4" x14ac:dyDescent="0.3">
      <c r="A3" t="s">
        <v>2</v>
      </c>
      <c r="B3">
        <v>72732</v>
      </c>
      <c r="C3">
        <v>64699</v>
      </c>
      <c r="D3">
        <v>64773</v>
      </c>
    </row>
    <row r="4" spans="1:4" x14ac:dyDescent="0.3">
      <c r="A4" t="s">
        <v>9</v>
      </c>
      <c r="B4">
        <v>125538</v>
      </c>
      <c r="C4">
        <v>147216</v>
      </c>
      <c r="D4">
        <v>180349</v>
      </c>
    </row>
    <row r="5" spans="1:4" x14ac:dyDescent="0.3">
      <c r="A5" t="s">
        <v>10</v>
      </c>
      <c r="B5">
        <v>198270</v>
      </c>
      <c r="C5">
        <v>211915</v>
      </c>
      <c r="D5">
        <v>245122</v>
      </c>
    </row>
    <row r="6" spans="1:4" x14ac:dyDescent="0.3">
      <c r="A6" t="s">
        <v>11</v>
      </c>
    </row>
    <row r="7" spans="1:4" x14ac:dyDescent="0.3">
      <c r="A7" t="s">
        <v>2</v>
      </c>
      <c r="B7">
        <v>19064</v>
      </c>
      <c r="C7">
        <v>17804</v>
      </c>
      <c r="D7">
        <v>15272</v>
      </c>
    </row>
    <row r="8" spans="1:4" x14ac:dyDescent="0.3">
      <c r="A8" t="s">
        <v>9</v>
      </c>
      <c r="B8">
        <v>43586</v>
      </c>
      <c r="C8">
        <v>48059</v>
      </c>
      <c r="D8">
        <v>58842</v>
      </c>
    </row>
    <row r="9" spans="1:4" x14ac:dyDescent="0.3">
      <c r="A9" t="s">
        <v>12</v>
      </c>
      <c r="B9">
        <v>62650</v>
      </c>
      <c r="C9">
        <v>65863</v>
      </c>
      <c r="D9">
        <v>74114</v>
      </c>
    </row>
    <row r="10" spans="1:4" x14ac:dyDescent="0.3">
      <c r="A10" t="s">
        <v>13</v>
      </c>
      <c r="B10">
        <v>135620</v>
      </c>
      <c r="C10">
        <v>146052</v>
      </c>
      <c r="D10">
        <v>171008</v>
      </c>
    </row>
    <row r="11" spans="1:4" x14ac:dyDescent="0.3">
      <c r="A11" t="s">
        <v>14</v>
      </c>
      <c r="B11">
        <v>24512</v>
      </c>
      <c r="C11">
        <v>27195</v>
      </c>
      <c r="D11">
        <v>29510</v>
      </c>
    </row>
    <row r="12" spans="1:4" x14ac:dyDescent="0.3">
      <c r="A12" t="s">
        <v>15</v>
      </c>
      <c r="B12">
        <v>21825</v>
      </c>
      <c r="C12">
        <v>22759</v>
      </c>
      <c r="D12">
        <v>24456</v>
      </c>
    </row>
    <row r="13" spans="1:4" x14ac:dyDescent="0.3">
      <c r="A13" t="s">
        <v>16</v>
      </c>
      <c r="B13">
        <v>5900</v>
      </c>
      <c r="C13">
        <v>7575</v>
      </c>
      <c r="D13">
        <v>7609</v>
      </c>
    </row>
    <row r="14" spans="1:4" x14ac:dyDescent="0.3">
      <c r="A14" t="s">
        <v>17</v>
      </c>
      <c r="B14">
        <v>83383</v>
      </c>
      <c r="C14">
        <v>88523</v>
      </c>
      <c r="D14">
        <v>109433</v>
      </c>
    </row>
    <row r="15" spans="1:4" x14ac:dyDescent="0.3">
      <c r="A15" t="s">
        <v>18</v>
      </c>
      <c r="B15">
        <v>333</v>
      </c>
      <c r="C15">
        <v>788</v>
      </c>
      <c r="D15">
        <v>-1646</v>
      </c>
    </row>
    <row r="16" spans="1:4" x14ac:dyDescent="0.3">
      <c r="A16" t="s">
        <v>19</v>
      </c>
      <c r="B16">
        <v>83716</v>
      </c>
      <c r="C16">
        <v>89311</v>
      </c>
      <c r="D16">
        <v>107787</v>
      </c>
    </row>
    <row r="17" spans="1:4" x14ac:dyDescent="0.3">
      <c r="A17" t="s">
        <v>20</v>
      </c>
      <c r="B17">
        <v>10978</v>
      </c>
      <c r="C17">
        <v>16950</v>
      </c>
      <c r="D17">
        <v>19651</v>
      </c>
    </row>
    <row r="18" spans="1:4" x14ac:dyDescent="0.3">
      <c r="A18" t="s">
        <v>21</v>
      </c>
      <c r="B18">
        <v>72738</v>
      </c>
      <c r="C18">
        <v>72361</v>
      </c>
      <c r="D18">
        <v>88136</v>
      </c>
    </row>
    <row r="19" spans="1:4" x14ac:dyDescent="0.3">
      <c r="A19" t="s">
        <v>22</v>
      </c>
    </row>
    <row r="20" spans="1:4" x14ac:dyDescent="0.3">
      <c r="A20" t="s">
        <v>23</v>
      </c>
      <c r="B20">
        <v>9.6999999999999993</v>
      </c>
      <c r="C20">
        <v>9.7200000000000006</v>
      </c>
      <c r="D20">
        <v>11.86</v>
      </c>
    </row>
    <row r="21" spans="1:4" x14ac:dyDescent="0.3">
      <c r="A21" t="s">
        <v>24</v>
      </c>
      <c r="B21">
        <v>9.65</v>
      </c>
      <c r="C21">
        <v>9.68</v>
      </c>
      <c r="D21">
        <v>11.8</v>
      </c>
    </row>
    <row r="22" spans="1:4" x14ac:dyDescent="0.3">
      <c r="A22" t="s">
        <v>25</v>
      </c>
    </row>
    <row r="23" spans="1:4" x14ac:dyDescent="0.3">
      <c r="A23" t="s">
        <v>23</v>
      </c>
      <c r="B23">
        <v>7496</v>
      </c>
      <c r="C23">
        <v>7446</v>
      </c>
      <c r="D23">
        <v>7431</v>
      </c>
    </row>
    <row r="24" spans="1:4" x14ac:dyDescent="0.3">
      <c r="A24" t="s">
        <v>24</v>
      </c>
      <c r="B24">
        <v>7540</v>
      </c>
      <c r="C24">
        <v>7472</v>
      </c>
      <c r="D24">
        <v>7469</v>
      </c>
    </row>
    <row r="25" spans="1:4" x14ac:dyDescent="0.3">
      <c r="A25" t="s">
        <v>26</v>
      </c>
    </row>
    <row r="26" spans="1:4" x14ac:dyDescent="0.3">
      <c r="A26" t="s">
        <v>21</v>
      </c>
      <c r="B26">
        <v>72738</v>
      </c>
      <c r="C26">
        <v>72361</v>
      </c>
      <c r="D26">
        <v>88136</v>
      </c>
    </row>
    <row r="27" spans="1:4" x14ac:dyDescent="0.3">
      <c r="A27" t="s">
        <v>27</v>
      </c>
    </row>
    <row r="28" spans="1:4" x14ac:dyDescent="0.3">
      <c r="A28" t="s">
        <v>28</v>
      </c>
      <c r="B28">
        <v>6</v>
      </c>
      <c r="C28">
        <v>-14</v>
      </c>
      <c r="D28">
        <v>24</v>
      </c>
    </row>
    <row r="29" spans="1:4" x14ac:dyDescent="0.3">
      <c r="A29" t="s">
        <v>29</v>
      </c>
      <c r="B29">
        <v>-5360</v>
      </c>
      <c r="C29">
        <v>-1444</v>
      </c>
      <c r="D29">
        <v>957</v>
      </c>
    </row>
    <row r="30" spans="1:4" x14ac:dyDescent="0.3">
      <c r="A30" t="s">
        <v>30</v>
      </c>
      <c r="B30">
        <v>-1146</v>
      </c>
      <c r="C30">
        <v>-207</v>
      </c>
      <c r="D30">
        <v>-228</v>
      </c>
    </row>
    <row r="31" spans="1:4" x14ac:dyDescent="0.3">
      <c r="A31" t="s">
        <v>31</v>
      </c>
      <c r="B31">
        <v>-6500</v>
      </c>
      <c r="C31">
        <v>-1665</v>
      </c>
      <c r="D31">
        <v>753</v>
      </c>
    </row>
    <row r="32" spans="1:4" x14ac:dyDescent="0.3">
      <c r="A32" t="s">
        <v>32</v>
      </c>
      <c r="B32">
        <v>66238</v>
      </c>
      <c r="C32">
        <v>70696</v>
      </c>
      <c r="D32">
        <v>88889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25A53-D1B5-466C-922A-3BAA160787D1}">
  <dimension ref="A1:D64"/>
  <sheetViews>
    <sheetView workbookViewId="0">
      <selection activeCell="B27" sqref="B27:D27"/>
    </sheetView>
  </sheetViews>
  <sheetFormatPr defaultRowHeight="14.4" x14ac:dyDescent="0.3"/>
  <cols>
    <col min="1" max="1" width="66.44140625" customWidth="1"/>
  </cols>
  <sheetData>
    <row r="1" spans="1:4" x14ac:dyDescent="0.3">
      <c r="A1" t="s">
        <v>96</v>
      </c>
    </row>
    <row r="2" spans="1:4" x14ac:dyDescent="0.3">
      <c r="A2" t="s">
        <v>35</v>
      </c>
    </row>
    <row r="3" spans="1:4" x14ac:dyDescent="0.3">
      <c r="A3" t="s">
        <v>97</v>
      </c>
      <c r="B3">
        <v>2022</v>
      </c>
      <c r="C3">
        <v>2023</v>
      </c>
      <c r="D3">
        <v>2024</v>
      </c>
    </row>
    <row r="4" spans="1:4" x14ac:dyDescent="0.3">
      <c r="A4" t="s">
        <v>21</v>
      </c>
      <c r="B4">
        <v>72738</v>
      </c>
      <c r="C4">
        <v>72361</v>
      </c>
      <c r="D4">
        <v>88136</v>
      </c>
    </row>
    <row r="5" spans="1:4" x14ac:dyDescent="0.3">
      <c r="A5" t="s">
        <v>98</v>
      </c>
    </row>
    <row r="6" spans="1:4" x14ac:dyDescent="0.3">
      <c r="A6" t="s">
        <v>99</v>
      </c>
      <c r="B6">
        <v>14460</v>
      </c>
      <c r="C6">
        <v>13861</v>
      </c>
      <c r="D6">
        <v>22287</v>
      </c>
    </row>
    <row r="7" spans="1:4" x14ac:dyDescent="0.3">
      <c r="A7" t="s">
        <v>100</v>
      </c>
      <c r="B7">
        <v>7502</v>
      </c>
      <c r="C7">
        <v>9611</v>
      </c>
      <c r="D7">
        <v>10734</v>
      </c>
    </row>
    <row r="8" spans="1:4" x14ac:dyDescent="0.3">
      <c r="A8" t="s">
        <v>101</v>
      </c>
      <c r="B8">
        <v>-409</v>
      </c>
      <c r="C8">
        <v>196</v>
      </c>
      <c r="D8">
        <v>305</v>
      </c>
    </row>
    <row r="9" spans="1:4" x14ac:dyDescent="0.3">
      <c r="A9" t="s">
        <v>63</v>
      </c>
      <c r="B9">
        <v>-5702</v>
      </c>
      <c r="C9">
        <v>-6059</v>
      </c>
      <c r="D9">
        <v>-4738</v>
      </c>
    </row>
    <row r="10" spans="1:4" x14ac:dyDescent="0.3">
      <c r="A10" t="s">
        <v>102</v>
      </c>
    </row>
    <row r="11" spans="1:4" x14ac:dyDescent="0.3">
      <c r="A11" t="s">
        <v>103</v>
      </c>
      <c r="B11">
        <v>-6834</v>
      </c>
      <c r="C11">
        <v>-4087</v>
      </c>
      <c r="D11">
        <v>-7191</v>
      </c>
    </row>
    <row r="12" spans="1:4" x14ac:dyDescent="0.3">
      <c r="A12" t="s">
        <v>40</v>
      </c>
      <c r="B12">
        <v>-1123</v>
      </c>
      <c r="C12">
        <v>1242</v>
      </c>
      <c r="D12">
        <v>1284</v>
      </c>
    </row>
    <row r="13" spans="1:4" x14ac:dyDescent="0.3">
      <c r="A13" t="s">
        <v>41</v>
      </c>
      <c r="B13">
        <v>-709</v>
      </c>
      <c r="C13">
        <v>-1991</v>
      </c>
      <c r="D13">
        <v>-1648</v>
      </c>
    </row>
    <row r="14" spans="1:4" x14ac:dyDescent="0.3">
      <c r="A14" t="s">
        <v>48</v>
      </c>
      <c r="B14">
        <v>-2805</v>
      </c>
      <c r="C14">
        <v>-2833</v>
      </c>
      <c r="D14">
        <v>-6817</v>
      </c>
    </row>
    <row r="15" spans="1:4" x14ac:dyDescent="0.3">
      <c r="A15" t="s">
        <v>52</v>
      </c>
      <c r="B15">
        <v>2943</v>
      </c>
      <c r="C15">
        <v>-2721</v>
      </c>
      <c r="D15">
        <v>3545</v>
      </c>
    </row>
    <row r="16" spans="1:4" x14ac:dyDescent="0.3">
      <c r="A16" t="s">
        <v>104</v>
      </c>
      <c r="B16">
        <v>5109</v>
      </c>
      <c r="C16">
        <v>5535</v>
      </c>
      <c r="D16">
        <v>5348</v>
      </c>
    </row>
    <row r="17" spans="1:4" x14ac:dyDescent="0.3">
      <c r="A17" t="s">
        <v>105</v>
      </c>
      <c r="B17">
        <v>696</v>
      </c>
      <c r="C17">
        <v>-358</v>
      </c>
      <c r="D17">
        <v>1687</v>
      </c>
    </row>
    <row r="18" spans="1:4" x14ac:dyDescent="0.3">
      <c r="A18" t="s">
        <v>58</v>
      </c>
      <c r="B18">
        <v>2344</v>
      </c>
      <c r="C18">
        <v>2272</v>
      </c>
      <c r="D18">
        <v>4867</v>
      </c>
    </row>
    <row r="19" spans="1:4" x14ac:dyDescent="0.3">
      <c r="A19" t="s">
        <v>65</v>
      </c>
      <c r="B19">
        <v>825</v>
      </c>
      <c r="C19">
        <v>553</v>
      </c>
      <c r="D19">
        <v>749</v>
      </c>
    </row>
    <row r="20" spans="1:4" x14ac:dyDescent="0.3">
      <c r="A20" t="s">
        <v>106</v>
      </c>
      <c r="B20">
        <v>89035</v>
      </c>
      <c r="C20">
        <v>87582</v>
      </c>
      <c r="D20">
        <v>118548</v>
      </c>
    </row>
    <row r="21" spans="1:4" x14ac:dyDescent="0.3">
      <c r="A21" t="s">
        <v>107</v>
      </c>
    </row>
    <row r="22" spans="1:4" x14ac:dyDescent="0.3">
      <c r="A22" t="s">
        <v>108</v>
      </c>
      <c r="B22">
        <v>0</v>
      </c>
      <c r="C22">
        <v>0</v>
      </c>
      <c r="D22">
        <v>5250</v>
      </c>
    </row>
    <row r="23" spans="1:4" x14ac:dyDescent="0.3">
      <c r="A23" t="s">
        <v>109</v>
      </c>
      <c r="B23">
        <v>0</v>
      </c>
      <c r="C23">
        <v>0</v>
      </c>
      <c r="D23">
        <v>24395</v>
      </c>
    </row>
    <row r="24" spans="1:4" x14ac:dyDescent="0.3">
      <c r="A24" t="s">
        <v>110</v>
      </c>
      <c r="B24">
        <v>-9023</v>
      </c>
      <c r="C24">
        <v>-2750</v>
      </c>
      <c r="D24">
        <v>-29070</v>
      </c>
    </row>
    <row r="25" spans="1:4" x14ac:dyDescent="0.3">
      <c r="A25" t="s">
        <v>111</v>
      </c>
      <c r="B25">
        <v>1841</v>
      </c>
      <c r="C25">
        <v>1866</v>
      </c>
      <c r="D25">
        <v>2002</v>
      </c>
    </row>
    <row r="26" spans="1:4" x14ac:dyDescent="0.3">
      <c r="A26" t="s">
        <v>112</v>
      </c>
      <c r="B26">
        <v>-32696</v>
      </c>
      <c r="C26">
        <v>-22245</v>
      </c>
      <c r="D26">
        <v>-17254</v>
      </c>
    </row>
    <row r="27" spans="1:4" x14ac:dyDescent="0.3">
      <c r="A27" t="s">
        <v>113</v>
      </c>
      <c r="B27">
        <v>-18135</v>
      </c>
      <c r="C27">
        <v>-19800</v>
      </c>
      <c r="D27">
        <v>-21771</v>
      </c>
    </row>
    <row r="28" spans="1:4" x14ac:dyDescent="0.3">
      <c r="A28" t="s">
        <v>114</v>
      </c>
      <c r="B28">
        <v>-863</v>
      </c>
      <c r="C28">
        <v>-1006</v>
      </c>
      <c r="D28">
        <v>-1309</v>
      </c>
    </row>
    <row r="29" spans="1:4" x14ac:dyDescent="0.3">
      <c r="A29" t="s">
        <v>115</v>
      </c>
      <c r="B29">
        <v>-58876</v>
      </c>
      <c r="C29">
        <v>-43935</v>
      </c>
      <c r="D29">
        <v>-37757</v>
      </c>
    </row>
    <row r="30" spans="1:4" x14ac:dyDescent="0.3">
      <c r="A30" t="s">
        <v>116</v>
      </c>
    </row>
    <row r="31" spans="1:4" x14ac:dyDescent="0.3">
      <c r="A31" t="s">
        <v>117</v>
      </c>
      <c r="B31">
        <v>-23886</v>
      </c>
      <c r="C31">
        <v>-28107</v>
      </c>
      <c r="D31">
        <v>-44477</v>
      </c>
    </row>
    <row r="32" spans="1:4" x14ac:dyDescent="0.3">
      <c r="A32" t="s">
        <v>118</v>
      </c>
      <c r="B32">
        <v>-22038</v>
      </c>
      <c r="C32">
        <v>-1670</v>
      </c>
      <c r="D32">
        <v>-69132</v>
      </c>
    </row>
    <row r="33" spans="1:4" x14ac:dyDescent="0.3">
      <c r="A33" t="s">
        <v>119</v>
      </c>
      <c r="B33">
        <v>-26456</v>
      </c>
      <c r="C33">
        <v>-37651</v>
      </c>
      <c r="D33">
        <v>-17732</v>
      </c>
    </row>
    <row r="34" spans="1:4" x14ac:dyDescent="0.3">
      <c r="A34" t="s">
        <v>120</v>
      </c>
      <c r="B34">
        <v>16451</v>
      </c>
      <c r="C34">
        <v>33510</v>
      </c>
      <c r="D34">
        <v>24775</v>
      </c>
    </row>
    <row r="35" spans="1:4" x14ac:dyDescent="0.3">
      <c r="A35" t="s">
        <v>121</v>
      </c>
      <c r="B35">
        <v>28443</v>
      </c>
      <c r="C35">
        <v>14354</v>
      </c>
      <c r="D35">
        <v>10894</v>
      </c>
    </row>
    <row r="36" spans="1:4" x14ac:dyDescent="0.3">
      <c r="A36" t="s">
        <v>114</v>
      </c>
      <c r="B36">
        <v>-2825</v>
      </c>
      <c r="C36">
        <v>-3116</v>
      </c>
      <c r="D36">
        <v>-1298</v>
      </c>
    </row>
    <row r="37" spans="1:4" x14ac:dyDescent="0.3">
      <c r="A37" t="s">
        <v>122</v>
      </c>
      <c r="B37">
        <v>-30311</v>
      </c>
      <c r="C37">
        <v>-22680</v>
      </c>
      <c r="D37">
        <v>-96970</v>
      </c>
    </row>
    <row r="38" spans="1:4" x14ac:dyDescent="0.3">
      <c r="A38" t="s">
        <v>123</v>
      </c>
      <c r="B38">
        <v>-141</v>
      </c>
      <c r="C38">
        <v>-194</v>
      </c>
      <c r="D38">
        <v>-210</v>
      </c>
    </row>
    <row r="39" spans="1:4" x14ac:dyDescent="0.3">
      <c r="A39" t="s">
        <v>124</v>
      </c>
      <c r="B39">
        <v>-293</v>
      </c>
      <c r="C39">
        <v>20773</v>
      </c>
      <c r="D39">
        <v>-16389</v>
      </c>
    </row>
    <row r="40" spans="1:4" x14ac:dyDescent="0.3">
      <c r="A40" t="s">
        <v>125</v>
      </c>
      <c r="B40">
        <v>14224</v>
      </c>
      <c r="C40">
        <v>13931</v>
      </c>
      <c r="D40">
        <v>34704</v>
      </c>
    </row>
    <row r="41" spans="1:4" x14ac:dyDescent="0.3">
      <c r="A41" t="s">
        <v>126</v>
      </c>
      <c r="B41">
        <v>13931</v>
      </c>
      <c r="C41">
        <v>34704</v>
      </c>
      <c r="D41">
        <v>18315</v>
      </c>
    </row>
    <row r="42" spans="1:4" x14ac:dyDescent="0.3">
      <c r="A42" t="s">
        <v>26</v>
      </c>
    </row>
    <row r="43" spans="1:4" x14ac:dyDescent="0.3">
      <c r="A43" t="s">
        <v>127</v>
      </c>
    </row>
    <row r="44" spans="1:4" x14ac:dyDescent="0.3">
      <c r="A44" t="s">
        <v>7</v>
      </c>
    </row>
    <row r="45" spans="1:4" x14ac:dyDescent="0.3">
      <c r="A45" t="s">
        <v>128</v>
      </c>
      <c r="B45">
        <v>2022</v>
      </c>
      <c r="C45">
        <v>2023</v>
      </c>
      <c r="D45">
        <v>2024</v>
      </c>
    </row>
    <row r="46" spans="1:4" x14ac:dyDescent="0.3">
      <c r="A46" t="s">
        <v>129</v>
      </c>
      <c r="B46">
        <v>83111</v>
      </c>
      <c r="C46">
        <v>86939</v>
      </c>
      <c r="D46">
        <v>93718</v>
      </c>
    </row>
    <row r="47" spans="1:4" x14ac:dyDescent="0.3">
      <c r="A47" t="s">
        <v>111</v>
      </c>
      <c r="B47">
        <v>1841</v>
      </c>
      <c r="C47">
        <v>1866</v>
      </c>
      <c r="D47">
        <v>2002</v>
      </c>
    </row>
    <row r="48" spans="1:4" x14ac:dyDescent="0.3">
      <c r="A48" t="s">
        <v>112</v>
      </c>
      <c r="B48">
        <v>-5688</v>
      </c>
      <c r="C48">
        <v>-4696</v>
      </c>
      <c r="D48">
        <v>-5712</v>
      </c>
    </row>
    <row r="49" spans="1:4" x14ac:dyDescent="0.3">
      <c r="A49" t="s">
        <v>100</v>
      </c>
      <c r="B49">
        <v>7502</v>
      </c>
      <c r="C49">
        <v>9611</v>
      </c>
      <c r="D49">
        <v>10734</v>
      </c>
    </row>
    <row r="50" spans="1:4" x14ac:dyDescent="0.3">
      <c r="A50" t="s">
        <v>114</v>
      </c>
      <c r="B50">
        <v>173</v>
      </c>
      <c r="C50">
        <v>-2</v>
      </c>
      <c r="D50">
        <v>181</v>
      </c>
    </row>
    <row r="51" spans="1:4" x14ac:dyDescent="0.3">
      <c r="A51" t="s">
        <v>130</v>
      </c>
      <c r="B51">
        <v>86939</v>
      </c>
      <c r="C51">
        <v>93718</v>
      </c>
      <c r="D51">
        <v>100923</v>
      </c>
    </row>
    <row r="52" spans="1:4" x14ac:dyDescent="0.3">
      <c r="A52" t="s">
        <v>70</v>
      </c>
    </row>
    <row r="53" spans="1:4" x14ac:dyDescent="0.3">
      <c r="A53" t="s">
        <v>129</v>
      </c>
      <c r="B53">
        <v>57055</v>
      </c>
      <c r="C53">
        <v>84281</v>
      </c>
      <c r="D53">
        <v>118848</v>
      </c>
    </row>
    <row r="54" spans="1:4" x14ac:dyDescent="0.3">
      <c r="A54" t="s">
        <v>21</v>
      </c>
      <c r="B54">
        <v>72738</v>
      </c>
      <c r="C54">
        <v>72361</v>
      </c>
      <c r="D54">
        <v>88136</v>
      </c>
    </row>
    <row r="55" spans="1:4" x14ac:dyDescent="0.3">
      <c r="A55" t="s">
        <v>131</v>
      </c>
      <c r="B55">
        <v>-18552</v>
      </c>
      <c r="C55">
        <v>-20226</v>
      </c>
      <c r="D55">
        <v>-22293</v>
      </c>
    </row>
    <row r="56" spans="1:4" x14ac:dyDescent="0.3">
      <c r="A56" t="s">
        <v>112</v>
      </c>
      <c r="B56">
        <v>-26960</v>
      </c>
      <c r="C56">
        <v>-17568</v>
      </c>
      <c r="D56">
        <v>-11547</v>
      </c>
    </row>
    <row r="57" spans="1:4" x14ac:dyDescent="0.3">
      <c r="A57" t="s">
        <v>130</v>
      </c>
      <c r="B57">
        <v>84281</v>
      </c>
      <c r="C57">
        <v>118848</v>
      </c>
      <c r="D57">
        <v>173144</v>
      </c>
    </row>
    <row r="58" spans="1:4" x14ac:dyDescent="0.3">
      <c r="A58" t="s">
        <v>71</v>
      </c>
    </row>
    <row r="59" spans="1:4" x14ac:dyDescent="0.3">
      <c r="A59" t="s">
        <v>129</v>
      </c>
      <c r="B59">
        <v>1822</v>
      </c>
      <c r="C59">
        <v>-4678</v>
      </c>
      <c r="D59">
        <v>-6343</v>
      </c>
    </row>
    <row r="60" spans="1:4" x14ac:dyDescent="0.3">
      <c r="A60" t="s">
        <v>31</v>
      </c>
      <c r="B60">
        <v>-6500</v>
      </c>
      <c r="C60">
        <v>-1665</v>
      </c>
      <c r="D60">
        <v>753</v>
      </c>
    </row>
    <row r="61" spans="1:4" x14ac:dyDescent="0.3">
      <c r="A61" t="s">
        <v>130</v>
      </c>
      <c r="B61">
        <v>-4678</v>
      </c>
      <c r="C61">
        <v>-6343</v>
      </c>
      <c r="D61">
        <v>-5590</v>
      </c>
    </row>
    <row r="62" spans="1:4" x14ac:dyDescent="0.3">
      <c r="A62" t="s">
        <v>72</v>
      </c>
      <c r="B62">
        <v>166542</v>
      </c>
      <c r="C62">
        <v>206223</v>
      </c>
      <c r="D62">
        <v>268477</v>
      </c>
    </row>
    <row r="63" spans="1:4" x14ac:dyDescent="0.3">
      <c r="A63" t="s">
        <v>132</v>
      </c>
      <c r="B63">
        <v>2.48</v>
      </c>
      <c r="C63">
        <v>2.72</v>
      </c>
      <c r="D63">
        <v>3</v>
      </c>
    </row>
    <row r="64" spans="1:4" x14ac:dyDescent="0.3">
      <c r="A64"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Assumptions</vt:lpstr>
      <vt:lpstr>Income Statement</vt:lpstr>
      <vt:lpstr>Balance Sheet</vt:lpstr>
      <vt:lpstr>Cash Flow</vt:lpstr>
      <vt:lpstr>Model Notes</vt:lpstr>
      <vt:lpstr>BS - Raw Data</vt:lpstr>
      <vt:lpstr>IS - Raw Data</vt:lpstr>
      <vt:lpstr>CF - 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Oh</dc:creator>
  <cp:lastModifiedBy>Nathan Oh</cp:lastModifiedBy>
  <dcterms:created xsi:type="dcterms:W3CDTF">2025-03-31T20:09:05Z</dcterms:created>
  <dcterms:modified xsi:type="dcterms:W3CDTF">2025-04-09T00:13:23Z</dcterms:modified>
</cp:coreProperties>
</file>