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AD\Google Drive\Python\StocksScraper\"/>
    </mc:Choice>
  </mc:AlternateContent>
  <xr:revisionPtr revIDLastSave="0" documentId="13_ncr:1_{96015AC5-C62E-4179-B5FB-3A04423F32E1}" xr6:coauthVersionLast="47" xr6:coauthVersionMax="47" xr10:uidLastSave="{00000000-0000-0000-0000-000000000000}"/>
  <bookViews>
    <workbookView xWindow="-120" yWindow="-120" windowWidth="29040" windowHeight="15840" xr2:uid="{A9DF0620-94D4-464B-8FB8-D68B88DCA4F9}"/>
  </bookViews>
  <sheets>
    <sheet name="TempSheet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P56" i="1"/>
  <c r="P53" i="1"/>
  <c r="P52" i="1"/>
  <c r="P51" i="1"/>
  <c r="U53" i="1"/>
  <c r="U52" i="1"/>
  <c r="U51" i="1"/>
  <c r="C44" i="1"/>
  <c r="D44" i="1"/>
  <c r="E44" i="1"/>
  <c r="F44" i="1"/>
  <c r="G44" i="1"/>
  <c r="H44" i="1"/>
  <c r="I44" i="1"/>
  <c r="J44" i="1"/>
  <c r="B44" i="1"/>
  <c r="O54" i="1"/>
  <c r="O55" i="1" s="1"/>
  <c r="I10" i="1"/>
  <c r="I14" i="1" s="1"/>
  <c r="U50" i="1"/>
  <c r="C4" i="1"/>
  <c r="L8" i="1"/>
  <c r="P5" i="1"/>
  <c r="J6" i="1"/>
  <c r="F22" i="1"/>
  <c r="E11" i="1"/>
  <c r="E10" i="1"/>
  <c r="B22" i="1"/>
  <c r="C22" i="1"/>
  <c r="D22" i="1"/>
  <c r="E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E4" i="1" s="1"/>
  <c r="P54" i="1" l="1"/>
  <c r="P55" i="1" s="1"/>
  <c r="P57" i="1" s="1"/>
  <c r="C7" i="1" s="1"/>
  <c r="U54" i="1"/>
  <c r="C6" i="1" s="1"/>
  <c r="E8" i="1"/>
  <c r="E6" i="1"/>
  <c r="E9" i="1"/>
  <c r="J22" i="1"/>
  <c r="J24" i="1"/>
  <c r="J21" i="1"/>
  <c r="E7" i="1"/>
  <c r="I13" i="1"/>
  <c r="O5" i="1"/>
  <c r="O7" i="1" s="1"/>
  <c r="Q5" i="1"/>
  <c r="R5" i="1"/>
  <c r="R8" i="1" s="1"/>
  <c r="S5" i="1"/>
  <c r="S9" i="1" s="1"/>
  <c r="N5" i="1"/>
  <c r="N8" i="1" s="1"/>
  <c r="M5" i="1"/>
  <c r="M8" i="1" s="1"/>
  <c r="P8" i="1"/>
  <c r="L7" i="1"/>
  <c r="P7" i="1" s="1"/>
  <c r="L9" i="1"/>
  <c r="L6" i="1"/>
  <c r="L10" i="1"/>
  <c r="Q8" i="1"/>
  <c r="E5" i="1"/>
  <c r="J23" i="1"/>
  <c r="J25" i="1"/>
  <c r="J20" i="1"/>
  <c r="O9" i="1" l="1"/>
  <c r="S8" i="1"/>
  <c r="O8" i="1"/>
  <c r="N6" i="1"/>
  <c r="Q10" i="1"/>
  <c r="S7" i="1"/>
  <c r="N10" i="1"/>
  <c r="O10" i="1"/>
  <c r="N7" i="1"/>
  <c r="N9" i="1"/>
  <c r="M10" i="1"/>
  <c r="P10" i="1"/>
  <c r="R10" i="1"/>
  <c r="O6" i="1"/>
  <c r="P6" i="1"/>
  <c r="M6" i="1"/>
  <c r="Q6" i="1"/>
  <c r="R6" i="1"/>
  <c r="M9" i="1"/>
  <c r="R9" i="1"/>
  <c r="Q9" i="1"/>
  <c r="P9" i="1"/>
  <c r="S6" i="1"/>
  <c r="M7" i="1"/>
  <c r="Q7" i="1"/>
  <c r="R7" i="1"/>
  <c r="S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OHAD</author>
  </authors>
  <commentList>
    <comment ref="B6" authorId="0" shapeId="0" xr:uid="{D5674CC6-4577-4DA1-BFD9-CD667A574F4B}">
      <text>
        <r>
          <rPr>
            <sz val="9"/>
            <color indexed="81"/>
            <rFont val="Tahoma"/>
            <family val="2"/>
          </rPr>
          <t>Sloan Ratio is an estimate how likely it is that a company "cooks" the books. Over 10% or below -10% could be problematic and needs further investigation
Sloan ratio = (Net Income - CFO - CFI)/ Total Assets
CFO = Cash Flow from Operations
CFI = Cash Flow from Investments
https://www.oldschoolvalue.com/stock-valuation/how-to-beat-the-market-with-the-sloan-ratio/</t>
        </r>
      </text>
    </comment>
  </commentList>
</comments>
</file>

<file path=xl/sharedStrings.xml><?xml version="1.0" encoding="utf-8"?>
<sst xmlns="http://schemas.openxmlformats.org/spreadsheetml/2006/main" count="93" uniqueCount="80">
  <si>
    <t>Name - Symbol</t>
  </si>
  <si>
    <t>Company summary from internet</t>
  </si>
  <si>
    <t>Links</t>
  </si>
  <si>
    <t>Raw Data</t>
  </si>
  <si>
    <t>Shareholders Equity</t>
  </si>
  <si>
    <t>Dividends</t>
  </si>
  <si>
    <t>Buybacks</t>
  </si>
  <si>
    <t>Sales</t>
  </si>
  <si>
    <t>OI (EBIT)</t>
  </si>
  <si>
    <t>Net Income</t>
  </si>
  <si>
    <t>EPS</t>
  </si>
  <si>
    <t>Free Cash Flow</t>
  </si>
  <si>
    <t>Growth Rate (YoY)</t>
  </si>
  <si>
    <t>AVG</t>
  </si>
  <si>
    <t>Other Metrics</t>
  </si>
  <si>
    <r>
      <t>ROIC (</t>
    </r>
    <r>
      <rPr>
        <b/>
        <sz val="11"/>
        <color rgb="FF00B050"/>
        <rFont val="Calibri"/>
        <family val="2"/>
      </rPr>
      <t>&gt;15%</t>
    </r>
    <r>
      <rPr>
        <b/>
        <sz val="11"/>
        <color rgb="FF000000"/>
        <rFont val="Calibri"/>
        <family val="2"/>
      </rPr>
      <t>)</t>
    </r>
  </si>
  <si>
    <r>
      <t>Net Profit Margin (</t>
    </r>
    <r>
      <rPr>
        <b/>
        <sz val="11"/>
        <color rgb="FF00B050"/>
        <rFont val="Calibri"/>
        <family val="2"/>
      </rPr>
      <t>&gt;10%</t>
    </r>
    <r>
      <rPr>
        <b/>
        <sz val="11"/>
        <color rgb="FF000000"/>
        <rFont val="Calibri"/>
        <family val="2"/>
      </rPr>
      <t>)</t>
    </r>
  </si>
  <si>
    <r>
      <t>FCF / Earnings (</t>
    </r>
    <r>
      <rPr>
        <b/>
        <sz val="11"/>
        <color rgb="FF00B050"/>
        <rFont val="Calibri"/>
        <family val="2"/>
      </rPr>
      <t>&gt;70%</t>
    </r>
    <r>
      <rPr>
        <b/>
        <sz val="11"/>
        <color rgb="FF000000"/>
        <rFont val="Calibri"/>
        <family val="2"/>
      </rPr>
      <t>)</t>
    </r>
  </si>
  <si>
    <t>Long Term Debt</t>
  </si>
  <si>
    <t># Ouststanding Shares</t>
  </si>
  <si>
    <t>Important Tests</t>
  </si>
  <si>
    <t>Altman Z-Score</t>
  </si>
  <si>
    <t>Cash Vs. Debt</t>
  </si>
  <si>
    <t>Normalized P/E</t>
  </si>
  <si>
    <t>GR (%)</t>
  </si>
  <si>
    <t>Fair value Sensitivity Chart</t>
  </si>
  <si>
    <t>Growth At Normalized PE Valuation</t>
  </si>
  <si>
    <t>EPS TTM</t>
  </si>
  <si>
    <t>Predicted Growth Rate</t>
  </si>
  <si>
    <t>Required Market Yield</t>
  </si>
  <si>
    <t>X Years Future EPS</t>
  </si>
  <si>
    <t>Discounted EPS</t>
  </si>
  <si>
    <t>Fair Value</t>
  </si>
  <si>
    <t>Buy Price (50% Discount)</t>
  </si>
  <si>
    <t>Company on-sale?</t>
  </si>
  <si>
    <t>Discount</t>
  </si>
  <si>
    <t>Sloan Ratio</t>
  </si>
  <si>
    <t>Operating Cash Flow (CFO)</t>
  </si>
  <si>
    <t>Investing Cash Flow (CFI)</t>
  </si>
  <si>
    <t>Total Assets</t>
  </si>
  <si>
    <t>Sloan Ratio (abs)</t>
  </si>
  <si>
    <t>Cash &amp; Equivalents</t>
  </si>
  <si>
    <t>Adj. Shareholders Equity</t>
  </si>
  <si>
    <t>Key Metrics</t>
  </si>
  <si>
    <t>Avg. ROIC</t>
  </si>
  <si>
    <t>Avg. Equity GR</t>
  </si>
  <si>
    <t>Avg. Sales GR</t>
  </si>
  <si>
    <t>Avg. Net Income GR</t>
  </si>
  <si>
    <t>Avg. Oper. Income GR</t>
  </si>
  <si>
    <t>Avg. EPS GR</t>
  </si>
  <si>
    <t>Avg. FCF GR</t>
  </si>
  <si>
    <t>Avg. Net Profit Margin</t>
  </si>
  <si>
    <t>Stockrow</t>
  </si>
  <si>
    <t>Guru Focus</t>
  </si>
  <si>
    <t>Yahoo Finance</t>
  </si>
  <si>
    <t>Macrotrends</t>
  </si>
  <si>
    <t>Simply Wall St</t>
  </si>
  <si>
    <t>10-K</t>
  </si>
  <si>
    <t>10-Q</t>
  </si>
  <si>
    <t>Owner Earning</t>
  </si>
  <si>
    <t>Zacks</t>
  </si>
  <si>
    <t>←</t>
  </si>
  <si>
    <t>Current Stock Price</t>
  </si>
  <si>
    <t>TBD</t>
  </si>
  <si>
    <t>Owner Earnings Valuation [M$]</t>
  </si>
  <si>
    <t>TTM</t>
  </si>
  <si>
    <t>Cash Flow From Operation</t>
  </si>
  <si>
    <t>Capital Expenditures</t>
  </si>
  <si>
    <t>Income Tax (Tax provision)</t>
  </si>
  <si>
    <t>Owner Earnings</t>
  </si>
  <si>
    <t>Maximum to Pay</t>
  </si>
  <si>
    <t>Market Cap</t>
  </si>
  <si>
    <t>Zack's Expected GR</t>
  </si>
  <si>
    <t>Cash Flow From Operations</t>
  </si>
  <si>
    <t>Cash Flow From Ivestments</t>
  </si>
  <si>
    <t>Total Assetes</t>
  </si>
  <si>
    <t>Owners Earning and Sloan Ratio</t>
  </si>
  <si>
    <t>Captial Expenditure</t>
  </si>
  <si>
    <t>Income Tax</t>
  </si>
  <si>
    <t>Market Cap [B$]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</si>
</sst>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28"/>
      <color theme="1"/>
      <name val="Arial"/>
      <family val="2"/>
      <scheme val="minor"/>
    </font>
    <font>
      <sz val="9"/>
      <color rgb="FF000000"/>
      <name val="Roboto"/>
    </font>
    <font>
      <b/>
      <sz val="16"/>
      <color rgb="FFFF0000"/>
      <name val="Calibri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3E7D5"/>
        <bgColor indexed="64"/>
      </patternFill>
    </fill>
    <fill>
      <patternFill patternType="solid">
        <fgColor rgb="FF68C2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2FAF6"/>
        <bgColor indexed="64"/>
      </patternFill>
    </fill>
    <fill>
      <patternFill patternType="solid">
        <fgColor rgb="FFE6F5ED"/>
        <bgColor indexed="64"/>
      </patternFill>
    </fill>
    <fill>
      <patternFill patternType="solid">
        <fgColor rgb="FFD9F0E5"/>
        <bgColor indexed="64"/>
      </patternFill>
    </fill>
    <fill>
      <patternFill patternType="solid">
        <fgColor rgb="FFCDEBDC"/>
        <bgColor indexed="64"/>
      </patternFill>
    </fill>
    <fill>
      <patternFill patternType="solid">
        <fgColor rgb="FFC0E6D3"/>
        <bgColor indexed="64"/>
      </patternFill>
    </fill>
    <fill>
      <patternFill patternType="solid">
        <fgColor rgb="FFECF7F2"/>
        <bgColor indexed="64"/>
      </patternFill>
    </fill>
    <fill>
      <patternFill patternType="solid">
        <fgColor rgb="FFDEF2E8"/>
        <bgColor indexed="64"/>
      </patternFill>
    </fill>
    <fill>
      <patternFill patternType="solid">
        <fgColor rgb="FFD1ECDF"/>
        <bgColor indexed="64"/>
      </patternFill>
    </fill>
    <fill>
      <patternFill patternType="solid">
        <fgColor rgb="FFC4E7D6"/>
        <bgColor indexed="64"/>
      </patternFill>
    </fill>
    <fill>
      <patternFill patternType="solid">
        <fgColor rgb="FFB6E1CC"/>
        <bgColor indexed="64"/>
      </patternFill>
    </fill>
    <fill>
      <patternFill patternType="solid">
        <fgColor rgb="FFA9DCC3"/>
        <bgColor indexed="64"/>
      </patternFill>
    </fill>
    <fill>
      <patternFill patternType="solid">
        <fgColor rgb="FFD8EFE4"/>
        <bgColor indexed="64"/>
      </patternFill>
    </fill>
    <fill>
      <patternFill patternType="solid">
        <fgColor rgb="FFCAE9DA"/>
        <bgColor indexed="64"/>
      </patternFill>
    </fill>
    <fill>
      <patternFill patternType="solid">
        <fgColor rgb="FFBBE3D0"/>
        <bgColor indexed="64"/>
      </patternFill>
    </fill>
    <fill>
      <patternFill patternType="solid">
        <fgColor rgb="FFACDEC6"/>
        <bgColor indexed="64"/>
      </patternFill>
    </fill>
    <fill>
      <patternFill patternType="solid">
        <fgColor rgb="FF9ED8BB"/>
        <bgColor indexed="64"/>
      </patternFill>
    </fill>
    <fill>
      <patternFill patternType="solid">
        <fgColor rgb="FF8FD2B1"/>
        <bgColor indexed="64"/>
      </patternFill>
    </fill>
    <fill>
      <patternFill patternType="solid">
        <fgColor rgb="FFB3E0CA"/>
        <bgColor indexed="64"/>
      </patternFill>
    </fill>
    <fill>
      <patternFill patternType="solid">
        <fgColor rgb="FFA4DABF"/>
        <bgColor indexed="64"/>
      </patternFill>
    </fill>
    <fill>
      <patternFill patternType="solid">
        <fgColor rgb="FF94D4B4"/>
        <bgColor indexed="64"/>
      </patternFill>
    </fill>
    <fill>
      <patternFill patternType="solid">
        <fgColor rgb="FF84CDA9"/>
        <bgColor indexed="64"/>
      </patternFill>
    </fill>
    <fill>
      <patternFill patternType="solid">
        <fgColor rgb="FF74C79F"/>
        <bgColor indexed="64"/>
      </patternFill>
    </fill>
    <fill>
      <patternFill patternType="solid">
        <fgColor rgb="FFACDEC5"/>
        <bgColor indexed="64"/>
      </patternFill>
    </fill>
    <fill>
      <patternFill patternType="solid">
        <fgColor rgb="FF9BD7BA"/>
        <bgColor indexed="64"/>
      </patternFill>
    </fill>
    <fill>
      <patternFill patternType="solid">
        <fgColor rgb="FF8AD0AE"/>
        <bgColor indexed="64"/>
      </patternFill>
    </fill>
    <fill>
      <patternFill patternType="solid">
        <fgColor rgb="FF79C9A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BD4B4"/>
        <bgColor indexed="64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1"/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3" fontId="5" fillId="4" borderId="6" xfId="0" applyNumberFormat="1" applyFont="1" applyFill="1" applyBorder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0" fontId="5" fillId="8" borderId="6" xfId="0" applyNumberFormat="1" applyFont="1" applyFill="1" applyBorder="1" applyAlignment="1">
      <alignment horizontal="center" wrapText="1"/>
    </xf>
    <xf numFmtId="10" fontId="5" fillId="0" borderId="6" xfId="0" applyNumberFormat="1" applyFont="1" applyBorder="1" applyAlignment="1">
      <alignment horizontal="right" wrapText="1"/>
    </xf>
    <xf numFmtId="0" fontId="1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9" fontId="1" fillId="5" borderId="5" xfId="0" applyNumberFormat="1" applyFont="1" applyFill="1" applyBorder="1" applyAlignment="1">
      <alignment horizontal="center" vertical="center" wrapText="1"/>
    </xf>
    <xf numFmtId="9" fontId="1" fillId="5" borderId="8" xfId="0" applyNumberFormat="1" applyFont="1" applyFill="1" applyBorder="1" applyAlignment="1">
      <alignment horizontal="center" vertical="center" wrapText="1"/>
    </xf>
    <xf numFmtId="0" fontId="5" fillId="37" borderId="10" xfId="0" applyFont="1" applyFill="1" applyBorder="1" applyAlignment="1">
      <alignment horizontal="center" vertical="center" wrapText="1"/>
    </xf>
    <xf numFmtId="9" fontId="5" fillId="37" borderId="10" xfId="0" applyNumberFormat="1" applyFont="1" applyFill="1" applyBorder="1" applyAlignment="1">
      <alignment horizontal="center" vertical="center" wrapText="1"/>
    </xf>
    <xf numFmtId="0" fontId="5" fillId="38" borderId="10" xfId="0" applyFont="1" applyFill="1" applyBorder="1" applyAlignment="1">
      <alignment horizontal="center" vertical="center" wrapText="1"/>
    </xf>
    <xf numFmtId="0" fontId="5" fillId="38" borderId="9" xfId="0" applyFont="1" applyFill="1" applyBorder="1" applyAlignment="1">
      <alignment horizontal="center" vertical="center" wrapText="1"/>
    </xf>
    <xf numFmtId="0" fontId="4" fillId="39" borderId="10" xfId="0" applyFont="1" applyFill="1" applyBorder="1" applyAlignment="1">
      <alignment horizontal="center" vertical="center" wrapText="1"/>
    </xf>
    <xf numFmtId="0" fontId="4" fillId="39" borderId="9" xfId="0" applyFont="1" applyFill="1" applyBorder="1" applyAlignment="1">
      <alignment horizontal="center" vertical="center" wrapText="1"/>
    </xf>
    <xf numFmtId="0" fontId="4" fillId="40" borderId="9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vertical="center" wrapText="1"/>
    </xf>
    <xf numFmtId="0" fontId="4" fillId="40" borderId="26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39" borderId="26" xfId="0" applyFont="1" applyFill="1" applyBorder="1" applyAlignment="1">
      <alignment vertical="center" wrapText="1"/>
    </xf>
    <xf numFmtId="0" fontId="4" fillId="39" borderId="22" xfId="0" applyFont="1" applyFill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3" fontId="9" fillId="0" borderId="11" xfId="0" applyNumberFormat="1" applyFont="1" applyBorder="1" applyAlignment="1">
      <alignment horizontal="right" vertical="center" wrapText="1"/>
    </xf>
    <xf numFmtId="0" fontId="5" fillId="0" borderId="29" xfId="0" applyFont="1" applyBorder="1" applyAlignment="1">
      <alignment wrapText="1"/>
    </xf>
    <xf numFmtId="0" fontId="9" fillId="0" borderId="12" xfId="0" applyFont="1" applyBorder="1" applyAlignment="1">
      <alignment vertical="center" wrapText="1"/>
    </xf>
    <xf numFmtId="10" fontId="9" fillId="41" borderId="9" xfId="0" applyNumberFormat="1" applyFont="1" applyFill="1" applyBorder="1" applyAlignment="1">
      <alignment horizontal="right" vertical="center" wrapText="1"/>
    </xf>
    <xf numFmtId="0" fontId="10" fillId="0" borderId="0" xfId="0" applyFont="1"/>
    <xf numFmtId="0" fontId="5" fillId="0" borderId="30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 wrapText="1"/>
    </xf>
    <xf numFmtId="10" fontId="9" fillId="9" borderId="6" xfId="0" applyNumberFormat="1" applyFont="1" applyFill="1" applyBorder="1" applyAlignment="1">
      <alignment horizontal="center" wrapText="1"/>
    </xf>
    <xf numFmtId="10" fontId="0" fillId="0" borderId="0" xfId="0" applyNumberFormat="1"/>
    <xf numFmtId="0" fontId="12" fillId="0" borderId="0" xfId="0" applyFont="1"/>
    <xf numFmtId="1" fontId="9" fillId="33" borderId="5" xfId="0" applyNumberFormat="1" applyFont="1" applyFill="1" applyBorder="1" applyAlignment="1">
      <alignment horizontal="center" vertical="center" wrapText="1"/>
    </xf>
    <xf numFmtId="1" fontId="9" fillId="10" borderId="5" xfId="0" applyNumberFormat="1" applyFont="1" applyFill="1" applyBorder="1" applyAlignment="1">
      <alignment horizontal="center" vertical="center" wrapText="1"/>
    </xf>
    <xf numFmtId="1" fontId="9" fillId="11" borderId="5" xfId="0" applyNumberFormat="1" applyFont="1" applyFill="1" applyBorder="1" applyAlignment="1">
      <alignment horizontal="center" vertical="center" wrapText="1"/>
    </xf>
    <xf numFmtId="1" fontId="9" fillId="12" borderId="5" xfId="0" applyNumberFormat="1" applyFont="1" applyFill="1" applyBorder="1" applyAlignment="1">
      <alignment horizontal="center" vertical="center" wrapText="1"/>
    </xf>
    <xf numFmtId="1" fontId="9" fillId="13" borderId="5" xfId="0" applyNumberFormat="1" applyFont="1" applyFill="1" applyBorder="1" applyAlignment="1">
      <alignment horizontal="center" vertical="center" wrapText="1"/>
    </xf>
    <xf numFmtId="1" fontId="9" fillId="14" borderId="5" xfId="0" applyNumberFormat="1" applyFont="1" applyFill="1" applyBorder="1" applyAlignment="1">
      <alignment horizontal="center" vertical="center" wrapText="1"/>
    </xf>
    <xf numFmtId="1" fontId="9" fillId="15" borderId="5" xfId="0" applyNumberFormat="1" applyFont="1" applyFill="1" applyBorder="1" applyAlignment="1">
      <alignment horizontal="center" vertical="center" wrapText="1"/>
    </xf>
    <xf numFmtId="1" fontId="9" fillId="16" borderId="5" xfId="0" applyNumberFormat="1" applyFont="1" applyFill="1" applyBorder="1" applyAlignment="1">
      <alignment horizontal="center" vertical="center" wrapText="1"/>
    </xf>
    <xf numFmtId="1" fontId="9" fillId="17" borderId="5" xfId="0" applyNumberFormat="1" applyFont="1" applyFill="1" applyBorder="1" applyAlignment="1">
      <alignment horizontal="center" vertical="center" wrapText="1"/>
    </xf>
    <xf numFmtId="1" fontId="9" fillId="18" borderId="8" xfId="0" applyNumberFormat="1" applyFont="1" applyFill="1" applyBorder="1" applyAlignment="1">
      <alignment horizontal="center" vertical="center" wrapText="1"/>
    </xf>
    <xf numFmtId="1" fontId="9" fillId="19" borderId="5" xfId="0" applyNumberFormat="1" applyFont="1" applyFill="1" applyBorder="1" applyAlignment="1">
      <alignment horizontal="center" vertical="center" wrapText="1"/>
    </xf>
    <xf numFmtId="1" fontId="9" fillId="20" borderId="5" xfId="0" applyNumberFormat="1" applyFont="1" applyFill="1" applyBorder="1" applyAlignment="1">
      <alignment horizontal="center" vertical="center" wrapText="1"/>
    </xf>
    <xf numFmtId="1" fontId="9" fillId="21" borderId="5" xfId="0" applyNumberFormat="1" applyFont="1" applyFill="1" applyBorder="1" applyAlignment="1">
      <alignment horizontal="center" vertical="center" wrapText="1"/>
    </xf>
    <xf numFmtId="1" fontId="9" fillId="22" borderId="5" xfId="0" applyNumberFormat="1" applyFont="1" applyFill="1" applyBorder="1" applyAlignment="1">
      <alignment horizontal="center" vertical="center" wrapText="1"/>
    </xf>
    <xf numFmtId="1" fontId="9" fillId="23" borderId="10" xfId="0" applyNumberFormat="1" applyFont="1" applyFill="1" applyBorder="1" applyAlignment="1">
      <alignment horizontal="center" vertical="center" wrapText="1"/>
    </xf>
    <xf numFmtId="1" fontId="1" fillId="24" borderId="9" xfId="0" applyNumberFormat="1" applyFont="1" applyFill="1" applyBorder="1" applyAlignment="1">
      <alignment horizontal="center" vertical="center" wrapText="1"/>
    </xf>
    <xf numFmtId="1" fontId="9" fillId="25" borderId="5" xfId="0" applyNumberFormat="1" applyFont="1" applyFill="1" applyBorder="1" applyAlignment="1">
      <alignment horizontal="center" vertical="center" wrapText="1"/>
    </xf>
    <xf numFmtId="1" fontId="9" fillId="26" borderId="5" xfId="0" applyNumberFormat="1" applyFont="1" applyFill="1" applyBorder="1" applyAlignment="1">
      <alignment horizontal="center" vertical="center" wrapText="1"/>
    </xf>
    <xf numFmtId="1" fontId="9" fillId="27" borderId="5" xfId="0" applyNumberFormat="1" applyFont="1" applyFill="1" applyBorder="1" applyAlignment="1">
      <alignment horizontal="center" vertical="center" wrapText="1"/>
    </xf>
    <xf numFmtId="1" fontId="9" fillId="6" borderId="5" xfId="0" applyNumberFormat="1" applyFont="1" applyFill="1" applyBorder="1" applyAlignment="1">
      <alignment horizontal="center" vertical="center" wrapText="1"/>
    </xf>
    <xf numFmtId="1" fontId="9" fillId="28" borderId="5" xfId="0" applyNumberFormat="1" applyFont="1" applyFill="1" applyBorder="1" applyAlignment="1">
      <alignment horizontal="center" vertical="center" wrapText="1"/>
    </xf>
    <xf numFmtId="1" fontId="9" fillId="29" borderId="5" xfId="0" applyNumberFormat="1" applyFont="1" applyFill="1" applyBorder="1" applyAlignment="1">
      <alignment horizontal="center" vertical="center" wrapText="1"/>
    </xf>
    <xf numFmtId="1" fontId="9" fillId="30" borderId="5" xfId="0" applyNumberFormat="1" applyFont="1" applyFill="1" applyBorder="1" applyAlignment="1">
      <alignment horizontal="center" vertical="center" wrapText="1"/>
    </xf>
    <xf numFmtId="1" fontId="9" fillId="31" borderId="5" xfId="0" applyNumberFormat="1" applyFont="1" applyFill="1" applyBorder="1" applyAlignment="1">
      <alignment horizontal="center" vertical="center" wrapText="1"/>
    </xf>
    <xf numFmtId="1" fontId="9" fillId="32" borderId="5" xfId="0" applyNumberFormat="1" applyFont="1" applyFill="1" applyBorder="1" applyAlignment="1">
      <alignment horizontal="center" vertical="center" wrapText="1"/>
    </xf>
    <xf numFmtId="1" fontId="9" fillId="34" borderId="5" xfId="0" applyNumberFormat="1" applyFont="1" applyFill="1" applyBorder="1" applyAlignment="1">
      <alignment horizontal="center" vertical="center" wrapText="1"/>
    </xf>
    <xf numFmtId="1" fontId="9" fillId="35" borderId="5" xfId="0" applyNumberFormat="1" applyFont="1" applyFill="1" applyBorder="1" applyAlignment="1">
      <alignment horizontal="center" vertical="center" wrapText="1"/>
    </xf>
    <xf numFmtId="1" fontId="9" fillId="36" borderId="5" xfId="0" applyNumberFormat="1" applyFont="1" applyFill="1" applyBorder="1" applyAlignment="1">
      <alignment horizontal="center" vertical="center" wrapText="1"/>
    </xf>
    <xf numFmtId="1" fontId="9" fillId="7" borderId="5" xfId="0" applyNumberFormat="1" applyFont="1" applyFill="1" applyBorder="1" applyAlignment="1">
      <alignment horizontal="center" vertical="center" wrapText="1"/>
    </xf>
    <xf numFmtId="1" fontId="9" fillId="4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13" fillId="0" borderId="0" xfId="0" applyFont="1"/>
    <xf numFmtId="9" fontId="4" fillId="40" borderId="9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4" fillId="4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36" xfId="0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0" fontId="9" fillId="9" borderId="6" xfId="0" applyFont="1" applyFill="1" applyBorder="1" applyAlignment="1">
      <alignment horizontal="center" wrapText="1"/>
    </xf>
    <xf numFmtId="3" fontId="4" fillId="39" borderId="10" xfId="0" applyNumberFormat="1" applyFont="1" applyFill="1" applyBorder="1" applyAlignment="1">
      <alignment horizontal="center" vertical="center" wrapText="1"/>
    </xf>
    <xf numFmtId="3" fontId="4" fillId="39" borderId="9" xfId="0" applyNumberFormat="1" applyFont="1" applyFill="1" applyBorder="1" applyAlignment="1">
      <alignment horizontal="center" vertical="center" wrapText="1"/>
    </xf>
    <xf numFmtId="3" fontId="5" fillId="37" borderId="10" xfId="0" applyNumberFormat="1" applyFont="1" applyFill="1" applyBorder="1" applyAlignment="1">
      <alignment horizontal="center" vertical="center" wrapText="1"/>
    </xf>
    <xf numFmtId="0" fontId="4" fillId="39" borderId="22" xfId="0" applyFont="1" applyFill="1" applyBorder="1" applyAlignment="1">
      <alignment vertical="center" wrapText="1"/>
    </xf>
    <xf numFmtId="0" fontId="4" fillId="39" borderId="23" xfId="0" applyFont="1" applyFill="1" applyBorder="1" applyAlignment="1">
      <alignment vertical="center" wrapText="1"/>
    </xf>
    <xf numFmtId="0" fontId="4" fillId="39" borderId="24" xfId="0" applyFont="1" applyFill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40" borderId="1" xfId="0" applyFont="1" applyFill="1" applyBorder="1" applyAlignment="1">
      <alignment vertical="center" wrapText="1"/>
    </xf>
    <xf numFmtId="0" fontId="4" fillId="40" borderId="2" xfId="0" applyFont="1" applyFill="1" applyBorder="1" applyAlignment="1">
      <alignment vertical="center" wrapText="1"/>
    </xf>
    <xf numFmtId="0" fontId="4" fillId="40" borderId="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vertical="center" wrapText="1"/>
    </xf>
    <xf numFmtId="0" fontId="2" fillId="39" borderId="28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" fillId="39" borderId="39" xfId="0" applyFont="1" applyFill="1" applyBorder="1" applyAlignment="1">
      <alignment horizontal="center" vertical="center" wrapText="1"/>
    </xf>
    <xf numFmtId="0" fontId="2" fillId="39" borderId="4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11</xdr:row>
      <xdr:rowOff>152400</xdr:rowOff>
    </xdr:from>
    <xdr:to>
      <xdr:col>20</xdr:col>
      <xdr:colOff>38100</xdr:colOff>
      <xdr:row>29</xdr:row>
      <xdr:rowOff>83668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415130-61AE-540F-84D8-B3CA46DAA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3009900"/>
          <a:ext cx="6553200" cy="3722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.docs.live.net/e8e55a1a5c9df2db/Documents/www" TargetMode="External"/><Relationship Id="rId7" Type="http://schemas.openxmlformats.org/officeDocument/2006/relationships/hyperlink" Target="https://d.docs.live.net/e8e55a1a5c9df2db/Documents/www" TargetMode="External"/><Relationship Id="rId2" Type="http://schemas.openxmlformats.org/officeDocument/2006/relationships/hyperlink" Target="https://d.docs.live.net/e8e55a1a5c9df2db/Documents/www" TargetMode="External"/><Relationship Id="rId1" Type="http://schemas.openxmlformats.org/officeDocument/2006/relationships/hyperlink" Target="https://d.docs.live.net/e8e55a1a5c9df2db/Documents/www" TargetMode="External"/><Relationship Id="rId6" Type="http://schemas.openxmlformats.org/officeDocument/2006/relationships/hyperlink" Target="https://d.docs.live.net/e8e55a1a5c9df2db/Documents/www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d.docs.live.net/e8e55a1a5c9df2db/Documents/www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d.docs.live.net/e8e55a1a5c9df2db/Documents/www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5826-A804-46AF-AF71-6A896A2642F1}">
  <dimension ref="A1:U58"/>
  <sheetViews>
    <sheetView tabSelected="1" workbookViewId="0">
      <selection activeCell="F3" sqref="F3"/>
    </sheetView>
  </sheetViews>
  <sheetFormatPr defaultRowHeight="14.25" x14ac:dyDescent="0.2"/>
  <cols>
    <col min="1" max="1" width="25.875" bestFit="1" customWidth="1"/>
    <col min="2" max="2" width="17.75" bestFit="1" customWidth="1"/>
    <col min="3" max="3" width="20.625" customWidth="1"/>
    <col min="4" max="4" width="19.5" bestFit="1" customWidth="1"/>
    <col min="5" max="5" width="12" bestFit="1" customWidth="1"/>
    <col min="6" max="7" width="11.125" bestFit="1" customWidth="1"/>
    <col min="8" max="8" width="20.5" bestFit="1" customWidth="1"/>
    <col min="9" max="10" width="11.125" bestFit="1" customWidth="1"/>
    <col min="12" max="12" width="17.5" customWidth="1"/>
    <col min="13" max="13" width="17.25" customWidth="1"/>
    <col min="14" max="15" width="4.375" bestFit="1" customWidth="1"/>
    <col min="16" max="16" width="10.875" bestFit="1" customWidth="1"/>
    <col min="17" max="19" width="4.375" bestFit="1" customWidth="1"/>
    <col min="20" max="20" width="25.125" customWidth="1"/>
    <col min="21" max="21" width="13.5" bestFit="1" customWidth="1"/>
  </cols>
  <sheetData>
    <row r="1" spans="1:19" ht="33" customHeight="1" x14ac:dyDescent="0.5">
      <c r="A1" s="112" t="s">
        <v>0</v>
      </c>
      <c r="B1" s="112"/>
    </row>
    <row r="2" spans="1:19" ht="47.25" customHeight="1" thickBot="1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</row>
    <row r="3" spans="1:19" ht="16.5" customHeight="1" thickTop="1" thickBot="1" x14ac:dyDescent="0.3">
      <c r="A3" s="1" t="s">
        <v>2</v>
      </c>
      <c r="B3" s="1" t="s">
        <v>20</v>
      </c>
      <c r="D3" s="1" t="s">
        <v>43</v>
      </c>
      <c r="F3" s="1"/>
      <c r="H3" s="114" t="s">
        <v>26</v>
      </c>
      <c r="I3" s="115"/>
      <c r="K3" s="125" t="s">
        <v>25</v>
      </c>
      <c r="L3" s="126"/>
      <c r="M3" s="126"/>
      <c r="N3" s="126"/>
      <c r="O3" s="126"/>
      <c r="P3" s="126"/>
      <c r="Q3" s="126"/>
      <c r="R3" s="126"/>
      <c r="S3" s="127"/>
    </row>
    <row r="4" spans="1:19" ht="22.5" thickTop="1" thickBot="1" x14ac:dyDescent="0.4">
      <c r="A4" s="2" t="s">
        <v>57</v>
      </c>
      <c r="B4" t="s">
        <v>22</v>
      </c>
      <c r="C4" t="str">
        <f>IF(($B$46-$B$45)&gt;0, IF(($B$46-$B$45)-SUM($B$38:$G$38)&gt;0, "LT Debt is Too High", "5-Years FCF Covers LT Debt"), "Cash Covers LT Debt")</f>
        <v>Cash Covers LT Debt</v>
      </c>
      <c r="D4" t="s">
        <v>45</v>
      </c>
      <c r="E4" s="46">
        <f>AVERAGE(B20:I20)</f>
        <v>0</v>
      </c>
      <c r="H4" s="36" t="s">
        <v>27</v>
      </c>
      <c r="I4" s="96">
        <f>B37</f>
        <v>99999999</v>
      </c>
      <c r="J4" s="80" t="s">
        <v>61</v>
      </c>
      <c r="K4" s="128"/>
      <c r="L4" s="129"/>
      <c r="M4" s="135" t="s">
        <v>23</v>
      </c>
      <c r="N4" s="136"/>
      <c r="O4" s="136"/>
      <c r="P4" s="136"/>
      <c r="Q4" s="136"/>
      <c r="R4" s="136"/>
      <c r="S4" s="137"/>
    </row>
    <row r="5" spans="1:19" ht="21.75" thickBot="1" x14ac:dyDescent="0.4">
      <c r="A5" s="2" t="s">
        <v>58</v>
      </c>
      <c r="B5" s="42" t="s">
        <v>21</v>
      </c>
      <c r="C5" t="s">
        <v>63</v>
      </c>
      <c r="D5" t="s">
        <v>46</v>
      </c>
      <c r="E5" s="46">
        <f t="shared" ref="E5:E9" si="0">AVERAGE(B21:I21)</f>
        <v>0</v>
      </c>
      <c r="H5" s="35" t="s">
        <v>28</v>
      </c>
      <c r="I5" s="24">
        <v>0.15</v>
      </c>
      <c r="J5" s="80" t="s">
        <v>61</v>
      </c>
      <c r="K5" s="130"/>
      <c r="L5" s="131"/>
      <c r="M5" s="20">
        <f>0.85*P5</f>
        <v>32.299999999999997</v>
      </c>
      <c r="N5" s="20">
        <f>0.9*P5</f>
        <v>34.200000000000003</v>
      </c>
      <c r="O5" s="20">
        <f>0.95*P5</f>
        <v>36.1</v>
      </c>
      <c r="P5" s="20">
        <f>I9</f>
        <v>38</v>
      </c>
      <c r="Q5" s="20">
        <f>1.05*P5</f>
        <v>39.9</v>
      </c>
      <c r="R5" s="20">
        <f>1.1*P5</f>
        <v>41.800000000000004</v>
      </c>
      <c r="S5" s="20">
        <f>1.15*P5</f>
        <v>43.699999999999996</v>
      </c>
    </row>
    <row r="6" spans="1:19" ht="16.5" customHeight="1" thickBot="1" x14ac:dyDescent="0.25">
      <c r="A6" s="2" t="s">
        <v>52</v>
      </c>
      <c r="B6" t="s">
        <v>36</v>
      </c>
      <c r="C6" s="82">
        <f>U54</f>
        <v>99098.099099099098</v>
      </c>
      <c r="D6" t="s">
        <v>48</v>
      </c>
      <c r="E6" s="46">
        <f t="shared" si="0"/>
        <v>0</v>
      </c>
      <c r="H6" s="35" t="s">
        <v>29</v>
      </c>
      <c r="I6" s="24">
        <v>0.12</v>
      </c>
      <c r="J6" s="47">
        <f>72/I6/100</f>
        <v>6</v>
      </c>
      <c r="K6" s="132" t="s">
        <v>24</v>
      </c>
      <c r="L6" s="21">
        <f>L8-0.1</f>
        <v>4.9999999999999989E-2</v>
      </c>
      <c r="M6" s="48">
        <f>(($I$4*(1+$L6)^$J$6)/((1+$I$6)^(72/$I$6/100)))*M$5</f>
        <v>2192957304.8402543</v>
      </c>
      <c r="N6" s="49">
        <f t="shared" ref="N6:S6" si="1">(($I$4*(1+$L6)^$J$6)/((1+$I$6)^(72/$I$6/100)))*N$5</f>
        <v>2321954793.3602695</v>
      </c>
      <c r="O6" s="50">
        <f t="shared" si="1"/>
        <v>2450952281.8802848</v>
      </c>
      <c r="P6" s="51">
        <f t="shared" si="1"/>
        <v>2579949770.4002995</v>
      </c>
      <c r="Q6" s="52">
        <f t="shared" si="1"/>
        <v>2708947258.9203143</v>
      </c>
      <c r="R6" s="53">
        <f t="shared" si="1"/>
        <v>2837944747.4403296</v>
      </c>
      <c r="S6" s="54">
        <f t="shared" si="1"/>
        <v>2966942235.9603443</v>
      </c>
    </row>
    <row r="7" spans="1:19" ht="15.75" customHeight="1" thickBot="1" x14ac:dyDescent="0.25">
      <c r="A7" s="2" t="s">
        <v>53</v>
      </c>
      <c r="B7" t="s">
        <v>59</v>
      </c>
      <c r="C7" s="86" t="str">
        <f>P57</f>
        <v>On Sale</v>
      </c>
      <c r="D7" t="s">
        <v>47</v>
      </c>
      <c r="E7" s="46">
        <f t="shared" si="0"/>
        <v>0</v>
      </c>
      <c r="H7" s="35" t="s">
        <v>30</v>
      </c>
      <c r="I7" s="25">
        <v>23.71</v>
      </c>
      <c r="K7" s="133"/>
      <c r="L7" s="21">
        <f>L8-0.05</f>
        <v>9.9999999999999992E-2</v>
      </c>
      <c r="M7" s="48">
        <f t="shared" ref="M7:S10" si="2">(($I$4*(1+$L7)^$J$6)/((1+$I$6)^(72/$I$6/100)))*M$5</f>
        <v>2899015203.2046189</v>
      </c>
      <c r="N7" s="55">
        <f t="shared" si="2"/>
        <v>3069545509.2754793</v>
      </c>
      <c r="O7" s="56">
        <f t="shared" si="2"/>
        <v>3240075815.3463392</v>
      </c>
      <c r="P7" s="57">
        <f t="shared" si="2"/>
        <v>3410606121.4171987</v>
      </c>
      <c r="Q7" s="58">
        <f t="shared" si="2"/>
        <v>3581136427.4880586</v>
      </c>
      <c r="R7" s="59">
        <f t="shared" si="2"/>
        <v>3751666733.558919</v>
      </c>
      <c r="S7" s="60">
        <f t="shared" si="2"/>
        <v>3922197039.6297784</v>
      </c>
    </row>
    <row r="8" spans="1:19" ht="15.75" customHeight="1" thickTop="1" thickBot="1" x14ac:dyDescent="0.25">
      <c r="A8" s="2" t="s">
        <v>54</v>
      </c>
      <c r="B8" t="s">
        <v>72</v>
      </c>
      <c r="D8" t="s">
        <v>49</v>
      </c>
      <c r="E8" s="46">
        <f t="shared" si="0"/>
        <v>0</v>
      </c>
      <c r="H8" s="35" t="s">
        <v>31</v>
      </c>
      <c r="I8" s="26">
        <v>12.01</v>
      </c>
      <c r="K8" s="133"/>
      <c r="L8" s="21">
        <f>I5</f>
        <v>0.15</v>
      </c>
      <c r="M8" s="48">
        <f t="shared" si="2"/>
        <v>3785135440.147409</v>
      </c>
      <c r="N8" s="61">
        <f t="shared" si="2"/>
        <v>4007790466.0384336</v>
      </c>
      <c r="O8" s="62">
        <f t="shared" si="2"/>
        <v>4230445491.9294577</v>
      </c>
      <c r="P8" s="63">
        <f t="shared" si="2"/>
        <v>4453100517.8204813</v>
      </c>
      <c r="Q8" s="64">
        <f t="shared" si="2"/>
        <v>4675755543.7115059</v>
      </c>
      <c r="R8" s="65">
        <f t="shared" si="2"/>
        <v>4898410569.6025305</v>
      </c>
      <c r="S8" s="66">
        <f t="shared" si="2"/>
        <v>5121065595.4935532</v>
      </c>
    </row>
    <row r="9" spans="1:19" ht="21.75" thickBot="1" x14ac:dyDescent="0.4">
      <c r="A9" s="2" t="s">
        <v>55</v>
      </c>
      <c r="B9" t="s">
        <v>79</v>
      </c>
      <c r="C9">
        <v>1E-3</v>
      </c>
      <c r="D9" t="s">
        <v>50</v>
      </c>
      <c r="E9" s="46">
        <f t="shared" si="0"/>
        <v>0</v>
      </c>
      <c r="H9" s="35" t="s">
        <v>23</v>
      </c>
      <c r="I9" s="23">
        <v>38</v>
      </c>
      <c r="J9" s="80" t="s">
        <v>61</v>
      </c>
      <c r="K9" s="133"/>
      <c r="L9" s="21">
        <f>L8+0.05</f>
        <v>0.2</v>
      </c>
      <c r="M9" s="48">
        <f t="shared" si="2"/>
        <v>4886319473.3490601</v>
      </c>
      <c r="N9" s="67">
        <f t="shared" si="2"/>
        <v>5173750030.604888</v>
      </c>
      <c r="O9" s="68">
        <f t="shared" si="2"/>
        <v>5461180587.8607149</v>
      </c>
      <c r="P9" s="69">
        <f t="shared" si="2"/>
        <v>5748611145.1165419</v>
      </c>
      <c r="Q9" s="70">
        <f t="shared" si="2"/>
        <v>6036041702.3723688</v>
      </c>
      <c r="R9" s="71">
        <f t="shared" si="2"/>
        <v>6323472259.6281967</v>
      </c>
      <c r="S9" s="72">
        <f t="shared" si="2"/>
        <v>6610902816.8840227</v>
      </c>
    </row>
    <row r="10" spans="1:19" ht="15.75" thickBot="1" x14ac:dyDescent="0.25">
      <c r="A10" s="2" t="s">
        <v>56</v>
      </c>
      <c r="D10" t="s">
        <v>44</v>
      </c>
      <c r="E10" s="46">
        <f>AVERAGE(B42:J42)</f>
        <v>9.99</v>
      </c>
      <c r="H10" s="34" t="s">
        <v>32</v>
      </c>
      <c r="I10" s="27">
        <f>I8*I9</f>
        <v>456.38</v>
      </c>
      <c r="K10" s="134"/>
      <c r="L10" s="22">
        <f>L8+0.1</f>
        <v>0.25</v>
      </c>
      <c r="M10" s="48">
        <f t="shared" si="2"/>
        <v>6242441196.588747</v>
      </c>
      <c r="N10" s="48">
        <f t="shared" si="2"/>
        <v>6609643619.9174976</v>
      </c>
      <c r="O10" s="73">
        <f t="shared" si="2"/>
        <v>6976846043.2462473</v>
      </c>
      <c r="P10" s="74">
        <f t="shared" si="2"/>
        <v>7344048466.5749969</v>
      </c>
      <c r="Q10" s="75">
        <f t="shared" si="2"/>
        <v>7711250889.9037466</v>
      </c>
      <c r="R10" s="76">
        <f t="shared" si="2"/>
        <v>8078453313.2324972</v>
      </c>
      <c r="S10" s="77">
        <f t="shared" si="2"/>
        <v>8445655736.561245</v>
      </c>
    </row>
    <row r="11" spans="1:19" ht="15.75" customHeight="1" thickBot="1" x14ac:dyDescent="0.25">
      <c r="A11" s="2" t="s">
        <v>60</v>
      </c>
      <c r="D11" t="s">
        <v>51</v>
      </c>
      <c r="E11" s="46">
        <f>AVERAGE(B43:J43)</f>
        <v>9.99</v>
      </c>
      <c r="H11" s="33" t="s">
        <v>33</v>
      </c>
      <c r="I11" s="28">
        <v>228</v>
      </c>
    </row>
    <row r="12" spans="1:19" ht="22.5" thickTop="1" thickBot="1" x14ac:dyDescent="0.4">
      <c r="H12" s="32" t="s">
        <v>62</v>
      </c>
      <c r="I12" s="23">
        <v>9</v>
      </c>
      <c r="J12" s="80" t="s">
        <v>61</v>
      </c>
    </row>
    <row r="13" spans="1:19" ht="15" customHeight="1" thickBot="1" x14ac:dyDescent="0.25">
      <c r="H13" s="31" t="s">
        <v>34</v>
      </c>
      <c r="I13" s="29" t="str">
        <f>IF(I12/I10&lt;0.5, "YES",IF(I12/I10&lt;0.8, "Partially", "NO") )</f>
        <v>YES</v>
      </c>
    </row>
    <row r="14" spans="1:19" ht="15.75" thickTop="1" thickBot="1" x14ac:dyDescent="0.25">
      <c r="H14" s="30" t="s">
        <v>35</v>
      </c>
      <c r="I14" s="81">
        <f>1-I12/I10</f>
        <v>0.98027959156842981</v>
      </c>
    </row>
    <row r="15" spans="1:19" ht="15" thickTop="1" x14ac:dyDescent="0.2"/>
    <row r="17" spans="1:10" ht="15" thickBot="1" x14ac:dyDescent="0.25"/>
    <row r="18" spans="1:10" ht="15.75" thickBot="1" x14ac:dyDescent="0.25">
      <c r="A18" s="116" t="s">
        <v>12</v>
      </c>
      <c r="B18" s="117"/>
      <c r="C18" s="117"/>
      <c r="D18" s="117"/>
      <c r="E18" s="117"/>
      <c r="F18" s="117"/>
      <c r="G18" s="117"/>
      <c r="H18" s="117"/>
      <c r="I18" s="117"/>
      <c r="J18" s="118"/>
    </row>
    <row r="19" spans="1:10" ht="15.75" thickBot="1" x14ac:dyDescent="0.25">
      <c r="A19" s="43"/>
      <c r="B19" s="44">
        <v>2022</v>
      </c>
      <c r="C19" s="44">
        <v>2021</v>
      </c>
      <c r="D19" s="44">
        <v>2020</v>
      </c>
      <c r="E19" s="44">
        <v>2019</v>
      </c>
      <c r="F19" s="44">
        <v>2018</v>
      </c>
      <c r="G19" s="44">
        <v>2017</v>
      </c>
      <c r="H19" s="44">
        <v>2016</v>
      </c>
      <c r="I19" s="44">
        <v>2015</v>
      </c>
      <c r="J19" s="44" t="s">
        <v>13</v>
      </c>
    </row>
    <row r="20" spans="1:10" ht="15.75" thickBot="1" x14ac:dyDescent="0.25">
      <c r="A20" s="9" t="s">
        <v>42</v>
      </c>
      <c r="B20" s="10">
        <f>(B31-C31)/C31</f>
        <v>0</v>
      </c>
      <c r="C20" s="10">
        <f t="shared" ref="C20:I20" si="3">(C31-D31)/D31</f>
        <v>0</v>
      </c>
      <c r="D20" s="10">
        <f t="shared" si="3"/>
        <v>0</v>
      </c>
      <c r="E20" s="10">
        <f t="shared" si="3"/>
        <v>0</v>
      </c>
      <c r="F20" s="10">
        <f t="shared" si="3"/>
        <v>0</v>
      </c>
      <c r="G20" s="10">
        <f t="shared" si="3"/>
        <v>0</v>
      </c>
      <c r="H20" s="10">
        <f t="shared" si="3"/>
        <v>0</v>
      </c>
      <c r="I20" s="10">
        <f t="shared" si="3"/>
        <v>0</v>
      </c>
      <c r="J20" s="11">
        <f>AVERAGE(B20:I20)</f>
        <v>0</v>
      </c>
    </row>
    <row r="21" spans="1:10" ht="15.75" thickBot="1" x14ac:dyDescent="0.25">
      <c r="A21" s="9" t="s">
        <v>7</v>
      </c>
      <c r="B21" s="10">
        <f>(B34-C34)/C34</f>
        <v>0</v>
      </c>
      <c r="C21" s="10">
        <f t="shared" ref="C21:I21" si="4">(C34-D34)/D34</f>
        <v>0</v>
      </c>
      <c r="D21" s="10">
        <f t="shared" si="4"/>
        <v>0</v>
      </c>
      <c r="E21" s="10">
        <f t="shared" si="4"/>
        <v>0</v>
      </c>
      <c r="F21" s="10">
        <f t="shared" si="4"/>
        <v>0</v>
      </c>
      <c r="G21" s="10">
        <f t="shared" si="4"/>
        <v>0</v>
      </c>
      <c r="H21" s="10">
        <f t="shared" si="4"/>
        <v>0</v>
      </c>
      <c r="I21" s="10">
        <f t="shared" si="4"/>
        <v>0</v>
      </c>
      <c r="J21" s="11">
        <f t="shared" ref="J21:J25" si="5">AVERAGE(B21:I21)</f>
        <v>0</v>
      </c>
    </row>
    <row r="22" spans="1:10" ht="15.75" thickBot="1" x14ac:dyDescent="0.25">
      <c r="A22" s="9" t="s">
        <v>8</v>
      </c>
      <c r="B22" s="10">
        <f t="shared" ref="B22:I22" si="6">(B35-C35)/C35</f>
        <v>0</v>
      </c>
      <c r="C22" s="10">
        <f t="shared" si="6"/>
        <v>0</v>
      </c>
      <c r="D22" s="10">
        <f t="shared" si="6"/>
        <v>0</v>
      </c>
      <c r="E22" s="10">
        <f t="shared" si="6"/>
        <v>0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I22" s="10">
        <f t="shared" si="6"/>
        <v>0</v>
      </c>
      <c r="J22" s="11">
        <f t="shared" si="5"/>
        <v>0</v>
      </c>
    </row>
    <row r="23" spans="1:10" ht="15.75" thickBot="1" x14ac:dyDescent="0.25">
      <c r="A23" s="9" t="s">
        <v>9</v>
      </c>
      <c r="B23" s="10">
        <f t="shared" ref="B23:I23" si="7">(B36-C36)/C36</f>
        <v>0</v>
      </c>
      <c r="C23" s="10">
        <f t="shared" si="7"/>
        <v>0</v>
      </c>
      <c r="D23" s="10">
        <f t="shared" si="7"/>
        <v>0</v>
      </c>
      <c r="E23" s="10">
        <f t="shared" si="7"/>
        <v>0</v>
      </c>
      <c r="F23" s="10">
        <f t="shared" si="7"/>
        <v>0</v>
      </c>
      <c r="G23" s="10">
        <f t="shared" si="7"/>
        <v>0</v>
      </c>
      <c r="H23" s="10">
        <f t="shared" si="7"/>
        <v>0</v>
      </c>
      <c r="I23" s="10">
        <f t="shared" si="7"/>
        <v>0</v>
      </c>
      <c r="J23" s="11">
        <f t="shared" si="5"/>
        <v>0</v>
      </c>
    </row>
    <row r="24" spans="1:10" ht="15.75" thickBot="1" x14ac:dyDescent="0.25">
      <c r="A24" s="9" t="s">
        <v>10</v>
      </c>
      <c r="B24" s="10">
        <f t="shared" ref="B24:I24" si="8">(B37-C37)/C37</f>
        <v>0</v>
      </c>
      <c r="C24" s="10">
        <f t="shared" si="8"/>
        <v>0</v>
      </c>
      <c r="D24" s="10">
        <f t="shared" si="8"/>
        <v>0</v>
      </c>
      <c r="E24" s="10">
        <f t="shared" si="8"/>
        <v>0</v>
      </c>
      <c r="F24" s="10">
        <f t="shared" si="8"/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1">
        <f t="shared" si="5"/>
        <v>0</v>
      </c>
    </row>
    <row r="25" spans="1:10" ht="15.75" thickBot="1" x14ac:dyDescent="0.25">
      <c r="A25" s="12" t="s">
        <v>11</v>
      </c>
      <c r="B25" s="10">
        <f t="shared" ref="B25:I25" si="9">(B38-C38)/C38</f>
        <v>0</v>
      </c>
      <c r="C25" s="10">
        <f t="shared" si="9"/>
        <v>0</v>
      </c>
      <c r="D25" s="10">
        <f t="shared" si="9"/>
        <v>0</v>
      </c>
      <c r="E25" s="10">
        <f t="shared" si="9"/>
        <v>0</v>
      </c>
      <c r="F25" s="10">
        <f t="shared" si="9"/>
        <v>0</v>
      </c>
      <c r="G25" s="10">
        <f t="shared" si="9"/>
        <v>0</v>
      </c>
      <c r="H25" s="10">
        <f t="shared" si="9"/>
        <v>0</v>
      </c>
      <c r="I25" s="10">
        <f t="shared" si="9"/>
        <v>0</v>
      </c>
      <c r="J25" s="11">
        <f t="shared" si="5"/>
        <v>0</v>
      </c>
    </row>
    <row r="26" spans="1:10" ht="15" thickTop="1" x14ac:dyDescent="0.2"/>
    <row r="28" spans="1:10" ht="15" thickBot="1" x14ac:dyDescent="0.25"/>
    <row r="29" spans="1:10" ht="15.75" thickTop="1" thickBot="1" x14ac:dyDescent="0.25">
      <c r="A29" s="114" t="s">
        <v>3</v>
      </c>
      <c r="B29" s="115"/>
      <c r="C29" s="115"/>
      <c r="D29" s="115"/>
      <c r="E29" s="115"/>
      <c r="F29" s="115"/>
      <c r="G29" s="115"/>
      <c r="H29" s="115"/>
      <c r="I29" s="115"/>
      <c r="J29" s="121"/>
    </row>
    <row r="30" spans="1:10" ht="15.75" thickTop="1" thickBot="1" x14ac:dyDescent="0.25">
      <c r="A30" s="3"/>
      <c r="B30" s="4">
        <v>2022</v>
      </c>
      <c r="C30" s="4">
        <v>2021</v>
      </c>
      <c r="D30" s="4">
        <v>2020</v>
      </c>
      <c r="E30" s="4">
        <v>2019</v>
      </c>
      <c r="F30" s="4">
        <v>2018</v>
      </c>
      <c r="G30" s="4">
        <v>2017</v>
      </c>
      <c r="H30" s="4">
        <v>2016</v>
      </c>
      <c r="I30" s="4">
        <v>2015</v>
      </c>
      <c r="J30" s="4">
        <v>2014</v>
      </c>
    </row>
    <row r="31" spans="1:10" ht="15" thickBot="1" x14ac:dyDescent="0.25">
      <c r="A31" s="5" t="s">
        <v>4</v>
      </c>
      <c r="B31" s="6">
        <v>99999999</v>
      </c>
      <c r="C31" s="6">
        <v>99999999</v>
      </c>
      <c r="D31" s="6">
        <v>99999999</v>
      </c>
      <c r="E31" s="6">
        <v>99999999</v>
      </c>
      <c r="F31" s="6">
        <v>99999999</v>
      </c>
      <c r="G31" s="6">
        <v>99999999</v>
      </c>
      <c r="H31" s="6">
        <v>99999999</v>
      </c>
      <c r="I31" s="6">
        <v>99999999</v>
      </c>
      <c r="J31" s="6">
        <v>99999999</v>
      </c>
    </row>
    <row r="32" spans="1:10" ht="15" thickBot="1" x14ac:dyDescent="0.25">
      <c r="A32" s="5" t="s">
        <v>5</v>
      </c>
      <c r="B32" s="6">
        <v>99999999</v>
      </c>
      <c r="C32" s="6">
        <v>99999999</v>
      </c>
      <c r="D32" s="6">
        <v>99999999</v>
      </c>
      <c r="E32" s="6">
        <v>99999999</v>
      </c>
      <c r="F32" s="6">
        <v>99999999</v>
      </c>
      <c r="G32" s="6">
        <v>99999999</v>
      </c>
      <c r="H32" s="6">
        <v>99999999</v>
      </c>
      <c r="I32" s="6">
        <v>99999999</v>
      </c>
      <c r="J32" s="6">
        <v>99999999</v>
      </c>
    </row>
    <row r="33" spans="1:10" ht="15" thickBot="1" x14ac:dyDescent="0.25">
      <c r="A33" s="5" t="s">
        <v>6</v>
      </c>
      <c r="B33" s="6">
        <v>99999999</v>
      </c>
      <c r="C33" s="6">
        <v>99999999</v>
      </c>
      <c r="D33" s="6">
        <v>99999999</v>
      </c>
      <c r="E33" s="6">
        <v>99999999</v>
      </c>
      <c r="F33" s="6">
        <v>99999999</v>
      </c>
      <c r="G33" s="6">
        <v>99999999</v>
      </c>
      <c r="H33" s="6">
        <v>99999999</v>
      </c>
      <c r="I33" s="6">
        <v>99999999</v>
      </c>
      <c r="J33" s="6">
        <v>99999999</v>
      </c>
    </row>
    <row r="34" spans="1:10" ht="15" thickBot="1" x14ac:dyDescent="0.25">
      <c r="A34" s="5" t="s">
        <v>7</v>
      </c>
      <c r="B34" s="6">
        <v>99999999</v>
      </c>
      <c r="C34" s="6">
        <v>99999999</v>
      </c>
      <c r="D34" s="6">
        <v>99999999</v>
      </c>
      <c r="E34" s="6">
        <v>99999999</v>
      </c>
      <c r="F34" s="6">
        <v>99999999</v>
      </c>
      <c r="G34" s="6">
        <v>99999999</v>
      </c>
      <c r="H34" s="6">
        <v>99999999</v>
      </c>
      <c r="I34" s="6">
        <v>99999999</v>
      </c>
      <c r="J34" s="6">
        <v>99999999</v>
      </c>
    </row>
    <row r="35" spans="1:10" ht="15" thickBot="1" x14ac:dyDescent="0.25">
      <c r="A35" s="5" t="s">
        <v>8</v>
      </c>
      <c r="B35" s="6">
        <v>99999999</v>
      </c>
      <c r="C35" s="6">
        <v>99999999</v>
      </c>
      <c r="D35" s="6">
        <v>99999999</v>
      </c>
      <c r="E35" s="6">
        <v>99999999</v>
      </c>
      <c r="F35" s="6">
        <v>99999999</v>
      </c>
      <c r="G35" s="6">
        <v>99999999</v>
      </c>
      <c r="H35" s="6">
        <v>99999999</v>
      </c>
      <c r="I35" s="6">
        <v>99999999</v>
      </c>
      <c r="J35" s="6">
        <v>99999999</v>
      </c>
    </row>
    <row r="36" spans="1:10" ht="15" thickBot="1" x14ac:dyDescent="0.25">
      <c r="A36" s="5" t="s">
        <v>9</v>
      </c>
      <c r="B36" s="6">
        <v>99999999</v>
      </c>
      <c r="C36" s="6">
        <v>99999999</v>
      </c>
      <c r="D36" s="6">
        <v>99999999</v>
      </c>
      <c r="E36" s="6">
        <v>99999999</v>
      </c>
      <c r="F36" s="6">
        <v>99999999</v>
      </c>
      <c r="G36" s="6">
        <v>99999999</v>
      </c>
      <c r="H36" s="6">
        <v>99999999</v>
      </c>
      <c r="I36" s="6">
        <v>99999999</v>
      </c>
      <c r="J36" s="6">
        <v>99999999</v>
      </c>
    </row>
    <row r="37" spans="1:10" ht="15" thickBot="1" x14ac:dyDescent="0.25">
      <c r="A37" s="5" t="s">
        <v>10</v>
      </c>
      <c r="B37" s="6">
        <v>99999999</v>
      </c>
      <c r="C37" s="6">
        <v>99999999</v>
      </c>
      <c r="D37" s="6">
        <v>99999999</v>
      </c>
      <c r="E37" s="6">
        <v>99999999</v>
      </c>
      <c r="F37" s="6">
        <v>99999999</v>
      </c>
      <c r="G37" s="6">
        <v>99999999</v>
      </c>
      <c r="H37" s="6">
        <v>99999999</v>
      </c>
      <c r="I37" s="6">
        <v>99999999</v>
      </c>
      <c r="J37" s="6">
        <v>99999999</v>
      </c>
    </row>
    <row r="38" spans="1:10" ht="15" thickBot="1" x14ac:dyDescent="0.25">
      <c r="A38" s="7" t="s">
        <v>11</v>
      </c>
      <c r="B38" s="6">
        <v>99999999</v>
      </c>
      <c r="C38" s="6">
        <v>99999999</v>
      </c>
      <c r="D38" s="6">
        <v>99999999</v>
      </c>
      <c r="E38" s="6">
        <v>99999999</v>
      </c>
      <c r="F38" s="6">
        <v>99999999</v>
      </c>
      <c r="G38" s="6">
        <v>99999999</v>
      </c>
      <c r="H38" s="6">
        <v>99999999</v>
      </c>
      <c r="I38" s="6">
        <v>99999999</v>
      </c>
      <c r="J38" s="6">
        <v>99999999</v>
      </c>
    </row>
    <row r="39" spans="1:10" ht="15.75" thickTop="1" thickBot="1" x14ac:dyDescent="0.25"/>
    <row r="40" spans="1:10" ht="16.5" thickTop="1" thickBot="1" x14ac:dyDescent="0.25">
      <c r="A40" s="122" t="s">
        <v>14</v>
      </c>
      <c r="B40" s="123"/>
      <c r="C40" s="123"/>
      <c r="D40" s="123"/>
      <c r="E40" s="123"/>
      <c r="F40" s="123"/>
      <c r="G40" s="123"/>
      <c r="H40" s="123"/>
      <c r="I40" s="123"/>
      <c r="J40" s="124"/>
    </row>
    <row r="41" spans="1:10" ht="16.5" thickTop="1" thickBot="1" x14ac:dyDescent="0.25">
      <c r="A41" s="3"/>
      <c r="B41" s="8">
        <v>2022</v>
      </c>
      <c r="C41" s="8">
        <v>2021</v>
      </c>
      <c r="D41" s="8">
        <v>2020</v>
      </c>
      <c r="E41" s="8">
        <v>2019</v>
      </c>
      <c r="F41" s="8">
        <v>2018</v>
      </c>
      <c r="G41" s="8">
        <v>2017</v>
      </c>
      <c r="H41" s="8">
        <v>2016</v>
      </c>
      <c r="I41" s="8">
        <v>2015</v>
      </c>
      <c r="J41" s="8">
        <v>2014</v>
      </c>
    </row>
    <row r="42" spans="1:10" ht="18.75" customHeight="1" thickBot="1" x14ac:dyDescent="0.25">
      <c r="A42" s="13" t="s">
        <v>15</v>
      </c>
      <c r="B42" s="45">
        <v>9.99</v>
      </c>
      <c r="C42" s="45">
        <v>9.99</v>
      </c>
      <c r="D42" s="45">
        <v>9.99</v>
      </c>
      <c r="E42" s="45">
        <v>9.99</v>
      </c>
      <c r="F42" s="45">
        <v>9.99</v>
      </c>
      <c r="G42" s="45">
        <v>9.99</v>
      </c>
      <c r="H42" s="45">
        <v>9.99</v>
      </c>
      <c r="I42" s="45">
        <v>9.99</v>
      </c>
      <c r="J42" s="45">
        <v>9.99</v>
      </c>
    </row>
    <row r="43" spans="1:10" ht="15.75" thickBot="1" x14ac:dyDescent="0.25">
      <c r="A43" s="13" t="s">
        <v>16</v>
      </c>
      <c r="B43" s="45">
        <v>9.99</v>
      </c>
      <c r="C43" s="45">
        <v>9.99</v>
      </c>
      <c r="D43" s="45">
        <v>9.99</v>
      </c>
      <c r="E43" s="45">
        <v>9.99</v>
      </c>
      <c r="F43" s="45">
        <v>9.99</v>
      </c>
      <c r="G43" s="45">
        <v>9.99</v>
      </c>
      <c r="H43" s="45">
        <v>9.99</v>
      </c>
      <c r="I43" s="45">
        <v>9.99</v>
      </c>
      <c r="J43" s="45">
        <v>9.99</v>
      </c>
    </row>
    <row r="44" spans="1:10" ht="15.75" thickBot="1" x14ac:dyDescent="0.25">
      <c r="A44" s="13" t="s">
        <v>17</v>
      </c>
      <c r="B44" s="93" t="e">
        <f>B25/B23</f>
        <v>#DIV/0!</v>
      </c>
      <c r="C44" s="93" t="e">
        <f t="shared" ref="C44:J44" si="10">C25/C23</f>
        <v>#DIV/0!</v>
      </c>
      <c r="D44" s="93" t="e">
        <f t="shared" si="10"/>
        <v>#DIV/0!</v>
      </c>
      <c r="E44" s="93" t="e">
        <f t="shared" si="10"/>
        <v>#DIV/0!</v>
      </c>
      <c r="F44" s="93" t="e">
        <f t="shared" si="10"/>
        <v>#DIV/0!</v>
      </c>
      <c r="G44" s="93" t="e">
        <f t="shared" si="10"/>
        <v>#DIV/0!</v>
      </c>
      <c r="H44" s="93" t="e">
        <f t="shared" si="10"/>
        <v>#DIV/0!</v>
      </c>
      <c r="I44" s="93" t="e">
        <f t="shared" si="10"/>
        <v>#DIV/0!</v>
      </c>
      <c r="J44" s="93" t="e">
        <f t="shared" si="10"/>
        <v>#DIV/0!</v>
      </c>
    </row>
    <row r="45" spans="1:10" ht="15.75" thickBot="1" x14ac:dyDescent="0.25">
      <c r="A45" s="9" t="s">
        <v>41</v>
      </c>
      <c r="B45" s="78">
        <v>999</v>
      </c>
      <c r="C45" s="14"/>
      <c r="D45" s="14"/>
      <c r="E45" s="14"/>
      <c r="F45" s="15"/>
    </row>
    <row r="46" spans="1:10" ht="15.75" thickBot="1" x14ac:dyDescent="0.25">
      <c r="A46" s="9" t="s">
        <v>18</v>
      </c>
      <c r="B46" s="78">
        <v>999</v>
      </c>
      <c r="C46" s="14"/>
      <c r="D46" s="14"/>
      <c r="E46" s="14"/>
      <c r="F46" s="16"/>
    </row>
    <row r="47" spans="1:10" ht="15.75" thickBot="1" x14ac:dyDescent="0.25">
      <c r="A47" s="17" t="s">
        <v>19</v>
      </c>
      <c r="B47" s="18"/>
      <c r="C47" s="18"/>
      <c r="D47" s="18"/>
      <c r="E47" s="18"/>
      <c r="F47" s="19"/>
    </row>
    <row r="48" spans="1:10" ht="16.5" thickTop="1" thickBot="1" x14ac:dyDescent="0.25">
      <c r="A48" s="91"/>
      <c r="B48" s="92"/>
      <c r="C48" s="92"/>
      <c r="D48" s="92"/>
      <c r="E48" s="92"/>
      <c r="F48" s="92"/>
    </row>
    <row r="49" spans="1:21" ht="16.5" thickTop="1" thickBot="1" x14ac:dyDescent="0.25">
      <c r="A49" s="122" t="s">
        <v>76</v>
      </c>
      <c r="B49" s="123"/>
      <c r="C49" s="123"/>
      <c r="D49" s="123"/>
      <c r="E49" s="123"/>
      <c r="F49" s="123"/>
      <c r="G49" s="123"/>
      <c r="H49" s="123"/>
      <c r="I49" s="123"/>
      <c r="J49" s="124"/>
      <c r="L49" s="138" t="s">
        <v>64</v>
      </c>
      <c r="M49" s="139"/>
      <c r="N49" s="139"/>
      <c r="O49" s="139"/>
      <c r="P49" s="139"/>
      <c r="T49" s="119" t="s">
        <v>36</v>
      </c>
      <c r="U49" s="120"/>
    </row>
    <row r="50" spans="1:21" ht="16.5" thickTop="1" thickBot="1" x14ac:dyDescent="0.25">
      <c r="A50" s="90"/>
      <c r="B50" s="8">
        <v>2022</v>
      </c>
      <c r="C50" s="8">
        <v>2021</v>
      </c>
      <c r="D50" s="8">
        <v>2020</v>
      </c>
      <c r="E50" s="8">
        <v>2019</v>
      </c>
      <c r="F50" s="8">
        <v>2018</v>
      </c>
      <c r="G50" s="8">
        <v>2017</v>
      </c>
      <c r="H50" s="8">
        <v>2016</v>
      </c>
      <c r="I50" s="8">
        <v>2015</v>
      </c>
      <c r="J50" s="8">
        <v>2014</v>
      </c>
      <c r="L50" s="106"/>
      <c r="M50" s="107"/>
      <c r="N50" s="108"/>
      <c r="O50" s="83" t="s">
        <v>57</v>
      </c>
      <c r="P50" s="83" t="s">
        <v>65</v>
      </c>
      <c r="T50" s="37" t="s">
        <v>9</v>
      </c>
      <c r="U50" s="38">
        <f>B36</f>
        <v>99999999</v>
      </c>
    </row>
    <row r="51" spans="1:21" ht="15.75" thickBot="1" x14ac:dyDescent="0.25">
      <c r="A51" s="88" t="s">
        <v>73</v>
      </c>
      <c r="B51" s="89">
        <v>999999</v>
      </c>
      <c r="C51" s="89"/>
      <c r="D51" s="89"/>
      <c r="E51" s="89"/>
      <c r="F51" s="89"/>
      <c r="L51" s="109" t="s">
        <v>66</v>
      </c>
      <c r="M51" s="110"/>
      <c r="N51" s="111"/>
      <c r="O51" s="84"/>
      <c r="P51" s="87">
        <f>B51</f>
        <v>999999</v>
      </c>
      <c r="T51" s="37" t="s">
        <v>37</v>
      </c>
      <c r="U51" s="38">
        <f>B51</f>
        <v>999999</v>
      </c>
    </row>
    <row r="52" spans="1:21" ht="15.75" thickBot="1" x14ac:dyDescent="0.25">
      <c r="A52" s="88" t="s">
        <v>74</v>
      </c>
      <c r="B52" s="89">
        <v>999</v>
      </c>
      <c r="C52" s="89"/>
      <c r="D52" s="89"/>
      <c r="E52" s="89"/>
      <c r="F52" s="89"/>
      <c r="L52" s="109" t="s">
        <v>67</v>
      </c>
      <c r="M52" s="110"/>
      <c r="N52" s="111"/>
      <c r="O52" s="84"/>
      <c r="P52" s="84">
        <f>-1*B54</f>
        <v>-999999</v>
      </c>
      <c r="T52" s="37" t="s">
        <v>38</v>
      </c>
      <c r="U52" s="38">
        <f>B52</f>
        <v>999</v>
      </c>
    </row>
    <row r="53" spans="1:21" ht="15.75" thickBot="1" x14ac:dyDescent="0.25">
      <c r="A53" s="88" t="s">
        <v>75</v>
      </c>
      <c r="B53" s="89">
        <v>999</v>
      </c>
      <c r="C53" s="89"/>
      <c r="D53" s="89"/>
      <c r="E53" s="89"/>
      <c r="F53" s="89"/>
      <c r="L53" s="109" t="s">
        <v>68</v>
      </c>
      <c r="M53" s="110"/>
      <c r="N53" s="111"/>
      <c r="O53" s="84"/>
      <c r="P53" s="84">
        <f>B55</f>
        <v>999999</v>
      </c>
      <c r="T53" s="39" t="s">
        <v>39</v>
      </c>
      <c r="U53" s="38">
        <f>B53</f>
        <v>999</v>
      </c>
    </row>
    <row r="54" spans="1:21" ht="15.75" thickBot="1" x14ac:dyDescent="0.25">
      <c r="A54" s="88" t="s">
        <v>77</v>
      </c>
      <c r="B54" s="89">
        <v>999999</v>
      </c>
      <c r="C54" s="89"/>
      <c r="D54" s="89"/>
      <c r="E54" s="89"/>
      <c r="F54" s="89"/>
      <c r="L54" s="97" t="s">
        <v>69</v>
      </c>
      <c r="M54" s="98"/>
      <c r="N54" s="99"/>
      <c r="O54" s="27">
        <f>SUM(O51:O53)</f>
        <v>0</v>
      </c>
      <c r="P54" s="94">
        <f>SUM(P51:P53)</f>
        <v>999999</v>
      </c>
      <c r="T54" s="40" t="s">
        <v>40</v>
      </c>
      <c r="U54" s="41">
        <f>ABS((U50-U51-U52)/U53)</f>
        <v>99098.099099099098</v>
      </c>
    </row>
    <row r="55" spans="1:21" ht="15.75" thickBot="1" x14ac:dyDescent="0.25">
      <c r="A55" s="88" t="s">
        <v>78</v>
      </c>
      <c r="B55" s="89">
        <v>999999</v>
      </c>
      <c r="C55" s="79"/>
      <c r="L55" s="97" t="s">
        <v>70</v>
      </c>
      <c r="M55" s="98"/>
      <c r="N55" s="99"/>
      <c r="O55" s="28">
        <f>O54*10</f>
        <v>0</v>
      </c>
      <c r="P55" s="95">
        <f>P54*10</f>
        <v>9999990</v>
      </c>
    </row>
    <row r="56" spans="1:21" ht="16.5" customHeight="1" thickBot="1" x14ac:dyDescent="0.25">
      <c r="L56" s="100" t="s">
        <v>71</v>
      </c>
      <c r="M56" s="101"/>
      <c r="N56" s="101"/>
      <c r="O56" s="102"/>
      <c r="P56" s="85">
        <f>C9*10^9</f>
        <v>1000000</v>
      </c>
    </row>
    <row r="57" spans="1:21" ht="15.75" thickTop="1" thickBot="1" x14ac:dyDescent="0.25">
      <c r="L57" s="103" t="s">
        <v>34</v>
      </c>
      <c r="M57" s="104"/>
      <c r="N57" s="104"/>
      <c r="O57" s="105"/>
      <c r="P57" s="86" t="str">
        <f>IF(P56&lt;P55, "On Sale", "Not On Sale")</f>
        <v>On Sale</v>
      </c>
    </row>
    <row r="58" spans="1:21" ht="15" thickTop="1" x14ac:dyDescent="0.2"/>
  </sheetData>
  <mergeCells count="21">
    <mergeCell ref="A1:B1"/>
    <mergeCell ref="A2:S2"/>
    <mergeCell ref="H3:I3"/>
    <mergeCell ref="A18:J18"/>
    <mergeCell ref="T49:U49"/>
    <mergeCell ref="A29:J29"/>
    <mergeCell ref="A40:J40"/>
    <mergeCell ref="K3:S3"/>
    <mergeCell ref="K4:L5"/>
    <mergeCell ref="K6:K10"/>
    <mergeCell ref="M4:S4"/>
    <mergeCell ref="L49:P49"/>
    <mergeCell ref="A49:J49"/>
    <mergeCell ref="L55:N55"/>
    <mergeCell ref="L56:O56"/>
    <mergeCell ref="L57:O57"/>
    <mergeCell ref="L50:N50"/>
    <mergeCell ref="L51:N51"/>
    <mergeCell ref="L52:N52"/>
    <mergeCell ref="L53:N53"/>
    <mergeCell ref="L54:N54"/>
  </mergeCells>
  <conditionalFormatting sqref="B20:J25">
    <cfRule type="colorScale" priority="8">
      <colorScale>
        <cfvo type="num" val="0"/>
        <cfvo type="percentile" val="50"/>
        <cfvo type="num" val="0.15"/>
        <color rgb="FFF8696B"/>
        <color rgb="FFFFEB84"/>
        <color rgb="FF63BE7B"/>
      </colorScale>
    </cfRule>
  </conditionalFormatting>
  <conditionalFormatting sqref="M6:S10">
    <cfRule type="colorScale" priority="7">
      <colorScale>
        <cfvo type="min"/>
        <cfvo type="max"/>
        <color theme="0" tint="-4.9989318521683403E-2"/>
        <color rgb="FF00B050"/>
      </colorScale>
    </cfRule>
  </conditionalFormatting>
  <conditionalFormatting sqref="C4">
    <cfRule type="containsText" dxfId="4" priority="4" operator="containsText" text="5-Years FCF Covers LT Debt">
      <formula>NOT(ISERROR(SEARCH("5-Years FCF Covers LT Debt",C4)))</formula>
    </cfRule>
    <cfRule type="containsText" dxfId="3" priority="5" operator="containsText" text="Cash Covers LT Debt">
      <formula>NOT(ISERROR(SEARCH("Cash Covers LT Debt",C4)))</formula>
    </cfRule>
    <cfRule type="containsText" dxfId="2" priority="6" operator="containsText" text="LT Debt is Too High">
      <formula>NOT(ISERROR(SEARCH("LT Debt is Too High",C4)))</formula>
    </cfRule>
  </conditionalFormatting>
  <conditionalFormatting sqref="C6">
    <cfRule type="colorScale" priority="3">
      <colorScale>
        <cfvo type="num" val="-0.1"/>
        <cfvo type="num" val="0"/>
        <cfvo type="num" val="0.1"/>
        <color theme="5" tint="-0.249977111117893"/>
        <color rgb="FF00B050"/>
        <color theme="5" tint="-0.249977111117893"/>
      </colorScale>
    </cfRule>
  </conditionalFormatting>
  <conditionalFormatting sqref="P57">
    <cfRule type="containsText" dxfId="1" priority="2" operator="containsText" text="Not">
      <formula>NOT(ISERROR(SEARCH("Not",P57)))</formula>
    </cfRule>
  </conditionalFormatting>
  <conditionalFormatting sqref="C7">
    <cfRule type="containsText" dxfId="0" priority="1" operator="containsText" text="Not">
      <formula>NOT(ISERROR(SEARCH("Not",C7)))</formula>
    </cfRule>
  </conditionalFormatting>
  <hyperlinks>
    <hyperlink ref="A6" r:id="rId1" display="Link 1" xr:uid="{B5EF9621-BC89-4336-9637-F9978D0C11EE}"/>
    <hyperlink ref="A7" r:id="rId2" display="Link 1" xr:uid="{D8D67EB6-D922-4939-8DA0-CDB8D77F46CB}"/>
    <hyperlink ref="A8" r:id="rId3" display="Link 1" xr:uid="{87AC8B28-5790-4822-B7B7-8718000F6700}"/>
    <hyperlink ref="A9" r:id="rId4" display="Link 1" xr:uid="{4709EDD2-83BC-45BC-9286-E28FFB1C5512}"/>
    <hyperlink ref="A10" r:id="rId5" display="Link 1" xr:uid="{09EE9F06-B3C5-4DAF-9BAD-09EB2C24AFC7}"/>
    <hyperlink ref="A4:A5" r:id="rId6" display="Link 1" xr:uid="{EC2B2DF8-0A01-4E57-9EFF-0E011EE37CA4}"/>
    <hyperlink ref="A11" r:id="rId7" display="Link 1" xr:uid="{5B5FFE53-7CEE-4BBE-8BFA-67926D7B80F3}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OHAD</dc:creator>
  <cp:lastModifiedBy>OHAD</cp:lastModifiedBy>
  <dcterms:created xsi:type="dcterms:W3CDTF">2023-06-06T18:13:55Z</dcterms:created>
  <dcterms:modified xsi:type="dcterms:W3CDTF">2023-06-16T13:19:34Z</dcterms:modified>
</cp:coreProperties>
</file>