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llambo\Desktop\GRUPO ENIGHUR\ENIGHUR\"/>
    </mc:Choice>
  </mc:AlternateContent>
  <bookViews>
    <workbookView xWindow="0" yWindow="0" windowWidth="19200" windowHeight="11196" activeTab="3"/>
  </bookViews>
  <sheets>
    <sheet name="Hoja1" sheetId="1" r:id="rId1"/>
    <sheet name="Hoja11" sheetId="11" r:id="rId2"/>
    <sheet name="Distribución Ciudades" sheetId="10" r:id="rId3"/>
    <sheet name="NORTE" sheetId="3" r:id="rId4"/>
    <sheet name="CENTRO" sheetId="5" r:id="rId5"/>
    <sheet name="LITORAL" sheetId="4" r:id="rId6"/>
    <sheet name="SUR" sheetId="2" r:id="rId7"/>
    <sheet name="RESUMEN ZONAL" sheetId="6" r:id="rId8"/>
    <sheet name="LITORAL (2)" sheetId="8" r:id="rId9"/>
  </sheets>
  <externalReferences>
    <externalReference r:id="rId10"/>
  </externalReferences>
  <definedNames>
    <definedName name="_xlnm._FilterDatabase" localSheetId="0" hidden="1">Hoja1!$A$1:$E$35</definedName>
    <definedName name="_xlnm._FilterDatabase" localSheetId="6" hidden="1">SUR!$A$1:$B$7</definedName>
  </definedNames>
  <calcPr calcId="152511"/>
  <pivotCaches>
    <pivotCache cacheId="2" r:id="rId11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8" i="6" l="1"/>
  <c r="Q19" i="3"/>
  <c r="R19" i="3" s="1"/>
  <c r="S19" i="3" s="1"/>
  <c r="G2" i="6"/>
  <c r="F2" i="6"/>
  <c r="E2" i="6"/>
  <c r="S18" i="3"/>
  <c r="R18" i="3"/>
  <c r="E18" i="3"/>
  <c r="F18" i="3"/>
  <c r="G18" i="3"/>
  <c r="H18" i="3"/>
  <c r="I18" i="3"/>
  <c r="J18" i="3"/>
  <c r="K18" i="3"/>
  <c r="L18" i="3"/>
  <c r="M18" i="3"/>
  <c r="N18" i="3"/>
  <c r="O18" i="3"/>
  <c r="P18" i="3"/>
  <c r="D18" i="3"/>
  <c r="T4" i="3"/>
  <c r="T3" i="3"/>
  <c r="T5" i="3"/>
  <c r="T6" i="3"/>
  <c r="T7" i="3"/>
  <c r="T2" i="3"/>
  <c r="Q17" i="3"/>
  <c r="R17" i="3" s="1"/>
  <c r="Q16" i="3"/>
  <c r="R16" i="3" s="1"/>
  <c r="Q15" i="3"/>
  <c r="R15" i="3" s="1"/>
  <c r="Q14" i="3"/>
  <c r="R14" i="3" s="1"/>
  <c r="Q13" i="3"/>
  <c r="R13" i="3" s="1"/>
  <c r="S7" i="3"/>
  <c r="B9" i="3"/>
  <c r="B8" i="3"/>
  <c r="R7" i="3"/>
  <c r="Q7" i="3"/>
  <c r="P7" i="3"/>
  <c r="Q3" i="3"/>
  <c r="Q4" i="3"/>
  <c r="R4" i="3" s="1"/>
  <c r="Q5" i="3"/>
  <c r="Q6" i="3"/>
  <c r="Q2" i="3"/>
  <c r="R2" i="3" s="1"/>
  <c r="R3" i="3"/>
  <c r="R5" i="3"/>
  <c r="R6" i="3"/>
  <c r="D3" i="3"/>
  <c r="E3" i="3" s="1"/>
  <c r="F3" i="3" s="1"/>
  <c r="G3" i="3" s="1"/>
  <c r="H3" i="3" s="1"/>
  <c r="I3" i="3" s="1"/>
  <c r="J3" i="3" s="1"/>
  <c r="K3" i="3" s="1"/>
  <c r="L3" i="3" s="1"/>
  <c r="M3" i="3" s="1"/>
  <c r="N3" i="3" s="1"/>
  <c r="O3" i="3" s="1"/>
  <c r="P3" i="3" s="1"/>
  <c r="D4" i="3"/>
  <c r="E4" i="3" s="1"/>
  <c r="F4" i="3" s="1"/>
  <c r="G4" i="3" s="1"/>
  <c r="H4" i="3" s="1"/>
  <c r="I4" i="3" s="1"/>
  <c r="J4" i="3" s="1"/>
  <c r="K4" i="3" s="1"/>
  <c r="L4" i="3" s="1"/>
  <c r="M4" i="3" s="1"/>
  <c r="N4" i="3" s="1"/>
  <c r="O4" i="3" s="1"/>
  <c r="P4" i="3" s="1"/>
  <c r="D5" i="3"/>
  <c r="E5" i="3" s="1"/>
  <c r="F5" i="3" s="1"/>
  <c r="G5" i="3" s="1"/>
  <c r="H5" i="3" s="1"/>
  <c r="I5" i="3" s="1"/>
  <c r="J5" i="3" s="1"/>
  <c r="K5" i="3" s="1"/>
  <c r="L5" i="3" s="1"/>
  <c r="M5" i="3" s="1"/>
  <c r="N5" i="3" s="1"/>
  <c r="O5" i="3" s="1"/>
  <c r="P5" i="3" s="1"/>
  <c r="D6" i="3"/>
  <c r="E6" i="3" s="1"/>
  <c r="F6" i="3" s="1"/>
  <c r="G6" i="3" s="1"/>
  <c r="H6" i="3" s="1"/>
  <c r="I6" i="3" s="1"/>
  <c r="J6" i="3" s="1"/>
  <c r="K6" i="3" s="1"/>
  <c r="L6" i="3" s="1"/>
  <c r="M6" i="3" s="1"/>
  <c r="N6" i="3" s="1"/>
  <c r="O6" i="3" s="1"/>
  <c r="P6" i="3" s="1"/>
  <c r="E2" i="3"/>
  <c r="F2" i="3" s="1"/>
  <c r="G2" i="3" s="1"/>
  <c r="H2" i="3" s="1"/>
  <c r="I2" i="3" s="1"/>
  <c r="J2" i="3" s="1"/>
  <c r="K2" i="3" s="1"/>
  <c r="L2" i="3" s="1"/>
  <c r="M2" i="3" s="1"/>
  <c r="N2" i="3" s="1"/>
  <c r="O2" i="3" s="1"/>
  <c r="P2" i="3" s="1"/>
  <c r="D2" i="3"/>
  <c r="B6" i="3"/>
  <c r="C6" i="3" s="1"/>
  <c r="B5" i="3"/>
  <c r="C5" i="3" s="1"/>
  <c r="B4" i="3"/>
  <c r="C4" i="3" s="1"/>
  <c r="B3" i="3"/>
  <c r="C3" i="3" s="1"/>
  <c r="B2" i="3"/>
  <c r="C2" i="3" s="1"/>
  <c r="Q18" i="3" l="1"/>
  <c r="C3" i="6"/>
  <c r="J3" i="6" l="1"/>
  <c r="L9" i="6"/>
  <c r="C5" i="6"/>
  <c r="C2" i="6"/>
  <c r="H3" i="6" l="1"/>
  <c r="L8" i="6" s="1"/>
  <c r="M8" i="6" s="1"/>
  <c r="G17" i="2"/>
  <c r="I17" i="2" s="1"/>
  <c r="K17" i="2" s="1"/>
  <c r="M17" i="2" s="1"/>
  <c r="O17" i="2" s="1"/>
  <c r="H17" i="2"/>
  <c r="J17" i="2" s="1"/>
  <c r="L17" i="2" s="1"/>
  <c r="N17" i="2" s="1"/>
  <c r="F17" i="2"/>
  <c r="I18" i="2"/>
  <c r="M18" i="2" s="1"/>
  <c r="J18" i="2"/>
  <c r="N18" i="2" s="1"/>
  <c r="K18" i="2"/>
  <c r="L18" i="2"/>
  <c r="O18" i="2"/>
  <c r="H18" i="2"/>
  <c r="H5" i="6"/>
  <c r="I5" i="6" s="1"/>
  <c r="G3" i="6"/>
  <c r="B5" i="2"/>
  <c r="J4" i="6"/>
  <c r="H4" i="6"/>
  <c r="I4" i="6" s="1"/>
  <c r="G4" i="6"/>
  <c r="E4" i="6"/>
  <c r="F4" i="6" s="1"/>
  <c r="E3" i="6"/>
  <c r="F3" i="6" s="1"/>
  <c r="C12" i="6"/>
  <c r="J12" i="6" s="1"/>
  <c r="C10" i="6"/>
  <c r="H10" i="6" s="1"/>
  <c r="I10" i="6" s="1"/>
  <c r="H2" i="6"/>
  <c r="G13" i="6"/>
  <c r="G12" i="6"/>
  <c r="G11" i="6"/>
  <c r="E10" i="6"/>
  <c r="F10" i="6"/>
  <c r="E12" i="6"/>
  <c r="F12" i="6" s="1"/>
  <c r="G10" i="6"/>
  <c r="J2" i="6" l="1"/>
  <c r="C7" i="6"/>
  <c r="D7" i="6" s="1"/>
  <c r="J10" i="6"/>
  <c r="J5" i="6"/>
  <c r="I3" i="6"/>
  <c r="H12" i="6"/>
  <c r="I12" i="6" s="1"/>
  <c r="F14" i="2"/>
  <c r="H13" i="2"/>
  <c r="J13" i="2" s="1"/>
  <c r="L13" i="2" s="1"/>
  <c r="N13" i="2" s="1"/>
  <c r="I13" i="2"/>
  <c r="K13" i="2" s="1"/>
  <c r="M13" i="2" s="1"/>
  <c r="O13" i="2" s="1"/>
  <c r="G13" i="2"/>
  <c r="F13" i="2"/>
  <c r="C18" i="2"/>
  <c r="C17" i="2"/>
  <c r="M16" i="2"/>
  <c r="L16" i="2"/>
  <c r="K16" i="2"/>
  <c r="O16" i="2" s="1"/>
  <c r="J16" i="2"/>
  <c r="N16" i="2" s="1"/>
  <c r="I16" i="2"/>
  <c r="H16" i="2"/>
  <c r="B16" i="2"/>
  <c r="B19" i="2" s="1"/>
  <c r="N15" i="2"/>
  <c r="H15" i="2"/>
  <c r="F15" i="2"/>
  <c r="C15" i="2"/>
  <c r="C14" i="2"/>
  <c r="C13" i="2"/>
  <c r="I2" i="6"/>
  <c r="C5" i="2"/>
  <c r="C4" i="2"/>
  <c r="M15" i="2" s="1"/>
  <c r="D2" i="2"/>
  <c r="C2" i="2"/>
  <c r="G5" i="6"/>
  <c r="E5" i="6"/>
  <c r="F5" i="6" s="1"/>
  <c r="D8" i="11"/>
  <c r="D2" i="11"/>
  <c r="D10" i="11"/>
  <c r="D9" i="11"/>
  <c r="D28" i="11"/>
  <c r="C26" i="11"/>
  <c r="C4" i="11"/>
  <c r="K147" i="10"/>
  <c r="L145" i="10" s="1"/>
  <c r="G147" i="10"/>
  <c r="H145" i="10" s="1"/>
  <c r="L144" i="10"/>
  <c r="H144" i="10"/>
  <c r="H141" i="10"/>
  <c r="L139" i="10"/>
  <c r="H139" i="10"/>
  <c r="H138" i="10"/>
  <c r="K130" i="10"/>
  <c r="L128" i="10" s="1"/>
  <c r="G130" i="10"/>
  <c r="H128" i="10" s="1"/>
  <c r="L129" i="10"/>
  <c r="H129" i="10"/>
  <c r="L127" i="10"/>
  <c r="H127" i="10"/>
  <c r="L126" i="10"/>
  <c r="H126" i="10"/>
  <c r="H125" i="10"/>
  <c r="L124" i="10"/>
  <c r="H124" i="10"/>
  <c r="H123" i="10"/>
  <c r="L122" i="10"/>
  <c r="H122" i="10"/>
  <c r="L121" i="10"/>
  <c r="H121" i="10"/>
  <c r="K113" i="10"/>
  <c r="L111" i="10" s="1"/>
  <c r="G113" i="10"/>
  <c r="H105" i="10" s="1"/>
  <c r="H110" i="10"/>
  <c r="H107" i="10"/>
  <c r="L105" i="10"/>
  <c r="H104" i="10"/>
  <c r="K96" i="10"/>
  <c r="L94" i="10" s="1"/>
  <c r="G96" i="10"/>
  <c r="L95" i="10"/>
  <c r="H95" i="10"/>
  <c r="H94" i="10"/>
  <c r="L93" i="10"/>
  <c r="H93" i="10"/>
  <c r="L92" i="10"/>
  <c r="H92" i="10"/>
  <c r="H91" i="10"/>
  <c r="L90" i="10"/>
  <c r="H90" i="10"/>
  <c r="H89" i="10"/>
  <c r="L88" i="10"/>
  <c r="H88" i="10"/>
  <c r="L87" i="10"/>
  <c r="H87" i="10"/>
  <c r="K79" i="10"/>
  <c r="L77" i="10" s="1"/>
  <c r="G79" i="10"/>
  <c r="H77" i="10" s="1"/>
  <c r="H76" i="10"/>
  <c r="H73" i="10"/>
  <c r="H71" i="10"/>
  <c r="J64" i="10"/>
  <c r="K62" i="10"/>
  <c r="L61" i="10" s="1"/>
  <c r="G62" i="10"/>
  <c r="H60" i="10" s="1"/>
  <c r="H61" i="10"/>
  <c r="L60" i="10"/>
  <c r="L59" i="10"/>
  <c r="H59" i="10"/>
  <c r="H58" i="10"/>
  <c r="L57" i="10"/>
  <c r="H57" i="10"/>
  <c r="L56" i="10"/>
  <c r="H56" i="10"/>
  <c r="L55" i="10"/>
  <c r="H55" i="10"/>
  <c r="L54" i="10"/>
  <c r="H54" i="10"/>
  <c r="L53" i="10"/>
  <c r="H53" i="10"/>
  <c r="K45" i="10"/>
  <c r="G45" i="10"/>
  <c r="H43" i="10" s="1"/>
  <c r="L44" i="10"/>
  <c r="L43" i="10"/>
  <c r="L42" i="10"/>
  <c r="H42" i="10"/>
  <c r="H40" i="10"/>
  <c r="H38" i="10"/>
  <c r="H36" i="10"/>
  <c r="K29" i="10"/>
  <c r="L26" i="10" s="1"/>
  <c r="G29" i="10"/>
  <c r="H27" i="10" s="1"/>
  <c r="L28" i="10"/>
  <c r="H28" i="10"/>
  <c r="L27" i="10"/>
  <c r="H26" i="10"/>
  <c r="H25" i="10"/>
  <c r="H23" i="10"/>
  <c r="H22" i="10"/>
  <c r="H21" i="10"/>
  <c r="H20" i="10"/>
  <c r="B19" i="10"/>
  <c r="K68" i="10" s="1"/>
  <c r="B18" i="10"/>
  <c r="K85" i="10" s="1"/>
  <c r="B17" i="10"/>
  <c r="K136" i="10" s="1"/>
  <c r="B16" i="10"/>
  <c r="K34" i="10" s="1"/>
  <c r="B15" i="10"/>
  <c r="K119" i="10" s="1"/>
  <c r="B14" i="10"/>
  <c r="K18" i="10" s="1"/>
  <c r="B13" i="10"/>
  <c r="K1" i="10" s="1"/>
  <c r="M5" i="10" s="1"/>
  <c r="K12" i="10"/>
  <c r="L25" i="10" s="1"/>
  <c r="G12" i="10"/>
  <c r="B12" i="10"/>
  <c r="K51" i="10" s="1"/>
  <c r="L11" i="10"/>
  <c r="H11" i="10"/>
  <c r="B11" i="10"/>
  <c r="K102" i="10" s="1"/>
  <c r="H10" i="10"/>
  <c r="B10" i="10"/>
  <c r="F136" i="10" s="1"/>
  <c r="H9" i="10"/>
  <c r="B9" i="10"/>
  <c r="F119" i="10" s="1"/>
  <c r="L8" i="10"/>
  <c r="H8" i="10"/>
  <c r="B8" i="10"/>
  <c r="F102" i="10" s="1"/>
  <c r="I110" i="10" s="1"/>
  <c r="H7" i="10"/>
  <c r="B7" i="10"/>
  <c r="F85" i="10" s="1"/>
  <c r="L6" i="10"/>
  <c r="H6" i="10"/>
  <c r="B6" i="10"/>
  <c r="F68" i="10" s="1"/>
  <c r="I76" i="10" s="1"/>
  <c r="L5" i="10"/>
  <c r="H5" i="10"/>
  <c r="B5" i="10"/>
  <c r="F51" i="10" s="1"/>
  <c r="L4" i="10"/>
  <c r="H4" i="10"/>
  <c r="B4" i="10"/>
  <c r="F34" i="10" s="1"/>
  <c r="L3" i="10"/>
  <c r="H3" i="10"/>
  <c r="B3" i="10"/>
  <c r="F18" i="10" s="1"/>
  <c r="B2" i="10"/>
  <c r="M6" i="10" l="1"/>
  <c r="J7" i="6"/>
  <c r="I71" i="10"/>
  <c r="I107" i="10"/>
  <c r="I21" i="10"/>
  <c r="I27" i="10"/>
  <c r="M55" i="10"/>
  <c r="M60" i="10"/>
  <c r="I77" i="10"/>
  <c r="M95" i="10"/>
  <c r="M111" i="10"/>
  <c r="I125" i="10"/>
  <c r="M128" i="10"/>
  <c r="M145" i="10"/>
  <c r="M26" i="10"/>
  <c r="M77" i="10"/>
  <c r="F1" i="10"/>
  <c r="I11" i="10" s="1"/>
  <c r="I23" i="10"/>
  <c r="I60" i="10"/>
  <c r="N60" i="10" s="1"/>
  <c r="M94" i="10"/>
  <c r="B24" i="10"/>
  <c r="B26" i="10" s="1"/>
  <c r="G15" i="2"/>
  <c r="O15" i="2"/>
  <c r="I15" i="2"/>
  <c r="P16" i="2"/>
  <c r="D13" i="2"/>
  <c r="P13" i="2" s="1"/>
  <c r="J15" i="2"/>
  <c r="K15" i="2"/>
  <c r="D15" i="2"/>
  <c r="P15" i="2" s="1"/>
  <c r="L15" i="2"/>
  <c r="E15" i="2"/>
  <c r="P17" i="2"/>
  <c r="P18" i="2"/>
  <c r="C16" i="2"/>
  <c r="I138" i="10"/>
  <c r="M126" i="10"/>
  <c r="I61" i="10"/>
  <c r="I58" i="10"/>
  <c r="I56" i="10"/>
  <c r="I53" i="10"/>
  <c r="I54" i="10"/>
  <c r="M44" i="10"/>
  <c r="M41" i="10"/>
  <c r="M39" i="10"/>
  <c r="M37" i="10"/>
  <c r="M40" i="10"/>
  <c r="M38" i="10"/>
  <c r="M36" i="10"/>
  <c r="N36" i="10" s="1"/>
  <c r="I38" i="10"/>
  <c r="I57" i="10"/>
  <c r="M61" i="10"/>
  <c r="M92" i="10"/>
  <c r="I104" i="10"/>
  <c r="M139" i="10"/>
  <c r="I141" i="10"/>
  <c r="I144" i="10"/>
  <c r="I139" i="10"/>
  <c r="M4" i="10"/>
  <c r="M124" i="10"/>
  <c r="M121" i="10"/>
  <c r="M127" i="10"/>
  <c r="M122" i="10"/>
  <c r="I9" i="10"/>
  <c r="M11" i="10"/>
  <c r="I26" i="10"/>
  <c r="I40" i="10"/>
  <c r="M57" i="10"/>
  <c r="M105" i="10"/>
  <c r="I89" i="10"/>
  <c r="I95" i="10"/>
  <c r="I92" i="10"/>
  <c r="N92" i="10" s="1"/>
  <c r="I90" i="10"/>
  <c r="I87" i="10"/>
  <c r="I93" i="10"/>
  <c r="I88" i="10"/>
  <c r="I91" i="10"/>
  <c r="I123" i="10"/>
  <c r="I129" i="10"/>
  <c r="I126" i="10"/>
  <c r="N126" i="10" s="1"/>
  <c r="I124" i="10"/>
  <c r="I121" i="10"/>
  <c r="N121" i="10" s="1"/>
  <c r="I127" i="10"/>
  <c r="I122" i="10"/>
  <c r="M42" i="10"/>
  <c r="I59" i="10"/>
  <c r="I73" i="10"/>
  <c r="I94" i="10"/>
  <c r="N94" i="10" s="1"/>
  <c r="M129" i="10"/>
  <c r="M144" i="10"/>
  <c r="I43" i="10"/>
  <c r="I22" i="10"/>
  <c r="I28" i="10"/>
  <c r="I25" i="10"/>
  <c r="M8" i="10"/>
  <c r="M56" i="10"/>
  <c r="M53" i="10"/>
  <c r="M59" i="10"/>
  <c r="M54" i="10"/>
  <c r="M90" i="10"/>
  <c r="M87" i="10"/>
  <c r="M93" i="10"/>
  <c r="M88" i="10"/>
  <c r="M27" i="10"/>
  <c r="I42" i="10"/>
  <c r="M3" i="10"/>
  <c r="M25" i="10"/>
  <c r="I20" i="10"/>
  <c r="M28" i="10"/>
  <c r="M43" i="10"/>
  <c r="I55" i="10"/>
  <c r="I105" i="10"/>
  <c r="N105" i="10" s="1"/>
  <c r="I128" i="10"/>
  <c r="N128" i="10" s="1"/>
  <c r="I145" i="10"/>
  <c r="L22" i="10"/>
  <c r="M22" i="10" s="1"/>
  <c r="H24" i="10"/>
  <c r="I24" i="10" s="1"/>
  <c r="L58" i="10"/>
  <c r="M58" i="10" s="1"/>
  <c r="L76" i="10"/>
  <c r="M76" i="10" s="1"/>
  <c r="N76" i="10" s="1"/>
  <c r="L89" i="10"/>
  <c r="M89" i="10" s="1"/>
  <c r="L110" i="10"/>
  <c r="M110" i="10" s="1"/>
  <c r="N110" i="10" s="1"/>
  <c r="L123" i="10"/>
  <c r="M123" i="10" s="1"/>
  <c r="L141" i="10"/>
  <c r="M141" i="10" s="1"/>
  <c r="H143" i="10"/>
  <c r="I143" i="10" s="1"/>
  <c r="H146" i="10"/>
  <c r="I146" i="10" s="1"/>
  <c r="H70" i="10"/>
  <c r="I70" i="10" s="1"/>
  <c r="L71" i="10"/>
  <c r="M71" i="10" s="1"/>
  <c r="N71" i="10" s="1"/>
  <c r="L73" i="10"/>
  <c r="M73" i="10" s="1"/>
  <c r="H75" i="10"/>
  <c r="I75" i="10" s="1"/>
  <c r="H78" i="10"/>
  <c r="I78" i="10" s="1"/>
  <c r="L104" i="10"/>
  <c r="M104" i="10" s="1"/>
  <c r="L107" i="10"/>
  <c r="M107" i="10" s="1"/>
  <c r="N107" i="10" s="1"/>
  <c r="H109" i="10"/>
  <c r="I109" i="10" s="1"/>
  <c r="H112" i="10"/>
  <c r="I112" i="10" s="1"/>
  <c r="L138" i="10"/>
  <c r="M138" i="10" s="1"/>
  <c r="L24" i="10"/>
  <c r="M24" i="10" s="1"/>
  <c r="H44" i="10"/>
  <c r="I44" i="10" s="1"/>
  <c r="L91" i="10"/>
  <c r="M91" i="10" s="1"/>
  <c r="H106" i="10"/>
  <c r="I106" i="10" s="1"/>
  <c r="L125" i="10"/>
  <c r="M125" i="10" s="1"/>
  <c r="N125" i="10" s="1"/>
  <c r="H140" i="10"/>
  <c r="L143" i="10"/>
  <c r="M143" i="10" s="1"/>
  <c r="L146" i="10"/>
  <c r="M146" i="10" s="1"/>
  <c r="L21" i="10"/>
  <c r="M21" i="10" s="1"/>
  <c r="N21" i="10" s="1"/>
  <c r="H37" i="10"/>
  <c r="I37" i="10" s="1"/>
  <c r="H39" i="10"/>
  <c r="I39" i="10" s="1"/>
  <c r="N39" i="10" s="1"/>
  <c r="H41" i="10"/>
  <c r="I41" i="10" s="1"/>
  <c r="L70" i="10"/>
  <c r="M70" i="10" s="1"/>
  <c r="L75" i="10"/>
  <c r="M75" i="10" s="1"/>
  <c r="L78" i="10"/>
  <c r="M78" i="10" s="1"/>
  <c r="L109" i="10"/>
  <c r="M109" i="10" s="1"/>
  <c r="L112" i="10"/>
  <c r="M112" i="10" s="1"/>
  <c r="L140" i="10"/>
  <c r="M140" i="10" s="1"/>
  <c r="N140" i="10" s="1"/>
  <c r="H142" i="10"/>
  <c r="I142" i="10" s="1"/>
  <c r="L9" i="10"/>
  <c r="M9" i="10" s="1"/>
  <c r="L10" i="10"/>
  <c r="M10" i="10" s="1"/>
  <c r="H72" i="10"/>
  <c r="H74" i="10"/>
  <c r="I74" i="10" s="1"/>
  <c r="L106" i="10"/>
  <c r="M106" i="10" s="1"/>
  <c r="H108" i="10"/>
  <c r="I108" i="10" s="1"/>
  <c r="H111" i="10"/>
  <c r="I111" i="10" s="1"/>
  <c r="N111" i="10" s="1"/>
  <c r="L20" i="10"/>
  <c r="M20" i="10" s="1"/>
  <c r="L23" i="10"/>
  <c r="M23" i="10" s="1"/>
  <c r="N23" i="10" s="1"/>
  <c r="L72" i="10"/>
  <c r="M72" i="10" s="1"/>
  <c r="L142" i="10"/>
  <c r="M142" i="10" s="1"/>
  <c r="L7" i="10"/>
  <c r="M7" i="10" s="1"/>
  <c r="L74" i="10"/>
  <c r="M74" i="10" s="1"/>
  <c r="L108" i="10"/>
  <c r="M108" i="10" s="1"/>
  <c r="N145" i="10" l="1"/>
  <c r="N41" i="10"/>
  <c r="N142" i="10"/>
  <c r="N59" i="10"/>
  <c r="N27" i="10"/>
  <c r="N124" i="10"/>
  <c r="N55" i="10"/>
  <c r="I7" i="10"/>
  <c r="N7" i="10" s="1"/>
  <c r="N56" i="10"/>
  <c r="N40" i="10"/>
  <c r="N26" i="10"/>
  <c r="N78" i="10"/>
  <c r="N58" i="10"/>
  <c r="N73" i="10"/>
  <c r="N129" i="10"/>
  <c r="N11" i="10"/>
  <c r="I4" i="10"/>
  <c r="N4" i="10" s="1"/>
  <c r="N95" i="10"/>
  <c r="I8" i="10"/>
  <c r="N8" i="10" s="1"/>
  <c r="N123" i="10"/>
  <c r="N28" i="10"/>
  <c r="O26" i="10" s="1"/>
  <c r="C14" i="10" s="1"/>
  <c r="I3" i="10"/>
  <c r="I5" i="10"/>
  <c r="N5" i="10" s="1"/>
  <c r="N143" i="10"/>
  <c r="N57" i="10"/>
  <c r="N106" i="10"/>
  <c r="I6" i="10"/>
  <c r="N6" i="10" s="1"/>
  <c r="I10" i="10"/>
  <c r="N10" i="10" s="1"/>
  <c r="N53" i="10"/>
  <c r="N77" i="10"/>
  <c r="N3" i="10"/>
  <c r="N104" i="10"/>
  <c r="N37" i="10"/>
  <c r="N44" i="10"/>
  <c r="N75" i="10"/>
  <c r="N43" i="10"/>
  <c r="N122" i="10"/>
  <c r="N61" i="10"/>
  <c r="O59" i="10" s="1"/>
  <c r="C12" i="10" s="1"/>
  <c r="N108" i="10"/>
  <c r="N42" i="10"/>
  <c r="N127" i="10"/>
  <c r="N89" i="10"/>
  <c r="N22" i="10"/>
  <c r="N9" i="10"/>
  <c r="N112" i="10"/>
  <c r="O110" i="10" s="1"/>
  <c r="C11" i="10" s="1"/>
  <c r="N70" i="10"/>
  <c r="N88" i="10"/>
  <c r="N139" i="10"/>
  <c r="N38" i="10"/>
  <c r="N138" i="10"/>
  <c r="N90" i="10"/>
  <c r="N91" i="10"/>
  <c r="N74" i="10"/>
  <c r="N109" i="10"/>
  <c r="N146" i="10"/>
  <c r="N24" i="10"/>
  <c r="N20" i="10"/>
  <c r="N25" i="10"/>
  <c r="N93" i="10"/>
  <c r="O93" i="10" s="1"/>
  <c r="C18" i="10" s="1"/>
  <c r="N144" i="10"/>
  <c r="N54" i="10"/>
  <c r="N87" i="10"/>
  <c r="N141" i="10"/>
  <c r="O76" i="10" l="1"/>
  <c r="C19" i="10" s="1"/>
  <c r="O53" i="10"/>
  <c r="C5" i="10" s="1"/>
  <c r="O121" i="10"/>
  <c r="C9" i="10" s="1"/>
  <c r="O36" i="10"/>
  <c r="C4" i="10" s="1"/>
  <c r="O9" i="10"/>
  <c r="C13" i="10" s="1"/>
  <c r="O127" i="10"/>
  <c r="C15" i="10" s="1"/>
  <c r="O3" i="10"/>
  <c r="C2" i="10" s="1"/>
  <c r="O87" i="10"/>
  <c r="O20" i="10"/>
  <c r="O62" i="10"/>
  <c r="O144" i="10"/>
  <c r="C17" i="10" s="1"/>
  <c r="O42" i="10"/>
  <c r="C16" i="10" s="1"/>
  <c r="O138" i="10"/>
  <c r="O70" i="10"/>
  <c r="O104" i="10"/>
  <c r="O130" i="10" l="1"/>
  <c r="O12" i="10"/>
  <c r="O45" i="10"/>
  <c r="C6" i="10"/>
  <c r="O79" i="10"/>
  <c r="O147" i="10"/>
  <c r="C10" i="10"/>
  <c r="C8" i="10"/>
  <c r="O113" i="10"/>
  <c r="C3" i="10"/>
  <c r="O29" i="10"/>
  <c r="O96" i="10"/>
  <c r="C7" i="10"/>
  <c r="B11" i="6" l="1"/>
  <c r="B13" i="6"/>
  <c r="B7" i="6"/>
  <c r="D3" i="6" s="1"/>
  <c r="E8" i="8"/>
  <c r="F8" i="8"/>
  <c r="G8" i="8"/>
  <c r="H8" i="8"/>
  <c r="I8" i="8"/>
  <c r="J8" i="8"/>
  <c r="K8" i="8"/>
  <c r="L8" i="8"/>
  <c r="M8" i="8"/>
  <c r="N8" i="8"/>
  <c r="O8" i="8"/>
  <c r="D8" i="8"/>
  <c r="P3" i="8"/>
  <c r="P4" i="8"/>
  <c r="P5" i="8"/>
  <c r="P6" i="8"/>
  <c r="P7" i="8"/>
  <c r="P2" i="8"/>
  <c r="B8" i="8"/>
  <c r="O2" i="8"/>
  <c r="G2" i="8"/>
  <c r="C2" i="8"/>
  <c r="H2" i="8" s="1"/>
  <c r="C7" i="8"/>
  <c r="N7" i="8" s="1"/>
  <c r="O6" i="8"/>
  <c r="L6" i="8"/>
  <c r="K6" i="8"/>
  <c r="J6" i="8"/>
  <c r="N6" i="8" s="1"/>
  <c r="I6" i="8"/>
  <c r="M6" i="8" s="1"/>
  <c r="H6" i="8"/>
  <c r="C6" i="8"/>
  <c r="N5" i="8"/>
  <c r="L5" i="8"/>
  <c r="K5" i="8"/>
  <c r="O5" i="8" s="1"/>
  <c r="J5" i="8"/>
  <c r="I5" i="8"/>
  <c r="M5" i="8" s="1"/>
  <c r="H5" i="8"/>
  <c r="C5" i="8"/>
  <c r="C4" i="8"/>
  <c r="O3" i="8"/>
  <c r="G3" i="8"/>
  <c r="C3" i="8"/>
  <c r="J3" i="8" s="1"/>
  <c r="I8" i="5"/>
  <c r="M8" i="5" s="1"/>
  <c r="P8" i="5" s="1"/>
  <c r="J8" i="5"/>
  <c r="N8" i="5" s="1"/>
  <c r="K8" i="5"/>
  <c r="L8" i="5"/>
  <c r="O8" i="5"/>
  <c r="H8" i="5"/>
  <c r="I5" i="5"/>
  <c r="M5" i="5" s="1"/>
  <c r="J5" i="5"/>
  <c r="N5" i="5" s="1"/>
  <c r="K5" i="5"/>
  <c r="L5" i="5"/>
  <c r="O5" i="5"/>
  <c r="H5" i="5"/>
  <c r="I4" i="5"/>
  <c r="J4" i="5"/>
  <c r="N4" i="5" s="1"/>
  <c r="K4" i="5"/>
  <c r="L4" i="5"/>
  <c r="O4" i="5"/>
  <c r="H4" i="5"/>
  <c r="E6" i="5"/>
  <c r="F6" i="5"/>
  <c r="G6" i="5"/>
  <c r="H6" i="5"/>
  <c r="I6" i="5"/>
  <c r="J6" i="5"/>
  <c r="K6" i="5"/>
  <c r="L6" i="5"/>
  <c r="M6" i="5"/>
  <c r="N6" i="5"/>
  <c r="O6" i="5"/>
  <c r="E7" i="5"/>
  <c r="P7" i="5" s="1"/>
  <c r="F7" i="5"/>
  <c r="G7" i="5"/>
  <c r="H7" i="5"/>
  <c r="I7" i="5"/>
  <c r="J7" i="5"/>
  <c r="K7" i="5"/>
  <c r="L7" i="5"/>
  <c r="M7" i="5"/>
  <c r="N7" i="5"/>
  <c r="O7" i="5"/>
  <c r="D7" i="5"/>
  <c r="D6" i="5"/>
  <c r="E2" i="5"/>
  <c r="E9" i="5" s="1"/>
  <c r="F2" i="5"/>
  <c r="F9" i="5" s="1"/>
  <c r="G2" i="5"/>
  <c r="H2" i="5"/>
  <c r="I2" i="5"/>
  <c r="J2" i="5"/>
  <c r="K2" i="5"/>
  <c r="L2" i="5"/>
  <c r="M2" i="5"/>
  <c r="N2" i="5"/>
  <c r="O2" i="5"/>
  <c r="E3" i="5"/>
  <c r="F3" i="5"/>
  <c r="G3" i="5"/>
  <c r="G9" i="5" s="1"/>
  <c r="H3" i="5"/>
  <c r="I3" i="5"/>
  <c r="J3" i="5"/>
  <c r="K3" i="5"/>
  <c r="K9" i="5" s="1"/>
  <c r="L3" i="5"/>
  <c r="M3" i="5"/>
  <c r="N3" i="5"/>
  <c r="O3" i="5"/>
  <c r="D3" i="5"/>
  <c r="D2" i="5"/>
  <c r="B9" i="5"/>
  <c r="B7" i="4"/>
  <c r="C3" i="5"/>
  <c r="C4" i="5"/>
  <c r="C5" i="5"/>
  <c r="C6" i="5"/>
  <c r="C7" i="5"/>
  <c r="C8" i="5"/>
  <c r="C2" i="5"/>
  <c r="E6" i="4"/>
  <c r="F6" i="4"/>
  <c r="G6" i="4"/>
  <c r="H6" i="4"/>
  <c r="I6" i="4"/>
  <c r="J6" i="4"/>
  <c r="K6" i="4"/>
  <c r="L6" i="4"/>
  <c r="M6" i="4"/>
  <c r="N6" i="4"/>
  <c r="O6" i="4"/>
  <c r="D6" i="4"/>
  <c r="D7" i="4" s="1"/>
  <c r="I5" i="4"/>
  <c r="M5" i="4" s="1"/>
  <c r="J5" i="4"/>
  <c r="N5" i="4" s="1"/>
  <c r="K5" i="4"/>
  <c r="L5" i="4"/>
  <c r="O5" i="4"/>
  <c r="H5" i="4"/>
  <c r="I4" i="4"/>
  <c r="M4" i="4" s="1"/>
  <c r="J4" i="4"/>
  <c r="N4" i="4" s="1"/>
  <c r="K4" i="4"/>
  <c r="L4" i="4"/>
  <c r="O4" i="4"/>
  <c r="H4" i="4"/>
  <c r="P3" i="4"/>
  <c r="P2" i="4"/>
  <c r="E2" i="4"/>
  <c r="F2" i="4"/>
  <c r="G2" i="4"/>
  <c r="H2" i="4"/>
  <c r="I2" i="4"/>
  <c r="J2" i="4"/>
  <c r="K2" i="4"/>
  <c r="L2" i="4"/>
  <c r="M2" i="4"/>
  <c r="N2" i="4"/>
  <c r="O2" i="4"/>
  <c r="D2" i="4"/>
  <c r="G7" i="4"/>
  <c r="C3" i="4"/>
  <c r="C4" i="4"/>
  <c r="C5" i="4"/>
  <c r="C6" i="4"/>
  <c r="C2" i="4"/>
  <c r="B7" i="3"/>
  <c r="B8" i="2"/>
  <c r="I7" i="2"/>
  <c r="M7" i="2" s="1"/>
  <c r="J7" i="2"/>
  <c r="N7" i="2" s="1"/>
  <c r="K7" i="2"/>
  <c r="O7" i="2" s="1"/>
  <c r="H7" i="2"/>
  <c r="L7" i="2" s="1"/>
  <c r="G6" i="2"/>
  <c r="I6" i="2" s="1"/>
  <c r="K6" i="2" s="1"/>
  <c r="M6" i="2" s="1"/>
  <c r="O6" i="2" s="1"/>
  <c r="F6" i="2"/>
  <c r="I5" i="2"/>
  <c r="M5" i="2" s="1"/>
  <c r="J5" i="2"/>
  <c r="N5" i="2" s="1"/>
  <c r="K5" i="2"/>
  <c r="O5" i="2" s="1"/>
  <c r="H5" i="2"/>
  <c r="L4" i="2"/>
  <c r="M4" i="2"/>
  <c r="C3" i="2"/>
  <c r="G4" i="2"/>
  <c r="C6" i="2"/>
  <c r="C7" i="2"/>
  <c r="G2" i="2"/>
  <c r="K7" i="3" l="1"/>
  <c r="F7" i="3"/>
  <c r="C11" i="6"/>
  <c r="E11" i="6"/>
  <c r="F11" i="6" s="1"/>
  <c r="C13" i="6"/>
  <c r="E13" i="6"/>
  <c r="F13" i="6" s="1"/>
  <c r="K3" i="2"/>
  <c r="J19" i="2"/>
  <c r="M14" i="2"/>
  <c r="M19" i="2" s="1"/>
  <c r="E19" i="2"/>
  <c r="I14" i="2"/>
  <c r="I19" i="2" s="1"/>
  <c r="H19" i="2"/>
  <c r="O14" i="2"/>
  <c r="O19" i="2" s="1"/>
  <c r="G14" i="2"/>
  <c r="G19" i="2" s="1"/>
  <c r="N19" i="2"/>
  <c r="F19" i="2"/>
  <c r="L19" i="2"/>
  <c r="K14" i="2"/>
  <c r="K19" i="2" s="1"/>
  <c r="B15" i="6"/>
  <c r="D11" i="6" s="1"/>
  <c r="D6" i="6"/>
  <c r="D2" i="6"/>
  <c r="D5" i="6"/>
  <c r="D4" i="6"/>
  <c r="I2" i="8"/>
  <c r="J2" i="8"/>
  <c r="K2" i="8"/>
  <c r="D2" i="8"/>
  <c r="L2" i="8"/>
  <c r="M2" i="8"/>
  <c r="E2" i="8"/>
  <c r="F2" i="8"/>
  <c r="N2" i="8"/>
  <c r="K7" i="8"/>
  <c r="L3" i="8"/>
  <c r="H7" i="8"/>
  <c r="G7" i="8"/>
  <c r="K3" i="8"/>
  <c r="O7" i="8"/>
  <c r="D3" i="8"/>
  <c r="E3" i="8"/>
  <c r="M3" i="8"/>
  <c r="I7" i="8"/>
  <c r="F3" i="8"/>
  <c r="N3" i="8"/>
  <c r="J7" i="8"/>
  <c r="H3" i="8"/>
  <c r="D7" i="8"/>
  <c r="L7" i="8"/>
  <c r="I3" i="8"/>
  <c r="E7" i="8"/>
  <c r="M7" i="8"/>
  <c r="F7" i="8"/>
  <c r="F4" i="2"/>
  <c r="I9" i="5"/>
  <c r="L9" i="5"/>
  <c r="O9" i="5"/>
  <c r="P5" i="5"/>
  <c r="M9" i="5"/>
  <c r="N9" i="5"/>
  <c r="M4" i="5"/>
  <c r="P4" i="5" s="1"/>
  <c r="H9" i="5"/>
  <c r="P6" i="5"/>
  <c r="J9" i="5"/>
  <c r="P3" i="5"/>
  <c r="D9" i="5"/>
  <c r="P2" i="5"/>
  <c r="F7" i="4"/>
  <c r="E7" i="4"/>
  <c r="P6" i="4"/>
  <c r="P5" i="4"/>
  <c r="P4" i="4"/>
  <c r="O7" i="3"/>
  <c r="D3" i="2"/>
  <c r="E4" i="2"/>
  <c r="O3" i="2"/>
  <c r="J3" i="2"/>
  <c r="I3" i="2"/>
  <c r="H3" i="2"/>
  <c r="G3" i="2"/>
  <c r="G8" i="2" s="1"/>
  <c r="N4" i="2"/>
  <c r="N2" i="2"/>
  <c r="M2" i="2"/>
  <c r="K2" i="2"/>
  <c r="J2" i="2"/>
  <c r="N3" i="2"/>
  <c r="F3" i="2"/>
  <c r="J4" i="2"/>
  <c r="I2" i="2"/>
  <c r="M3" i="2"/>
  <c r="E3" i="2"/>
  <c r="I4" i="2"/>
  <c r="L5" i="2"/>
  <c r="P5" i="2" s="1"/>
  <c r="D4" i="2"/>
  <c r="H4" i="2"/>
  <c r="F2" i="2"/>
  <c r="E2" i="2"/>
  <c r="L2" i="2"/>
  <c r="K4" i="2"/>
  <c r="H2" i="2"/>
  <c r="L3" i="2"/>
  <c r="O2" i="2"/>
  <c r="O4" i="2"/>
  <c r="P7" i="2"/>
  <c r="M8" i="2"/>
  <c r="H6" i="2"/>
  <c r="B35" i="1"/>
  <c r="M7" i="3" l="1"/>
  <c r="G7" i="3"/>
  <c r="I7" i="3"/>
  <c r="E7" i="3"/>
  <c r="D7" i="3"/>
  <c r="H13" i="6"/>
  <c r="I13" i="6" s="1"/>
  <c r="J13" i="6"/>
  <c r="H11" i="6"/>
  <c r="I11" i="6" s="1"/>
  <c r="J11" i="6"/>
  <c r="O8" i="2"/>
  <c r="P14" i="2"/>
  <c r="D19" i="2"/>
  <c r="P19" i="2" s="1"/>
  <c r="Q13" i="2" s="1"/>
  <c r="H7" i="3"/>
  <c r="D13" i="6"/>
  <c r="D12" i="6"/>
  <c r="D14" i="6"/>
  <c r="D10" i="6"/>
  <c r="P8" i="8"/>
  <c r="P3" i="2"/>
  <c r="F8" i="2"/>
  <c r="P9" i="5"/>
  <c r="O7" i="4"/>
  <c r="M7" i="4"/>
  <c r="H7" i="4"/>
  <c r="I7" i="4"/>
  <c r="K7" i="4"/>
  <c r="P4" i="2"/>
  <c r="K8" i="2"/>
  <c r="I8" i="2"/>
  <c r="D8" i="2"/>
  <c r="P2" i="2"/>
  <c r="E8" i="2"/>
  <c r="J6" i="2"/>
  <c r="H8" i="2"/>
  <c r="J7" i="3" l="1"/>
  <c r="J7" i="4"/>
  <c r="L6" i="2"/>
  <c r="J8" i="2"/>
  <c r="N7" i="3" l="1"/>
  <c r="L7" i="3"/>
  <c r="N7" i="4"/>
  <c r="L7" i="4"/>
  <c r="P7" i="4" s="1"/>
  <c r="N6" i="2"/>
  <c r="N8" i="2" s="1"/>
  <c r="L8" i="2"/>
  <c r="P8" i="2" l="1"/>
  <c r="P6" i="2"/>
</calcChain>
</file>

<file path=xl/sharedStrings.xml><?xml version="1.0" encoding="utf-8"?>
<sst xmlns="http://schemas.openxmlformats.org/spreadsheetml/2006/main" count="587" uniqueCount="171">
  <si>
    <t>dominio</t>
  </si>
  <si>
    <t>Azuay</t>
  </si>
  <si>
    <t>Bolívar</t>
  </si>
  <si>
    <t>Cañar</t>
  </si>
  <si>
    <t>Carchi</t>
  </si>
  <si>
    <t>Cotopaxi</t>
  </si>
  <si>
    <t>Chimborazo</t>
  </si>
  <si>
    <t>El Oro</t>
  </si>
  <si>
    <t>Esmeraldas</t>
  </si>
  <si>
    <t>Guayas</t>
  </si>
  <si>
    <t>Imbabura</t>
  </si>
  <si>
    <t>Loja</t>
  </si>
  <si>
    <t>Los Rios</t>
  </si>
  <si>
    <t>Manabí</t>
  </si>
  <si>
    <t>Morona Santiago</t>
  </si>
  <si>
    <t>Napo</t>
  </si>
  <si>
    <t>Pastaza</t>
  </si>
  <si>
    <t>Pichincha</t>
  </si>
  <si>
    <t>Tungurahua</t>
  </si>
  <si>
    <t>Zamora Chinchipe</t>
  </si>
  <si>
    <t>Galápagos</t>
  </si>
  <si>
    <t>Sucumbíos</t>
  </si>
  <si>
    <t>Orellana</t>
  </si>
  <si>
    <t>Santo Domingo de los Tsachilas</t>
  </si>
  <si>
    <t>Santa Elena</t>
  </si>
  <si>
    <t>Quito</t>
  </si>
  <si>
    <t>Guayaquil</t>
  </si>
  <si>
    <t>Cuenca</t>
  </si>
  <si>
    <t>Machala</t>
  </si>
  <si>
    <t>Ambato</t>
  </si>
  <si>
    <t>Esmeraldas Ciudad</t>
  </si>
  <si>
    <t>Santo Domingo</t>
  </si>
  <si>
    <t>Manta</t>
  </si>
  <si>
    <t>Loja Ciudad</t>
  </si>
  <si>
    <t>TOTAL</t>
  </si>
  <si>
    <t>TAMAÑO FINAL</t>
  </si>
  <si>
    <t>DIVISION</t>
  </si>
  <si>
    <t>MES1</t>
  </si>
  <si>
    <t>MES2</t>
  </si>
  <si>
    <t>MES3</t>
  </si>
  <si>
    <t>MES4</t>
  </si>
  <si>
    <t>MES5</t>
  </si>
  <si>
    <t>MES6</t>
  </si>
  <si>
    <t>MES7</t>
  </si>
  <si>
    <t>MES8</t>
  </si>
  <si>
    <t>MES9</t>
  </si>
  <si>
    <t>MES10</t>
  </si>
  <si>
    <t>MES11</t>
  </si>
  <si>
    <t>MES12</t>
  </si>
  <si>
    <t>ZONAL</t>
  </si>
  <si>
    <t>NORTE</t>
  </si>
  <si>
    <t>CENTRO</t>
  </si>
  <si>
    <t>LITORAL</t>
  </si>
  <si>
    <t>SUR</t>
  </si>
  <si>
    <t>MUESTRA</t>
  </si>
  <si>
    <t>GALÁPAGOS</t>
  </si>
  <si>
    <t>PORCENTAJE</t>
  </si>
  <si>
    <t>PSUinSample</t>
  </si>
  <si>
    <t>PSU FINAL</t>
  </si>
  <si>
    <t>muestra por dominio</t>
  </si>
  <si>
    <t>provincia</t>
  </si>
  <si>
    <t>estrato</t>
  </si>
  <si>
    <t>num_viviendas</t>
  </si>
  <si>
    <t>proporcion</t>
  </si>
  <si>
    <t>asignacion prov</t>
  </si>
  <si>
    <t>asignacion ciudad</t>
  </si>
  <si>
    <t>asignacion total</t>
  </si>
  <si>
    <t>01</t>
  </si>
  <si>
    <t>0111</t>
  </si>
  <si>
    <t>0112</t>
  </si>
  <si>
    <t>0113</t>
  </si>
  <si>
    <t>0121</t>
  </si>
  <si>
    <t>0122</t>
  </si>
  <si>
    <t>0123</t>
  </si>
  <si>
    <t>2711</t>
  </si>
  <si>
    <t>2712</t>
  </si>
  <si>
    <t>2713</t>
  </si>
  <si>
    <t>07</t>
  </si>
  <si>
    <t>0711</t>
  </si>
  <si>
    <t>0712</t>
  </si>
  <si>
    <t>0713</t>
  </si>
  <si>
    <t>0721</t>
  </si>
  <si>
    <t>0722</t>
  </si>
  <si>
    <t>0723</t>
  </si>
  <si>
    <t>2811</t>
  </si>
  <si>
    <t>2812</t>
  </si>
  <si>
    <t>2813</t>
  </si>
  <si>
    <t>08</t>
  </si>
  <si>
    <t>0811</t>
  </si>
  <si>
    <t>0812</t>
  </si>
  <si>
    <t>0813</t>
  </si>
  <si>
    <t>0821</t>
  </si>
  <si>
    <t>0822</t>
  </si>
  <si>
    <t>0823</t>
  </si>
  <si>
    <t>3011</t>
  </si>
  <si>
    <t>3012</t>
  </si>
  <si>
    <t>3013</t>
  </si>
  <si>
    <t>09</t>
  </si>
  <si>
    <t>0911</t>
  </si>
  <si>
    <t>0912</t>
  </si>
  <si>
    <t>0913</t>
  </si>
  <si>
    <t>0921</t>
  </si>
  <si>
    <t>0922</t>
  </si>
  <si>
    <t>0923</t>
  </si>
  <si>
    <t>2611</t>
  </si>
  <si>
    <t>2612</t>
  </si>
  <si>
    <t>2613</t>
  </si>
  <si>
    <t>11</t>
  </si>
  <si>
    <t>1111</t>
  </si>
  <si>
    <t>1112</t>
  </si>
  <si>
    <t>1113</t>
  </si>
  <si>
    <t>1121</t>
  </si>
  <si>
    <t>1122</t>
  </si>
  <si>
    <t>1123</t>
  </si>
  <si>
    <t>3111</t>
  </si>
  <si>
    <t>3112</t>
  </si>
  <si>
    <t>3113</t>
  </si>
  <si>
    <t>13</t>
  </si>
  <si>
    <t>1311</t>
  </si>
  <si>
    <t>1312</t>
  </si>
  <si>
    <t>1313</t>
  </si>
  <si>
    <t>1321</t>
  </si>
  <si>
    <t>1322</t>
  </si>
  <si>
    <t>1323</t>
  </si>
  <si>
    <t>3211</t>
  </si>
  <si>
    <t>3212</t>
  </si>
  <si>
    <t>3213</t>
  </si>
  <si>
    <t>17</t>
  </si>
  <si>
    <t>1711</t>
  </si>
  <si>
    <t>1712</t>
  </si>
  <si>
    <t>1713</t>
  </si>
  <si>
    <t>1721</t>
  </si>
  <si>
    <t>1722</t>
  </si>
  <si>
    <t>1723</t>
  </si>
  <si>
    <t>2511</t>
  </si>
  <si>
    <t>2512</t>
  </si>
  <si>
    <t>2513</t>
  </si>
  <si>
    <t>18</t>
  </si>
  <si>
    <t>1811</t>
  </si>
  <si>
    <t>1812</t>
  </si>
  <si>
    <t>1813</t>
  </si>
  <si>
    <t>1821</t>
  </si>
  <si>
    <t>1822</t>
  </si>
  <si>
    <t>1823</t>
  </si>
  <si>
    <t>2911</t>
  </si>
  <si>
    <t>2912</t>
  </si>
  <si>
    <t>2913</t>
  </si>
  <si>
    <t>23</t>
  </si>
  <si>
    <t>2311</t>
  </si>
  <si>
    <t>2312</t>
  </si>
  <si>
    <t>2313</t>
  </si>
  <si>
    <t>2321</t>
  </si>
  <si>
    <t>2322</t>
  </si>
  <si>
    <t>2323</t>
  </si>
  <si>
    <t>3311</t>
  </si>
  <si>
    <t>3312</t>
  </si>
  <si>
    <t>3313</t>
  </si>
  <si>
    <t>ENCUESTADORES</t>
  </si>
  <si>
    <t>MUESTRA 2</t>
  </si>
  <si>
    <t>num VIV</t>
  </si>
  <si>
    <t>Etiquetas de fila</t>
  </si>
  <si>
    <t>(en blanco)</t>
  </si>
  <si>
    <t>Total general</t>
  </si>
  <si>
    <t>Cuenta de ZONAL</t>
  </si>
  <si>
    <t>Suma de TAMAÑO FINAL</t>
  </si>
  <si>
    <t>NUESTRO</t>
  </si>
  <si>
    <t>PATO</t>
  </si>
  <si>
    <t>OK</t>
  </si>
  <si>
    <t>MES13</t>
  </si>
  <si>
    <t>DIFERENCIA</t>
  </si>
  <si>
    <t>AUMENTO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</si>
</sst>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%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/>
  </cellStyleXfs>
  <cellXfs count="77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49" fontId="0" fillId="3" borderId="1" xfId="0" applyNumberFormat="1" applyFill="1" applyBorder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1" fillId="5" borderId="1" xfId="0" applyFont="1" applyFill="1" applyBorder="1"/>
    <xf numFmtId="0" fontId="0" fillId="7" borderId="0" xfId="0" applyFill="1"/>
    <xf numFmtId="0" fontId="0" fillId="2" borderId="0" xfId="0" applyFill="1"/>
    <xf numFmtId="0" fontId="0" fillId="3" borderId="0" xfId="0" applyFill="1"/>
    <xf numFmtId="0" fontId="0" fillId="10" borderId="0" xfId="0" applyFill="1"/>
    <xf numFmtId="0" fontId="1" fillId="9" borderId="1" xfId="0" applyFont="1" applyFill="1" applyBorder="1"/>
    <xf numFmtId="0" fontId="1" fillId="10" borderId="1" xfId="0" applyFont="1" applyFill="1" applyBorder="1"/>
    <xf numFmtId="0" fontId="2" fillId="2" borderId="2" xfId="0" applyFont="1" applyFill="1" applyBorder="1" applyAlignment="1">
      <alignment horizontal="center" vertical="center"/>
    </xf>
    <xf numFmtId="0" fontId="1" fillId="5" borderId="2" xfId="0" applyFont="1" applyFill="1" applyBorder="1"/>
    <xf numFmtId="0" fontId="0" fillId="7" borderId="1" xfId="0" applyFill="1" applyBorder="1"/>
    <xf numFmtId="0" fontId="0" fillId="2" borderId="1" xfId="0" applyFill="1" applyBorder="1"/>
    <xf numFmtId="0" fontId="0" fillId="3" borderId="1" xfId="0" applyFill="1" applyBorder="1"/>
    <xf numFmtId="0" fontId="0" fillId="10" borderId="1" xfId="0" applyFill="1" applyBorder="1"/>
    <xf numFmtId="0" fontId="0" fillId="0" borderId="1" xfId="0" applyBorder="1"/>
    <xf numFmtId="0" fontId="0" fillId="9" borderId="1" xfId="0" applyFill="1" applyBorder="1"/>
    <xf numFmtId="0" fontId="0" fillId="8" borderId="1" xfId="0" applyFill="1" applyBorder="1"/>
    <xf numFmtId="0" fontId="0" fillId="0" borderId="1" xfId="0" applyFill="1" applyBorder="1"/>
    <xf numFmtId="0" fontId="0" fillId="0" borderId="2" xfId="0" applyFill="1" applyBorder="1"/>
    <xf numFmtId="0" fontId="1" fillId="0" borderId="1" xfId="0" applyFont="1" applyBorder="1"/>
    <xf numFmtId="0" fontId="1" fillId="0" borderId="0" xfId="0" applyFont="1"/>
    <xf numFmtId="0" fontId="1" fillId="7" borderId="0" xfId="0" applyFont="1" applyFill="1"/>
    <xf numFmtId="0" fontId="1" fillId="2" borderId="0" xfId="0" applyFont="1" applyFill="1"/>
    <xf numFmtId="0" fontId="1" fillId="3" borderId="0" xfId="0" applyFont="1" applyFill="1"/>
    <xf numFmtId="0" fontId="1" fillId="9" borderId="0" xfId="0" applyFont="1" applyFill="1"/>
    <xf numFmtId="165" fontId="0" fillId="0" borderId="0" xfId="0" applyNumberFormat="1"/>
    <xf numFmtId="0" fontId="2" fillId="3" borderId="1" xfId="1" applyFont="1" applyFill="1" applyBorder="1"/>
    <xf numFmtId="0" fontId="3" fillId="0" borderId="0" xfId="1"/>
    <xf numFmtId="0" fontId="2" fillId="3" borderId="3" xfId="1" applyFont="1" applyFill="1" applyBorder="1"/>
    <xf numFmtId="0" fontId="2" fillId="3" borderId="4" xfId="1" applyFont="1" applyFill="1" applyBorder="1"/>
    <xf numFmtId="0" fontId="2" fillId="3" borderId="5" xfId="1" applyFont="1" applyFill="1" applyBorder="1"/>
    <xf numFmtId="0" fontId="2" fillId="13" borderId="3" xfId="1" applyFont="1" applyFill="1" applyBorder="1"/>
    <xf numFmtId="0" fontId="2" fillId="13" borderId="4" xfId="1" applyFont="1" applyFill="1" applyBorder="1"/>
    <xf numFmtId="0" fontId="3" fillId="13" borderId="4" xfId="1" applyFill="1" applyBorder="1"/>
    <xf numFmtId="0" fontId="3" fillId="13" borderId="5" xfId="1" applyFill="1" applyBorder="1"/>
    <xf numFmtId="0" fontId="3" fillId="0" borderId="1" xfId="1" applyBorder="1"/>
    <xf numFmtId="0" fontId="2" fillId="14" borderId="1" xfId="1" applyFont="1" applyFill="1" applyBorder="1" applyAlignment="1">
      <alignment horizontal="center"/>
    </xf>
    <xf numFmtId="0" fontId="2" fillId="6" borderId="1" xfId="1" applyFont="1" applyFill="1" applyBorder="1" applyAlignment="1">
      <alignment horizontal="center"/>
    </xf>
    <xf numFmtId="0" fontId="3" fillId="0" borderId="1" xfId="1" applyFill="1" applyBorder="1" applyAlignment="1">
      <alignment horizontal="center"/>
    </xf>
    <xf numFmtId="164" fontId="3" fillId="0" borderId="1" xfId="1" applyNumberFormat="1" applyFill="1" applyBorder="1" applyAlignment="1">
      <alignment horizontal="center"/>
    </xf>
    <xf numFmtId="0" fontId="3" fillId="12" borderId="1" xfId="1" applyFill="1" applyBorder="1" applyAlignment="1">
      <alignment horizontal="center"/>
    </xf>
    <xf numFmtId="0" fontId="3" fillId="10" borderId="1" xfId="1" applyFill="1" applyBorder="1" applyAlignment="1">
      <alignment horizontal="center"/>
    </xf>
    <xf numFmtId="0" fontId="3" fillId="0" borderId="0" xfId="1" applyAlignment="1">
      <alignment horizontal="center"/>
    </xf>
    <xf numFmtId="0" fontId="2" fillId="0" borderId="1" xfId="1" applyFont="1" applyBorder="1" applyAlignment="1">
      <alignment horizontal="center"/>
    </xf>
    <xf numFmtId="0" fontId="2" fillId="0" borderId="0" xfId="1" applyFont="1" applyAlignment="1">
      <alignment horizontal="center"/>
    </xf>
    <xf numFmtId="0" fontId="2" fillId="0" borderId="1" xfId="1" applyFont="1" applyFill="1" applyBorder="1" applyAlignment="1">
      <alignment horizontal="center"/>
    </xf>
    <xf numFmtId="0" fontId="3" fillId="4" borderId="1" xfId="1" applyFill="1" applyBorder="1" applyAlignment="1">
      <alignment horizontal="center"/>
    </xf>
    <xf numFmtId="0" fontId="3" fillId="0" borderId="0" xfId="1" applyFill="1" applyBorder="1" applyAlignment="1">
      <alignment horizontal="center"/>
    </xf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49" fontId="0" fillId="3" borderId="1" xfId="0" applyNumberFormat="1" applyFill="1" applyBorder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1" fillId="5" borderId="1" xfId="0" applyFont="1" applyFill="1" applyBorder="1"/>
    <xf numFmtId="0" fontId="1" fillId="5" borderId="2" xfId="0" applyFont="1" applyFill="1" applyBorder="1" applyAlignment="1">
      <alignment horizontal="center" vertical="center" wrapText="1"/>
    </xf>
    <xf numFmtId="0" fontId="0" fillId="0" borderId="7" xfId="0" applyFill="1" applyBorder="1"/>
    <xf numFmtId="0" fontId="0" fillId="0" borderId="1" xfId="0" applyBorder="1" applyAlignment="1"/>
    <xf numFmtId="165" fontId="0" fillId="0" borderId="1" xfId="0" applyNumberForma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15" borderId="1" xfId="0" applyFill="1" applyBorder="1"/>
    <xf numFmtId="0" fontId="0" fillId="15" borderId="2" xfId="0" applyFill="1" applyBorder="1"/>
    <xf numFmtId="0" fontId="0" fillId="0" borderId="0" xfId="0" applyAlignment="1">
      <alignment horizontal="center"/>
    </xf>
    <xf numFmtId="0" fontId="3" fillId="10" borderId="1" xfId="1" applyFill="1" applyBorder="1" applyAlignment="1">
      <alignment horizontal="center" vertical="center"/>
    </xf>
    <xf numFmtId="0" fontId="2" fillId="11" borderId="2" xfId="1" applyFont="1" applyFill="1" applyBorder="1" applyAlignment="1">
      <alignment horizontal="center" vertical="center"/>
    </xf>
    <xf numFmtId="0" fontId="2" fillId="11" borderId="6" xfId="1" applyFont="1" applyFill="1" applyBorder="1" applyAlignment="1">
      <alignment horizontal="center" vertical="center"/>
    </xf>
    <xf numFmtId="0" fontId="3" fillId="12" borderId="1" xfId="1" applyFill="1" applyBorder="1" applyAlignment="1">
      <alignment horizontal="center" vertical="center"/>
    </xf>
    <xf numFmtId="0" fontId="0" fillId="5" borderId="0" xfId="0" applyFill="1"/>
    <xf numFmtId="0" fontId="0" fillId="5" borderId="7" xfId="0" applyFill="1" applyBorder="1"/>
    <xf numFmtId="0" fontId="0" fillId="3" borderId="0" xfId="0" applyFill="1" applyAlignment="1">
      <alignment horizontal="center" vertical="center"/>
    </xf>
    <xf numFmtId="0" fontId="0" fillId="5" borderId="1" xfId="0" applyFill="1" applyBorder="1"/>
    <xf numFmtId="0" fontId="1" fillId="0" borderId="0" xfId="0" applyFont="1" applyFill="1" applyBorder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ODUCTOS/NUESTROS/muestra_resultados_r_mod_mer_5p_ma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1"/>
      <sheetName val="Distribución provincias"/>
      <sheetName val="Distribución Ciudades"/>
      <sheetName val="Distribución d1"/>
      <sheetName val="aux"/>
    </sheetNames>
    <sheetDataSet>
      <sheetData sheetId="0">
        <row r="1">
          <cell r="A1" t="str">
            <v>nom_dominio</v>
          </cell>
          <cell r="B1" t="str">
            <v>HouseholdsPerPSU</v>
          </cell>
          <cell r="C1" t="str">
            <v>DEFF</v>
          </cell>
          <cell r="D1" t="str">
            <v>PSUinSample</v>
          </cell>
          <cell r="E1" t="str">
            <v>HouseholdsInSample</v>
          </cell>
        </row>
        <row r="2">
          <cell r="A2" t="str">
            <v>Azuay</v>
          </cell>
          <cell r="B2">
            <v>11</v>
          </cell>
          <cell r="C2">
            <v>1.9</v>
          </cell>
          <cell r="D2">
            <v>118</v>
          </cell>
          <cell r="E2">
            <v>1292</v>
          </cell>
        </row>
        <row r="3">
          <cell r="A3" t="str">
            <v>Bolívar</v>
          </cell>
          <cell r="B3">
            <v>11</v>
          </cell>
          <cell r="C3">
            <v>4.1100000000000003</v>
          </cell>
          <cell r="D3">
            <v>93</v>
          </cell>
          <cell r="E3">
            <v>1013</v>
          </cell>
        </row>
        <row r="4">
          <cell r="A4" t="str">
            <v>Cañar</v>
          </cell>
          <cell r="B4">
            <v>11</v>
          </cell>
          <cell r="C4">
            <v>3.76</v>
          </cell>
          <cell r="D4">
            <v>82</v>
          </cell>
          <cell r="E4">
            <v>896</v>
          </cell>
        </row>
        <row r="5">
          <cell r="A5" t="str">
            <v>Carchi</v>
          </cell>
          <cell r="B5">
            <v>11</v>
          </cell>
          <cell r="C5">
            <v>2.29</v>
          </cell>
          <cell r="D5">
            <v>75</v>
          </cell>
          <cell r="E5">
            <v>818</v>
          </cell>
        </row>
        <row r="6">
          <cell r="A6" t="str">
            <v>Cotopaxi</v>
          </cell>
          <cell r="B6">
            <v>11</v>
          </cell>
          <cell r="C6">
            <v>2.54</v>
          </cell>
          <cell r="D6">
            <v>95</v>
          </cell>
          <cell r="E6">
            <v>1043</v>
          </cell>
        </row>
        <row r="7">
          <cell r="A7" t="str">
            <v>Chimborazo</v>
          </cell>
          <cell r="B7">
            <v>11</v>
          </cell>
          <cell r="C7">
            <v>3.03</v>
          </cell>
          <cell r="D7">
            <v>101</v>
          </cell>
          <cell r="E7">
            <v>1105</v>
          </cell>
        </row>
        <row r="8">
          <cell r="A8" t="str">
            <v>El Oro</v>
          </cell>
          <cell r="B8">
            <v>11</v>
          </cell>
          <cell r="C8">
            <v>1.83</v>
          </cell>
          <cell r="D8">
            <v>99</v>
          </cell>
          <cell r="E8">
            <v>1079</v>
          </cell>
        </row>
        <row r="9">
          <cell r="A9" t="str">
            <v>Esmeraldas</v>
          </cell>
          <cell r="B9">
            <v>11</v>
          </cell>
          <cell r="C9">
            <v>2.46</v>
          </cell>
          <cell r="D9">
            <v>112</v>
          </cell>
          <cell r="E9">
            <v>1232</v>
          </cell>
        </row>
        <row r="10">
          <cell r="A10" t="str">
            <v>Guayas</v>
          </cell>
          <cell r="B10">
            <v>11</v>
          </cell>
          <cell r="C10">
            <v>1.73</v>
          </cell>
          <cell r="D10">
            <v>334</v>
          </cell>
          <cell r="E10">
            <v>3669</v>
          </cell>
        </row>
        <row r="11">
          <cell r="A11" t="str">
            <v>Imbabura</v>
          </cell>
          <cell r="B11">
            <v>11</v>
          </cell>
          <cell r="C11">
            <v>1.63</v>
          </cell>
          <cell r="D11">
            <v>88</v>
          </cell>
          <cell r="E11">
            <v>961</v>
          </cell>
        </row>
        <row r="12">
          <cell r="A12" t="str">
            <v>Loja</v>
          </cell>
          <cell r="B12">
            <v>11</v>
          </cell>
          <cell r="C12">
            <v>3.04</v>
          </cell>
          <cell r="D12">
            <v>109</v>
          </cell>
          <cell r="E12">
            <v>1189</v>
          </cell>
        </row>
        <row r="13">
          <cell r="A13" t="str">
            <v>Los Rios</v>
          </cell>
          <cell r="B13">
            <v>11</v>
          </cell>
          <cell r="C13">
            <v>1.5</v>
          </cell>
          <cell r="D13">
            <v>110</v>
          </cell>
          <cell r="E13">
            <v>1200</v>
          </cell>
        </row>
        <row r="14">
          <cell r="A14" t="str">
            <v>Manabí</v>
          </cell>
          <cell r="B14">
            <v>11</v>
          </cell>
          <cell r="C14">
            <v>2.29</v>
          </cell>
          <cell r="D14">
            <v>180</v>
          </cell>
          <cell r="E14">
            <v>1971</v>
          </cell>
        </row>
        <row r="15">
          <cell r="A15" t="str">
            <v>Morona Santiago</v>
          </cell>
          <cell r="B15">
            <v>11</v>
          </cell>
          <cell r="C15">
            <v>8.19</v>
          </cell>
          <cell r="D15">
            <v>90</v>
          </cell>
          <cell r="E15">
            <v>981</v>
          </cell>
        </row>
        <row r="16">
          <cell r="A16" t="str">
            <v>Napo</v>
          </cell>
          <cell r="B16">
            <v>11</v>
          </cell>
          <cell r="C16">
            <v>1.78</v>
          </cell>
          <cell r="D16">
            <v>64</v>
          </cell>
          <cell r="E16">
            <v>695</v>
          </cell>
        </row>
        <row r="17">
          <cell r="A17" t="str">
            <v>Pastaza</v>
          </cell>
          <cell r="B17">
            <v>11</v>
          </cell>
          <cell r="C17">
            <v>3.99</v>
          </cell>
          <cell r="D17">
            <v>81</v>
          </cell>
          <cell r="E17">
            <v>884</v>
          </cell>
        </row>
        <row r="18">
          <cell r="A18" t="str">
            <v>Pichincha</v>
          </cell>
          <cell r="B18">
            <v>11</v>
          </cell>
          <cell r="C18">
            <v>1.75</v>
          </cell>
          <cell r="D18">
            <v>250</v>
          </cell>
          <cell r="E18">
            <v>2749</v>
          </cell>
        </row>
        <row r="19">
          <cell r="A19" t="str">
            <v>Tungurahua</v>
          </cell>
          <cell r="B19">
            <v>11</v>
          </cell>
          <cell r="C19">
            <v>3</v>
          </cell>
          <cell r="D19">
            <v>120</v>
          </cell>
          <cell r="E19">
            <v>1314</v>
          </cell>
        </row>
        <row r="20">
          <cell r="A20" t="str">
            <v>Zamora Chinchipe</v>
          </cell>
          <cell r="B20">
            <v>11</v>
          </cell>
          <cell r="C20">
            <v>5.39</v>
          </cell>
          <cell r="D20">
            <v>86</v>
          </cell>
          <cell r="E20">
            <v>943</v>
          </cell>
        </row>
        <row r="21">
          <cell r="A21" t="str">
            <v>Galápagos</v>
          </cell>
          <cell r="B21">
            <v>11</v>
          </cell>
          <cell r="C21">
            <v>1.64</v>
          </cell>
          <cell r="D21">
            <v>47</v>
          </cell>
          <cell r="E21">
            <v>514</v>
          </cell>
        </row>
        <row r="22">
          <cell r="A22" t="str">
            <v>Sucumbíos</v>
          </cell>
          <cell r="B22">
            <v>11</v>
          </cell>
          <cell r="C22">
            <v>3.14</v>
          </cell>
          <cell r="D22">
            <v>69</v>
          </cell>
          <cell r="E22">
            <v>759</v>
          </cell>
        </row>
        <row r="23">
          <cell r="A23" t="str">
            <v>Orellana</v>
          </cell>
          <cell r="B23">
            <v>11</v>
          </cell>
          <cell r="C23">
            <v>3.9</v>
          </cell>
          <cell r="D23">
            <v>64</v>
          </cell>
          <cell r="E23">
            <v>697</v>
          </cell>
        </row>
        <row r="24">
          <cell r="A24" t="str">
            <v>Santo Domingo de los Tsachilas</v>
          </cell>
          <cell r="B24">
            <v>11</v>
          </cell>
          <cell r="C24">
            <v>1.93</v>
          </cell>
          <cell r="D24">
            <v>78</v>
          </cell>
          <cell r="E24">
            <v>857</v>
          </cell>
        </row>
        <row r="25">
          <cell r="A25" t="str">
            <v>Santa Elena</v>
          </cell>
          <cell r="B25">
            <v>11</v>
          </cell>
          <cell r="C25">
            <v>1.81</v>
          </cell>
          <cell r="D25">
            <v>59</v>
          </cell>
          <cell r="E25">
            <v>639</v>
          </cell>
        </row>
        <row r="26">
          <cell r="A26" t="str">
            <v>Quito</v>
          </cell>
          <cell r="B26">
            <v>11</v>
          </cell>
          <cell r="C26">
            <v>1.67</v>
          </cell>
          <cell r="D26">
            <v>156</v>
          </cell>
          <cell r="E26">
            <v>1714</v>
          </cell>
        </row>
        <row r="27">
          <cell r="A27" t="str">
            <v>Guayaquil</v>
          </cell>
          <cell r="B27">
            <v>11</v>
          </cell>
          <cell r="C27">
            <v>1.53</v>
          </cell>
          <cell r="D27">
            <v>177</v>
          </cell>
          <cell r="E27">
            <v>1941</v>
          </cell>
        </row>
        <row r="28">
          <cell r="A28" t="str">
            <v>Cuenca</v>
          </cell>
          <cell r="B28">
            <v>11</v>
          </cell>
          <cell r="C28">
            <v>1.23</v>
          </cell>
          <cell r="D28">
            <v>127</v>
          </cell>
          <cell r="E28">
            <v>1397</v>
          </cell>
        </row>
        <row r="29">
          <cell r="A29" t="str">
            <v>Machala</v>
          </cell>
          <cell r="B29">
            <v>11</v>
          </cell>
          <cell r="C29">
            <v>1.19</v>
          </cell>
          <cell r="D29">
            <v>120</v>
          </cell>
          <cell r="E29">
            <v>1313</v>
          </cell>
        </row>
        <row r="30">
          <cell r="A30" t="str">
            <v>Ambato</v>
          </cell>
          <cell r="B30">
            <v>11</v>
          </cell>
          <cell r="C30">
            <v>2.13</v>
          </cell>
          <cell r="D30">
            <v>135</v>
          </cell>
          <cell r="E30">
            <v>1481</v>
          </cell>
        </row>
        <row r="31">
          <cell r="A31" t="str">
            <v>Esmeraldas Ciudad</v>
          </cell>
          <cell r="B31">
            <v>11</v>
          </cell>
          <cell r="C31">
            <v>1.27</v>
          </cell>
          <cell r="D31">
            <v>138</v>
          </cell>
          <cell r="E31">
            <v>1516</v>
          </cell>
        </row>
        <row r="32">
          <cell r="A32" t="str">
            <v>Santo Domingo</v>
          </cell>
          <cell r="B32">
            <v>11</v>
          </cell>
          <cell r="C32">
            <v>1.77</v>
          </cell>
          <cell r="D32">
            <v>119</v>
          </cell>
          <cell r="E32">
            <v>1306</v>
          </cell>
        </row>
        <row r="33">
          <cell r="A33" t="str">
            <v>Manta</v>
          </cell>
          <cell r="B33">
            <v>11</v>
          </cell>
          <cell r="C33">
            <v>0.97</v>
          </cell>
          <cell r="D33">
            <v>130</v>
          </cell>
          <cell r="E33">
            <v>1425</v>
          </cell>
        </row>
        <row r="34">
          <cell r="A34" t="str">
            <v>Loja Ciudad</v>
          </cell>
          <cell r="B34">
            <v>11</v>
          </cell>
          <cell r="C34">
            <v>1.41</v>
          </cell>
          <cell r="D34">
            <v>132</v>
          </cell>
          <cell r="E34">
            <v>1449</v>
          </cell>
        </row>
      </sheetData>
      <sheetData sheetId="1"/>
      <sheetData sheetId="2"/>
      <sheetData sheetId="3"/>
      <sheetData sheetId="4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INEC Omar Llambo" refreshedDate="45161.422985879632" createdVersion="5" refreshedVersion="5" minRefreshableVersion="3" recordCount="34">
  <cacheSource type="worksheet">
    <worksheetSource ref="A1:C35" sheet="Hoja1"/>
  </cacheSource>
  <cacheFields count="3">
    <cacheField name="dominio" numFmtId="0">
      <sharedItems/>
    </cacheField>
    <cacheField name="TAMAÑO FINAL" numFmtId="0">
      <sharedItems containsSemiMixedTypes="0" containsString="0" containsNumber="1" containsInteger="1" minValue="27" maxValue="3314"/>
    </cacheField>
    <cacheField name="ZONAL" numFmtId="0">
      <sharedItems containsString="0" containsBlank="1" containsNumber="1" containsInteger="1" minValue="0" maxValue="4" count="6">
        <n v="4"/>
        <n v="2"/>
        <n v="1"/>
        <n v="3"/>
        <n v="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4">
  <r>
    <s v="Azuay"/>
    <n v="66"/>
    <x v="0"/>
  </r>
  <r>
    <s v="Bolívar"/>
    <n v="96"/>
    <x v="1"/>
  </r>
  <r>
    <s v="Cañar"/>
    <n v="84"/>
    <x v="0"/>
  </r>
  <r>
    <s v="Carchi"/>
    <n v="78"/>
    <x v="2"/>
  </r>
  <r>
    <s v="Cotopaxi"/>
    <n v="96"/>
    <x v="1"/>
  </r>
  <r>
    <s v="Chimborazo"/>
    <n v="105"/>
    <x v="1"/>
  </r>
  <r>
    <s v="El Oro"/>
    <n v="63"/>
    <x v="0"/>
  </r>
  <r>
    <s v="Esmeraldas"/>
    <n v="75"/>
    <x v="2"/>
  </r>
  <r>
    <s v="Guayas"/>
    <n v="126"/>
    <x v="3"/>
  </r>
  <r>
    <s v="Imbabura"/>
    <n v="90"/>
    <x v="2"/>
  </r>
  <r>
    <s v="Loja"/>
    <n v="72"/>
    <x v="0"/>
  </r>
  <r>
    <s v="Los Rios"/>
    <n v="111"/>
    <x v="3"/>
  </r>
  <r>
    <s v="Manabí"/>
    <n v="150"/>
    <x v="3"/>
  </r>
  <r>
    <s v="Morona Santiago"/>
    <n v="90"/>
    <x v="0"/>
  </r>
  <r>
    <s v="Napo"/>
    <n v="66"/>
    <x v="1"/>
  </r>
  <r>
    <s v="Pastaza"/>
    <n v="84"/>
    <x v="1"/>
  </r>
  <r>
    <s v="Pichincha"/>
    <n v="90"/>
    <x v="2"/>
  </r>
  <r>
    <s v="Tungurahua"/>
    <n v="81"/>
    <x v="1"/>
  </r>
  <r>
    <s v="Zamora Chinchipe"/>
    <n v="87"/>
    <x v="0"/>
  </r>
  <r>
    <s v="Galápagos"/>
    <n v="104"/>
    <x v="4"/>
  </r>
  <r>
    <s v="Sucumbíos"/>
    <n v="72"/>
    <x v="2"/>
  </r>
  <r>
    <s v="Orellana"/>
    <n v="66"/>
    <x v="1"/>
  </r>
  <r>
    <s v="Santo Domingo de los Tsachilas"/>
    <n v="27"/>
    <x v="3"/>
  </r>
  <r>
    <s v="Santa Elena"/>
    <n v="60"/>
    <x v="3"/>
  </r>
  <r>
    <s v="Quito"/>
    <n v="162"/>
    <x v="2"/>
  </r>
  <r>
    <s v="Guayaquil"/>
    <n v="210"/>
    <x v="3"/>
  </r>
  <r>
    <s v="Cuenca"/>
    <n v="126"/>
    <x v="0"/>
  </r>
  <r>
    <s v="Machala"/>
    <n v="120"/>
    <x v="0"/>
  </r>
  <r>
    <s v="Ambato"/>
    <n v="135"/>
    <x v="1"/>
  </r>
  <r>
    <s v="Esmeraldas Ciudad"/>
    <n v="138"/>
    <x v="2"/>
  </r>
  <r>
    <s v="Santo Domingo"/>
    <n v="120"/>
    <x v="3"/>
  </r>
  <r>
    <s v="Manta"/>
    <n v="132"/>
    <x v="3"/>
  </r>
  <r>
    <s v="Loja Ciudad"/>
    <n v="132"/>
    <x v="0"/>
  </r>
  <r>
    <s v="TOTAL"/>
    <n v="3314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1" cacheId="2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G2:I9" firstHeaderRow="0" firstDataRow="1" firstDataCol="1"/>
  <pivotFields count="3">
    <pivotField showAll="0"/>
    <pivotField dataField="1" showAll="0"/>
    <pivotField axis="axisRow" dataField="1" showAll="0">
      <items count="7">
        <item x="2"/>
        <item x="1"/>
        <item x="3"/>
        <item x="0"/>
        <item x="5"/>
        <item x="4"/>
        <item t="default"/>
      </items>
    </pivotField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Cuenta de ZONAL" fld="2" subtotal="count" baseField="0" baseItem="0"/>
    <dataField name="Suma de TAMAÑO FINAL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workbookViewId="0">
      <selection activeCell="C2" sqref="C2"/>
    </sheetView>
  </sheetViews>
  <sheetFormatPr baseColWidth="10" defaultRowHeight="14.4" x14ac:dyDescent="0.3"/>
  <cols>
    <col min="1" max="1" width="27.6640625" bestFit="1" customWidth="1"/>
    <col min="2" max="2" width="16.44140625" bestFit="1" customWidth="1"/>
    <col min="7" max="7" width="16.5546875" bestFit="1" customWidth="1"/>
    <col min="8" max="8" width="15.77734375" bestFit="1" customWidth="1"/>
    <col min="9" max="9" width="22.21875" bestFit="1" customWidth="1"/>
  </cols>
  <sheetData>
    <row r="1" spans="1:9" x14ac:dyDescent="0.3">
      <c r="A1" s="1" t="s">
        <v>0</v>
      </c>
      <c r="B1" s="5" t="s">
        <v>35</v>
      </c>
      <c r="C1" t="s">
        <v>49</v>
      </c>
    </row>
    <row r="2" spans="1:9" x14ac:dyDescent="0.3">
      <c r="A2" s="2" t="s">
        <v>1</v>
      </c>
      <c r="B2" s="3">
        <v>67</v>
      </c>
      <c r="C2">
        <v>4</v>
      </c>
      <c r="D2">
        <v>1</v>
      </c>
      <c r="E2" t="s">
        <v>50</v>
      </c>
      <c r="G2" s="62" t="s">
        <v>160</v>
      </c>
      <c r="H2" s="52" t="s">
        <v>163</v>
      </c>
      <c r="I2" s="52" t="s">
        <v>164</v>
      </c>
    </row>
    <row r="3" spans="1:9" x14ac:dyDescent="0.3">
      <c r="A3" s="2" t="s">
        <v>2</v>
      </c>
      <c r="B3" s="3">
        <v>96</v>
      </c>
      <c r="C3">
        <v>2</v>
      </c>
      <c r="D3">
        <v>2</v>
      </c>
      <c r="E3" t="s">
        <v>51</v>
      </c>
      <c r="G3" s="63">
        <v>1</v>
      </c>
      <c r="H3" s="64">
        <v>7</v>
      </c>
      <c r="I3" s="64">
        <v>705</v>
      </c>
    </row>
    <row r="4" spans="1:9" x14ac:dyDescent="0.3">
      <c r="A4" s="2" t="s">
        <v>3</v>
      </c>
      <c r="B4" s="3">
        <v>86</v>
      </c>
      <c r="C4">
        <v>4</v>
      </c>
      <c r="D4">
        <v>3</v>
      </c>
      <c r="E4" t="s">
        <v>52</v>
      </c>
      <c r="G4" s="63">
        <v>2</v>
      </c>
      <c r="H4" s="64">
        <v>8</v>
      </c>
      <c r="I4" s="64">
        <v>729</v>
      </c>
    </row>
    <row r="5" spans="1:9" x14ac:dyDescent="0.3">
      <c r="A5" s="2" t="s">
        <v>4</v>
      </c>
      <c r="B5" s="3">
        <v>79</v>
      </c>
      <c r="C5">
        <v>1</v>
      </c>
      <c r="D5">
        <v>4</v>
      </c>
      <c r="E5" t="s">
        <v>53</v>
      </c>
      <c r="G5" s="63">
        <v>3</v>
      </c>
      <c r="H5" s="64">
        <v>8</v>
      </c>
      <c r="I5" s="64">
        <v>936</v>
      </c>
    </row>
    <row r="6" spans="1:9" x14ac:dyDescent="0.3">
      <c r="A6" s="2" t="s">
        <v>5</v>
      </c>
      <c r="B6" s="3">
        <v>98</v>
      </c>
      <c r="C6">
        <v>2</v>
      </c>
      <c r="G6" s="63">
        <v>4</v>
      </c>
      <c r="H6" s="64">
        <v>9</v>
      </c>
      <c r="I6" s="64">
        <v>840</v>
      </c>
    </row>
    <row r="7" spans="1:9" x14ac:dyDescent="0.3">
      <c r="A7" s="2" t="s">
        <v>6</v>
      </c>
      <c r="B7" s="3">
        <v>105</v>
      </c>
      <c r="C7">
        <v>2</v>
      </c>
      <c r="G7" s="63" t="s">
        <v>161</v>
      </c>
      <c r="H7" s="64"/>
      <c r="I7" s="64">
        <v>3314</v>
      </c>
    </row>
    <row r="8" spans="1:9" x14ac:dyDescent="0.3">
      <c r="A8" s="2" t="s">
        <v>7</v>
      </c>
      <c r="B8" s="3">
        <v>63</v>
      </c>
      <c r="C8">
        <v>4</v>
      </c>
      <c r="G8" s="63">
        <v>0</v>
      </c>
      <c r="H8" s="64">
        <v>1</v>
      </c>
      <c r="I8" s="64">
        <v>104</v>
      </c>
    </row>
    <row r="9" spans="1:9" x14ac:dyDescent="0.3">
      <c r="A9" s="2" t="s">
        <v>8</v>
      </c>
      <c r="B9" s="3">
        <v>76</v>
      </c>
      <c r="C9">
        <v>1</v>
      </c>
      <c r="G9" s="63" t="s">
        <v>162</v>
      </c>
      <c r="H9" s="64">
        <v>33</v>
      </c>
      <c r="I9" s="64">
        <v>6628</v>
      </c>
    </row>
    <row r="10" spans="1:9" x14ac:dyDescent="0.3">
      <c r="A10" s="2" t="s">
        <v>9</v>
      </c>
      <c r="B10" s="3">
        <v>128</v>
      </c>
      <c r="C10">
        <v>3</v>
      </c>
    </row>
    <row r="11" spans="1:9" x14ac:dyDescent="0.3">
      <c r="A11" s="2" t="s">
        <v>10</v>
      </c>
      <c r="B11" s="3">
        <v>91</v>
      </c>
      <c r="C11">
        <v>1</v>
      </c>
    </row>
    <row r="12" spans="1:9" x14ac:dyDescent="0.3">
      <c r="A12" s="2" t="s">
        <v>11</v>
      </c>
      <c r="B12" s="3">
        <v>72</v>
      </c>
      <c r="C12">
        <v>4</v>
      </c>
    </row>
    <row r="13" spans="1:9" x14ac:dyDescent="0.3">
      <c r="A13" s="2" t="s">
        <v>12</v>
      </c>
      <c r="B13" s="3">
        <v>113</v>
      </c>
      <c r="C13">
        <v>3</v>
      </c>
    </row>
    <row r="14" spans="1:9" x14ac:dyDescent="0.3">
      <c r="A14" s="2" t="s">
        <v>13</v>
      </c>
      <c r="B14" s="3">
        <v>152</v>
      </c>
      <c r="C14">
        <v>3</v>
      </c>
    </row>
    <row r="15" spans="1:9" x14ac:dyDescent="0.3">
      <c r="A15" s="2" t="s">
        <v>14</v>
      </c>
      <c r="B15" s="3">
        <v>92</v>
      </c>
      <c r="C15">
        <v>4</v>
      </c>
    </row>
    <row r="16" spans="1:9" x14ac:dyDescent="0.3">
      <c r="A16" s="2" t="s">
        <v>15</v>
      </c>
      <c r="B16" s="3">
        <v>67</v>
      </c>
      <c r="C16">
        <v>2</v>
      </c>
    </row>
    <row r="17" spans="1:3" x14ac:dyDescent="0.3">
      <c r="A17" s="2" t="s">
        <v>16</v>
      </c>
      <c r="B17" s="3">
        <v>84</v>
      </c>
      <c r="C17">
        <v>2</v>
      </c>
    </row>
    <row r="18" spans="1:3" x14ac:dyDescent="0.3">
      <c r="A18" s="2" t="s">
        <v>17</v>
      </c>
      <c r="B18" s="3">
        <v>91</v>
      </c>
      <c r="C18">
        <v>1</v>
      </c>
    </row>
    <row r="19" spans="1:3" x14ac:dyDescent="0.3">
      <c r="A19" s="2" t="s">
        <v>18</v>
      </c>
      <c r="B19" s="3">
        <v>81</v>
      </c>
      <c r="C19">
        <v>2</v>
      </c>
    </row>
    <row r="20" spans="1:3" x14ac:dyDescent="0.3">
      <c r="A20" s="2" t="s">
        <v>19</v>
      </c>
      <c r="B20" s="3">
        <v>88</v>
      </c>
      <c r="C20">
        <v>4</v>
      </c>
    </row>
    <row r="21" spans="1:3" x14ac:dyDescent="0.3">
      <c r="A21" s="2" t="s">
        <v>20</v>
      </c>
      <c r="B21" s="4">
        <v>104</v>
      </c>
      <c r="C21">
        <v>0</v>
      </c>
    </row>
    <row r="22" spans="1:3" x14ac:dyDescent="0.3">
      <c r="A22" s="2" t="s">
        <v>21</v>
      </c>
      <c r="B22" s="3">
        <v>72</v>
      </c>
      <c r="C22">
        <v>1</v>
      </c>
    </row>
    <row r="23" spans="1:3" x14ac:dyDescent="0.3">
      <c r="A23" s="2" t="s">
        <v>22</v>
      </c>
      <c r="B23" s="3">
        <v>68</v>
      </c>
      <c r="C23">
        <v>2</v>
      </c>
    </row>
    <row r="24" spans="1:3" x14ac:dyDescent="0.3">
      <c r="A24" s="2" t="s">
        <v>23</v>
      </c>
      <c r="B24" s="3">
        <v>27</v>
      </c>
      <c r="C24">
        <v>3</v>
      </c>
    </row>
    <row r="25" spans="1:3" x14ac:dyDescent="0.3">
      <c r="A25" s="2" t="s">
        <v>24</v>
      </c>
      <c r="B25" s="3">
        <v>61</v>
      </c>
      <c r="C25">
        <v>3</v>
      </c>
    </row>
    <row r="26" spans="1:3" x14ac:dyDescent="0.3">
      <c r="A26" s="2" t="s">
        <v>25</v>
      </c>
      <c r="B26" s="3">
        <v>162</v>
      </c>
      <c r="C26">
        <v>1</v>
      </c>
    </row>
    <row r="27" spans="1:3" x14ac:dyDescent="0.3">
      <c r="A27" s="2" t="s">
        <v>26</v>
      </c>
      <c r="B27" s="3">
        <v>211</v>
      </c>
      <c r="C27">
        <v>3</v>
      </c>
    </row>
    <row r="28" spans="1:3" x14ac:dyDescent="0.3">
      <c r="A28" s="2" t="s">
        <v>27</v>
      </c>
      <c r="B28" s="3">
        <v>128</v>
      </c>
      <c r="C28">
        <v>4</v>
      </c>
    </row>
    <row r="29" spans="1:3" x14ac:dyDescent="0.3">
      <c r="A29" s="2" t="s">
        <v>28</v>
      </c>
      <c r="B29" s="3">
        <v>121</v>
      </c>
      <c r="C29">
        <v>4</v>
      </c>
    </row>
    <row r="30" spans="1:3" x14ac:dyDescent="0.3">
      <c r="A30" s="2" t="s">
        <v>29</v>
      </c>
      <c r="B30" s="3">
        <v>136</v>
      </c>
      <c r="C30">
        <v>2</v>
      </c>
    </row>
    <row r="31" spans="1:3" x14ac:dyDescent="0.3">
      <c r="A31" s="2" t="s">
        <v>30</v>
      </c>
      <c r="B31" s="3">
        <v>139</v>
      </c>
      <c r="C31">
        <v>1</v>
      </c>
    </row>
    <row r="32" spans="1:3" x14ac:dyDescent="0.3">
      <c r="A32" s="2" t="s">
        <v>31</v>
      </c>
      <c r="B32" s="3">
        <v>121</v>
      </c>
      <c r="C32">
        <v>3</v>
      </c>
    </row>
    <row r="33" spans="1:3" x14ac:dyDescent="0.3">
      <c r="A33" s="2" t="s">
        <v>32</v>
      </c>
      <c r="B33" s="3">
        <v>132</v>
      </c>
      <c r="C33">
        <v>3</v>
      </c>
    </row>
    <row r="34" spans="1:3" x14ac:dyDescent="0.3">
      <c r="A34" s="2" t="s">
        <v>33</v>
      </c>
      <c r="B34" s="3">
        <v>134</v>
      </c>
      <c r="C34">
        <v>4</v>
      </c>
    </row>
    <row r="35" spans="1:3" x14ac:dyDescent="0.3">
      <c r="A35" s="1" t="s">
        <v>34</v>
      </c>
      <c r="B35" s="1">
        <f>SUM(B2:B34)</f>
        <v>3345</v>
      </c>
    </row>
  </sheetData>
  <autoFilter ref="A1:E35"/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workbookViewId="0">
      <selection activeCell="D26" sqref="D26"/>
    </sheetView>
  </sheetViews>
  <sheetFormatPr baseColWidth="10" defaultRowHeight="14.4" x14ac:dyDescent="0.3"/>
  <cols>
    <col min="1" max="1" width="26.77734375" bestFit="1" customWidth="1"/>
    <col min="2" max="2" width="14.21875" bestFit="1" customWidth="1"/>
  </cols>
  <sheetData>
    <row r="1" spans="1:4" x14ac:dyDescent="0.3">
      <c r="A1" s="53" t="s">
        <v>0</v>
      </c>
      <c r="B1" s="57" t="s">
        <v>35</v>
      </c>
    </row>
    <row r="2" spans="1:4" x14ac:dyDescent="0.3">
      <c r="A2" s="54" t="s">
        <v>1</v>
      </c>
      <c r="B2" s="55">
        <v>66</v>
      </c>
      <c r="C2">
        <v>192</v>
      </c>
      <c r="D2" s="52">
        <f>+B2/(B28+$B$2)</f>
        <v>0.34375</v>
      </c>
    </row>
    <row r="3" spans="1:4" x14ac:dyDescent="0.3">
      <c r="A3" s="54" t="s">
        <v>2</v>
      </c>
      <c r="B3" s="55">
        <v>96</v>
      </c>
      <c r="C3">
        <v>96</v>
      </c>
    </row>
    <row r="4" spans="1:4" x14ac:dyDescent="0.3">
      <c r="A4" s="54" t="s">
        <v>3</v>
      </c>
      <c r="B4" s="55">
        <v>84</v>
      </c>
      <c r="C4">
        <f>+B4</f>
        <v>84</v>
      </c>
    </row>
    <row r="5" spans="1:4" x14ac:dyDescent="0.3">
      <c r="A5" s="54" t="s">
        <v>4</v>
      </c>
      <c r="B5" s="55">
        <v>78</v>
      </c>
      <c r="C5">
        <v>81</v>
      </c>
    </row>
    <row r="6" spans="1:4" x14ac:dyDescent="0.3">
      <c r="A6" s="54" t="s">
        <v>5</v>
      </c>
      <c r="B6" s="55">
        <v>96</v>
      </c>
      <c r="C6">
        <v>96</v>
      </c>
    </row>
    <row r="7" spans="1:4" x14ac:dyDescent="0.3">
      <c r="A7" s="54" t="s">
        <v>6</v>
      </c>
      <c r="B7" s="55">
        <v>105</v>
      </c>
      <c r="C7">
        <v>105</v>
      </c>
    </row>
    <row r="8" spans="1:4" x14ac:dyDescent="0.3">
      <c r="A8" s="54" t="s">
        <v>7</v>
      </c>
      <c r="B8" s="55">
        <v>63</v>
      </c>
      <c r="C8">
        <v>183</v>
      </c>
      <c r="D8" s="52">
        <f>+B8/(B29+B8)</f>
        <v>0.34426229508196721</v>
      </c>
    </row>
    <row r="9" spans="1:4" x14ac:dyDescent="0.3">
      <c r="A9" s="54" t="s">
        <v>8</v>
      </c>
      <c r="B9" s="55">
        <v>75</v>
      </c>
      <c r="C9">
        <v>213</v>
      </c>
      <c r="D9" s="52">
        <f>+B9/(B31+$B$9)</f>
        <v>0.352112676056338</v>
      </c>
    </row>
    <row r="10" spans="1:4" x14ac:dyDescent="0.3">
      <c r="A10" s="54" t="s">
        <v>9</v>
      </c>
      <c r="B10" s="55">
        <v>126</v>
      </c>
      <c r="C10">
        <v>336</v>
      </c>
      <c r="D10" s="52">
        <f>+C10/(B27+$C$10)</f>
        <v>0.61538461538461542</v>
      </c>
    </row>
    <row r="11" spans="1:4" x14ac:dyDescent="0.3">
      <c r="A11" s="54" t="s">
        <v>10</v>
      </c>
      <c r="B11" s="55">
        <v>90</v>
      </c>
      <c r="C11">
        <v>90</v>
      </c>
    </row>
    <row r="12" spans="1:4" x14ac:dyDescent="0.3">
      <c r="A12" s="54" t="s">
        <v>11</v>
      </c>
      <c r="B12" s="55">
        <v>72</v>
      </c>
      <c r="C12">
        <v>72</v>
      </c>
    </row>
    <row r="13" spans="1:4" x14ac:dyDescent="0.3">
      <c r="A13" s="54" t="s">
        <v>12</v>
      </c>
      <c r="B13" s="55">
        <v>111</v>
      </c>
      <c r="C13">
        <v>111</v>
      </c>
    </row>
    <row r="14" spans="1:4" x14ac:dyDescent="0.3">
      <c r="A14" s="54" t="s">
        <v>13</v>
      </c>
      <c r="B14" s="55">
        <v>150</v>
      </c>
      <c r="C14">
        <v>282</v>
      </c>
    </row>
    <row r="15" spans="1:4" x14ac:dyDescent="0.3">
      <c r="A15" s="54" t="s">
        <v>14</v>
      </c>
      <c r="B15" s="55">
        <v>90</v>
      </c>
      <c r="C15">
        <v>90</v>
      </c>
    </row>
    <row r="16" spans="1:4" x14ac:dyDescent="0.3">
      <c r="A16" s="54" t="s">
        <v>15</v>
      </c>
      <c r="B16" s="55">
        <v>66</v>
      </c>
      <c r="C16">
        <v>69</v>
      </c>
    </row>
    <row r="17" spans="1:4" x14ac:dyDescent="0.3">
      <c r="A17" s="54" t="s">
        <v>16</v>
      </c>
      <c r="B17" s="55">
        <v>84</v>
      </c>
      <c r="C17">
        <v>84</v>
      </c>
    </row>
    <row r="18" spans="1:4" x14ac:dyDescent="0.3">
      <c r="A18" s="54" t="s">
        <v>17</v>
      </c>
      <c r="B18" s="55">
        <v>90</v>
      </c>
      <c r="C18">
        <v>252</v>
      </c>
    </row>
    <row r="19" spans="1:4" x14ac:dyDescent="0.3">
      <c r="A19" s="54" t="s">
        <v>18</v>
      </c>
      <c r="B19" s="55">
        <v>81</v>
      </c>
      <c r="C19">
        <v>216</v>
      </c>
    </row>
    <row r="20" spans="1:4" x14ac:dyDescent="0.3">
      <c r="A20" s="54" t="s">
        <v>19</v>
      </c>
      <c r="B20" s="55">
        <v>87</v>
      </c>
      <c r="C20">
        <v>87</v>
      </c>
    </row>
    <row r="21" spans="1:4" x14ac:dyDescent="0.3">
      <c r="A21" s="54" t="s">
        <v>20</v>
      </c>
      <c r="B21" s="56">
        <v>104</v>
      </c>
      <c r="C21">
        <v>104</v>
      </c>
    </row>
    <row r="22" spans="1:4" x14ac:dyDescent="0.3">
      <c r="A22" s="54" t="s">
        <v>21</v>
      </c>
      <c r="B22" s="55">
        <v>72</v>
      </c>
      <c r="C22">
        <v>72</v>
      </c>
    </row>
    <row r="23" spans="1:4" x14ac:dyDescent="0.3">
      <c r="A23" s="54" t="s">
        <v>22</v>
      </c>
      <c r="B23" s="55">
        <v>66</v>
      </c>
      <c r="C23">
        <v>66</v>
      </c>
    </row>
    <row r="24" spans="1:4" x14ac:dyDescent="0.3">
      <c r="A24" s="54" t="s">
        <v>23</v>
      </c>
      <c r="B24" s="55">
        <v>27</v>
      </c>
      <c r="C24">
        <v>147</v>
      </c>
    </row>
    <row r="25" spans="1:4" x14ac:dyDescent="0.3">
      <c r="A25" s="54" t="s">
        <v>24</v>
      </c>
      <c r="B25" s="55">
        <v>60</v>
      </c>
      <c r="C25">
        <v>60</v>
      </c>
    </row>
    <row r="26" spans="1:4" x14ac:dyDescent="0.3">
      <c r="A26" s="54" t="s">
        <v>25</v>
      </c>
      <c r="B26" s="55">
        <v>162</v>
      </c>
      <c r="C26" t="e">
        <f>+sum</f>
        <v>#NAME?</v>
      </c>
    </row>
    <row r="27" spans="1:4" x14ac:dyDescent="0.3">
      <c r="A27" s="54" t="s">
        <v>26</v>
      </c>
      <c r="B27" s="55">
        <v>210</v>
      </c>
    </row>
    <row r="28" spans="1:4" x14ac:dyDescent="0.3">
      <c r="A28" s="54" t="s">
        <v>27</v>
      </c>
      <c r="B28" s="55">
        <v>126</v>
      </c>
      <c r="D28">
        <f>+B28/(B28+$B$2)</f>
        <v>0.65625</v>
      </c>
    </row>
    <row r="29" spans="1:4" x14ac:dyDescent="0.3">
      <c r="A29" s="54" t="s">
        <v>28</v>
      </c>
      <c r="B29" s="55">
        <v>120</v>
      </c>
    </row>
    <row r="30" spans="1:4" x14ac:dyDescent="0.3">
      <c r="A30" s="54" t="s">
        <v>29</v>
      </c>
      <c r="B30" s="55">
        <v>135</v>
      </c>
    </row>
    <row r="31" spans="1:4" x14ac:dyDescent="0.3">
      <c r="A31" s="54" t="s">
        <v>30</v>
      </c>
      <c r="B31" s="55">
        <v>138</v>
      </c>
    </row>
    <row r="32" spans="1:4" x14ac:dyDescent="0.3">
      <c r="A32" s="54" t="s">
        <v>31</v>
      </c>
      <c r="B32" s="55">
        <v>120</v>
      </c>
    </row>
    <row r="33" spans="1:2" x14ac:dyDescent="0.3">
      <c r="A33" s="54" t="s">
        <v>32</v>
      </c>
      <c r="B33" s="55">
        <v>132</v>
      </c>
    </row>
    <row r="34" spans="1:2" x14ac:dyDescent="0.3">
      <c r="A34" s="54" t="s">
        <v>33</v>
      </c>
      <c r="B34" s="55">
        <v>132</v>
      </c>
    </row>
    <row r="35" spans="1:2" x14ac:dyDescent="0.3">
      <c r="A35" s="53" t="s">
        <v>34</v>
      </c>
      <c r="B35" s="53">
        <v>3314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7"/>
  <sheetViews>
    <sheetView zoomScale="110" zoomScaleNormal="110" workbookViewId="0">
      <selection activeCell="B24" sqref="B24"/>
    </sheetView>
  </sheetViews>
  <sheetFormatPr baseColWidth="10" defaultRowHeight="14.4" x14ac:dyDescent="0.3"/>
  <cols>
    <col min="1" max="1" width="28.88671875" style="31" bestFit="1" customWidth="1"/>
    <col min="2" max="2" width="12.88671875" style="31" bestFit="1" customWidth="1"/>
    <col min="3" max="4" width="11.5546875" style="31"/>
    <col min="5" max="5" width="14.109375" style="31" bestFit="1" customWidth="1"/>
    <col min="6" max="8" width="11.5546875" style="31"/>
    <col min="9" max="9" width="14.6640625" style="31" bestFit="1" customWidth="1"/>
    <col min="10" max="10" width="17.6640625" style="31" bestFit="1" customWidth="1"/>
    <col min="11" max="12" width="11.5546875" style="31"/>
    <col min="13" max="13" width="16.6640625" style="31" bestFit="1" customWidth="1"/>
    <col min="14" max="14" width="14.88671875" style="31" bestFit="1" customWidth="1"/>
    <col min="15" max="15" width="19.6640625" style="31" bestFit="1" customWidth="1"/>
    <col min="16" max="16384" width="11.5546875" style="31"/>
  </cols>
  <sheetData>
    <row r="1" spans="1:15" x14ac:dyDescent="0.3">
      <c r="A1" s="30" t="s">
        <v>0</v>
      </c>
      <c r="B1" s="30" t="s">
        <v>57</v>
      </c>
      <c r="C1" s="30" t="s">
        <v>58</v>
      </c>
      <c r="E1" s="32" t="s">
        <v>1</v>
      </c>
      <c r="F1" s="33">
        <f>B2</f>
        <v>118</v>
      </c>
      <c r="G1" s="33"/>
      <c r="H1" s="33"/>
      <c r="I1" s="34"/>
      <c r="J1" s="35" t="s">
        <v>27</v>
      </c>
      <c r="K1" s="36">
        <f>B13</f>
        <v>127</v>
      </c>
      <c r="L1" s="37"/>
      <c r="M1" s="37"/>
      <c r="N1" s="38"/>
      <c r="O1" s="69" t="s">
        <v>59</v>
      </c>
    </row>
    <row r="2" spans="1:15" x14ac:dyDescent="0.3">
      <c r="A2" s="39" t="s">
        <v>1</v>
      </c>
      <c r="B2" s="39">
        <f>VLOOKUP(A2,[1]d1!A1:$E$34,4,0)</f>
        <v>118</v>
      </c>
      <c r="C2" s="39">
        <f>O3</f>
        <v>67</v>
      </c>
      <c r="E2" s="40" t="s">
        <v>60</v>
      </c>
      <c r="F2" s="40" t="s">
        <v>61</v>
      </c>
      <c r="G2" s="40" t="s">
        <v>62</v>
      </c>
      <c r="H2" s="40" t="s">
        <v>63</v>
      </c>
      <c r="I2" s="40" t="s">
        <v>64</v>
      </c>
      <c r="J2" s="41" t="s">
        <v>61</v>
      </c>
      <c r="K2" s="41" t="s">
        <v>62</v>
      </c>
      <c r="L2" s="41" t="s">
        <v>63</v>
      </c>
      <c r="M2" s="41" t="s">
        <v>65</v>
      </c>
      <c r="N2" s="41" t="s">
        <v>66</v>
      </c>
      <c r="O2" s="70"/>
    </row>
    <row r="3" spans="1:15" x14ac:dyDescent="0.3">
      <c r="A3" s="39" t="s">
        <v>7</v>
      </c>
      <c r="B3" s="39">
        <f>VLOOKUP(A3,[1]d1!A2:$E$34,4,0)</f>
        <v>99</v>
      </c>
      <c r="C3" s="39">
        <f>O20</f>
        <v>63</v>
      </c>
      <c r="E3" s="42" t="s">
        <v>67</v>
      </c>
      <c r="F3" s="42" t="s">
        <v>68</v>
      </c>
      <c r="G3" s="42">
        <v>3442</v>
      </c>
      <c r="H3" s="43">
        <f>G3/$G$12</f>
        <v>1.8978931290975359E-2</v>
      </c>
      <c r="I3" s="42">
        <f>ROUNDUP(H3*$F$1,0)</f>
        <v>3</v>
      </c>
      <c r="J3" s="42"/>
      <c r="K3" s="42"/>
      <c r="L3" s="43">
        <f>K3/$K$12</f>
        <v>0</v>
      </c>
      <c r="M3" s="42">
        <f>ROUNDUP(L3*$K$1,0)</f>
        <v>0</v>
      </c>
      <c r="N3" s="44">
        <f>MAX(I3,M3)</f>
        <v>3</v>
      </c>
      <c r="O3" s="71">
        <f>SUM(N3:N8)</f>
        <v>67</v>
      </c>
    </row>
    <row r="4" spans="1:15" x14ac:dyDescent="0.3">
      <c r="A4" s="39" t="s">
        <v>8</v>
      </c>
      <c r="B4" s="39">
        <f>VLOOKUP(A4,[1]d1!A3:$E$34,4,0)</f>
        <v>112</v>
      </c>
      <c r="C4" s="39">
        <f>O36</f>
        <v>76</v>
      </c>
      <c r="E4" s="42" t="s">
        <v>67</v>
      </c>
      <c r="F4" s="42" t="s">
        <v>69</v>
      </c>
      <c r="G4" s="42">
        <v>8332</v>
      </c>
      <c r="H4" s="43">
        <f t="shared" ref="H4:H11" si="0">G4/$G$12</f>
        <v>4.5942026588148367E-2</v>
      </c>
      <c r="I4" s="42">
        <f t="shared" ref="I4:I11" si="1">ROUNDUP(H4*$F$1,0)</f>
        <v>6</v>
      </c>
      <c r="J4" s="42"/>
      <c r="K4" s="42"/>
      <c r="L4" s="43">
        <f t="shared" ref="L4:L11" si="2">K4/$K$12</f>
        <v>0</v>
      </c>
      <c r="M4" s="42">
        <f t="shared" ref="M4:M11" si="3">ROUNDUP(L4*$K$1,0)</f>
        <v>0</v>
      </c>
      <c r="N4" s="44">
        <f t="shared" ref="N4:N11" si="4">MAX(I4,M4)</f>
        <v>6</v>
      </c>
      <c r="O4" s="71"/>
    </row>
    <row r="5" spans="1:15" x14ac:dyDescent="0.3">
      <c r="A5" s="39" t="s">
        <v>9</v>
      </c>
      <c r="B5" s="39">
        <f>VLOOKUP(A5,[1]d1!A4:$E$34,4,0)</f>
        <v>334</v>
      </c>
      <c r="C5" s="39">
        <f>O53</f>
        <v>128</v>
      </c>
      <c r="E5" s="42" t="s">
        <v>67</v>
      </c>
      <c r="F5" s="42" t="s">
        <v>70</v>
      </c>
      <c r="G5" s="42">
        <v>8176</v>
      </c>
      <c r="H5" s="43">
        <f t="shared" si="0"/>
        <v>4.5081854222839779E-2</v>
      </c>
      <c r="I5" s="42">
        <f t="shared" si="1"/>
        <v>6</v>
      </c>
      <c r="J5" s="42"/>
      <c r="K5" s="42"/>
      <c r="L5" s="43">
        <f t="shared" si="2"/>
        <v>0</v>
      </c>
      <c r="M5" s="42">
        <f t="shared" si="3"/>
        <v>0</v>
      </c>
      <c r="N5" s="44">
        <f t="shared" si="4"/>
        <v>6</v>
      </c>
      <c r="O5" s="71"/>
    </row>
    <row r="6" spans="1:15" x14ac:dyDescent="0.3">
      <c r="A6" s="39" t="s">
        <v>11</v>
      </c>
      <c r="B6" s="39">
        <f>VLOOKUP(A6,[1]d1!A5:$E$34,4,0)</f>
        <v>109</v>
      </c>
      <c r="C6" s="39">
        <f>O70</f>
        <v>72</v>
      </c>
      <c r="E6" s="42" t="s">
        <v>67</v>
      </c>
      <c r="F6" s="42" t="s">
        <v>71</v>
      </c>
      <c r="G6" s="42">
        <v>27771</v>
      </c>
      <c r="H6" s="43">
        <f t="shared" si="0"/>
        <v>0.1531272228011844</v>
      </c>
      <c r="I6" s="42">
        <f t="shared" si="1"/>
        <v>19</v>
      </c>
      <c r="J6" s="42"/>
      <c r="K6" s="42"/>
      <c r="L6" s="43">
        <f t="shared" si="2"/>
        <v>0</v>
      </c>
      <c r="M6" s="42">
        <f t="shared" si="3"/>
        <v>0</v>
      </c>
      <c r="N6" s="44">
        <f t="shared" si="4"/>
        <v>19</v>
      </c>
      <c r="O6" s="71"/>
    </row>
    <row r="7" spans="1:15" x14ac:dyDescent="0.3">
      <c r="A7" s="39" t="s">
        <v>13</v>
      </c>
      <c r="B7" s="39">
        <f>VLOOKUP(A7,[1]d1!A6:$E$34,4,0)</f>
        <v>180</v>
      </c>
      <c r="C7" s="39">
        <f>O87</f>
        <v>152</v>
      </c>
      <c r="E7" s="42" t="s">
        <v>67</v>
      </c>
      <c r="F7" s="42" t="s">
        <v>72</v>
      </c>
      <c r="G7" s="42">
        <v>30386</v>
      </c>
      <c r="H7" s="43">
        <f t="shared" si="0"/>
        <v>0.16754613777094052</v>
      </c>
      <c r="I7" s="42">
        <f t="shared" si="1"/>
        <v>20</v>
      </c>
      <c r="J7" s="42"/>
      <c r="K7" s="42"/>
      <c r="L7" s="43">
        <f t="shared" si="2"/>
        <v>0</v>
      </c>
      <c r="M7" s="42">
        <f t="shared" si="3"/>
        <v>0</v>
      </c>
      <c r="N7" s="44">
        <f t="shared" si="4"/>
        <v>20</v>
      </c>
      <c r="O7" s="71"/>
    </row>
    <row r="8" spans="1:15" x14ac:dyDescent="0.3">
      <c r="A8" s="39" t="s">
        <v>17</v>
      </c>
      <c r="B8" s="39">
        <f>VLOOKUP(A8,[1]d1!A7:$E$34,4,0)</f>
        <v>250</v>
      </c>
      <c r="C8" s="39">
        <f>O104</f>
        <v>91</v>
      </c>
      <c r="E8" s="42" t="s">
        <v>67</v>
      </c>
      <c r="F8" s="42" t="s">
        <v>73</v>
      </c>
      <c r="G8" s="42">
        <v>18629</v>
      </c>
      <c r="H8" s="43">
        <f t="shared" si="0"/>
        <v>0.10271891662393375</v>
      </c>
      <c r="I8" s="42">
        <f t="shared" si="1"/>
        <v>13</v>
      </c>
      <c r="J8" s="42"/>
      <c r="K8" s="42"/>
      <c r="L8" s="43">
        <f t="shared" si="2"/>
        <v>0</v>
      </c>
      <c r="M8" s="42">
        <f t="shared" si="3"/>
        <v>0</v>
      </c>
      <c r="N8" s="44">
        <f t="shared" si="4"/>
        <v>13</v>
      </c>
      <c r="O8" s="71"/>
    </row>
    <row r="9" spans="1:15" x14ac:dyDescent="0.3">
      <c r="A9" s="39" t="s">
        <v>18</v>
      </c>
      <c r="B9" s="39">
        <f>VLOOKUP(A9,[1]d1!A8:$E$34,4,0)</f>
        <v>120</v>
      </c>
      <c r="C9" s="39">
        <f>O121</f>
        <v>81</v>
      </c>
      <c r="E9" s="42" t="s">
        <v>67</v>
      </c>
      <c r="F9" s="42" t="s">
        <v>74</v>
      </c>
      <c r="G9" s="42">
        <v>23264</v>
      </c>
      <c r="H9" s="43">
        <f t="shared" si="0"/>
        <v>0.12827596093935234</v>
      </c>
      <c r="I9" s="42">
        <f t="shared" si="1"/>
        <v>16</v>
      </c>
      <c r="J9" s="42" t="s">
        <v>74</v>
      </c>
      <c r="K9" s="42">
        <v>23264</v>
      </c>
      <c r="L9" s="43">
        <f t="shared" si="2"/>
        <v>0.27491343960861703</v>
      </c>
      <c r="M9" s="42">
        <f t="shared" si="3"/>
        <v>35</v>
      </c>
      <c r="N9" s="45">
        <f t="shared" si="4"/>
        <v>35</v>
      </c>
      <c r="O9" s="68">
        <f>SUM(N9:N11)</f>
        <v>128</v>
      </c>
    </row>
    <row r="10" spans="1:15" x14ac:dyDescent="0.3">
      <c r="A10" s="39" t="s">
        <v>23</v>
      </c>
      <c r="B10" s="39">
        <f>VLOOKUP(A10,[1]d1!A9:$E$34,4,0)</f>
        <v>78</v>
      </c>
      <c r="C10" s="39">
        <f>O138</f>
        <v>27</v>
      </c>
      <c r="E10" s="42" t="s">
        <v>67</v>
      </c>
      <c r="F10" s="42" t="s">
        <v>75</v>
      </c>
      <c r="G10" s="42">
        <v>35648</v>
      </c>
      <c r="H10" s="43">
        <f t="shared" si="0"/>
        <v>0.19656041332384938</v>
      </c>
      <c r="I10" s="42">
        <f t="shared" si="1"/>
        <v>24</v>
      </c>
      <c r="J10" s="42" t="s">
        <v>75</v>
      </c>
      <c r="K10" s="42">
        <v>35648</v>
      </c>
      <c r="L10" s="43">
        <f>K10/$K$12</f>
        <v>0.42125663235763328</v>
      </c>
      <c r="M10" s="42">
        <f t="shared" si="3"/>
        <v>54</v>
      </c>
      <c r="N10" s="45">
        <f t="shared" si="4"/>
        <v>54</v>
      </c>
      <c r="O10" s="68"/>
    </row>
    <row r="11" spans="1:15" x14ac:dyDescent="0.3">
      <c r="A11" s="39" t="s">
        <v>25</v>
      </c>
      <c r="B11" s="39">
        <f>VLOOKUP(A11,[1]d1!A10:$E$34,4,0)</f>
        <v>156</v>
      </c>
      <c r="C11" s="39">
        <f>O110</f>
        <v>162</v>
      </c>
      <c r="E11" s="42" t="s">
        <v>67</v>
      </c>
      <c r="F11" s="42" t="s">
        <v>76</v>
      </c>
      <c r="G11" s="42">
        <v>25711</v>
      </c>
      <c r="H11" s="43">
        <f t="shared" si="0"/>
        <v>0.14176853643877613</v>
      </c>
      <c r="I11" s="42">
        <f t="shared" si="1"/>
        <v>17</v>
      </c>
      <c r="J11" s="42" t="s">
        <v>76</v>
      </c>
      <c r="K11" s="42">
        <v>25711</v>
      </c>
      <c r="L11" s="43">
        <f t="shared" si="2"/>
        <v>0.3038299280337497</v>
      </c>
      <c r="M11" s="42">
        <f t="shared" si="3"/>
        <v>39</v>
      </c>
      <c r="N11" s="45">
        <f t="shared" si="4"/>
        <v>39</v>
      </c>
      <c r="O11" s="68"/>
    </row>
    <row r="12" spans="1:15" x14ac:dyDescent="0.3">
      <c r="A12" s="39" t="s">
        <v>26</v>
      </c>
      <c r="B12" s="39">
        <f>VLOOKUP(A12,[1]d1!A11:$E$34,4,0)</f>
        <v>177</v>
      </c>
      <c r="C12" s="39">
        <f>O59</f>
        <v>211</v>
      </c>
      <c r="E12" s="46"/>
      <c r="F12" s="46"/>
      <c r="G12" s="47">
        <f>SUM(G3:G11)</f>
        <v>181359</v>
      </c>
      <c r="H12" s="48"/>
      <c r="I12" s="48"/>
      <c r="J12" s="48"/>
      <c r="K12" s="47">
        <f>SUM(K9:K11)</f>
        <v>84623</v>
      </c>
      <c r="L12" s="48"/>
      <c r="M12" s="48"/>
      <c r="N12" s="48"/>
      <c r="O12" s="49">
        <f>SUM(O3:O11)</f>
        <v>195</v>
      </c>
    </row>
    <row r="13" spans="1:15" x14ac:dyDescent="0.3">
      <c r="A13" s="39" t="s">
        <v>27</v>
      </c>
      <c r="B13" s="39">
        <f>VLOOKUP(A13,[1]d1!A12:$E$34,4,0)</f>
        <v>127</v>
      </c>
      <c r="C13" s="39">
        <f>O9</f>
        <v>128</v>
      </c>
    </row>
    <row r="14" spans="1:15" x14ac:dyDescent="0.3">
      <c r="A14" s="39" t="s">
        <v>28</v>
      </c>
      <c r="B14" s="39">
        <f>VLOOKUP(A14,[1]d1!A13:$E$34,4,0)</f>
        <v>120</v>
      </c>
      <c r="C14" s="39">
        <f>O26</f>
        <v>121</v>
      </c>
    </row>
    <row r="15" spans="1:15" x14ac:dyDescent="0.3">
      <c r="A15" s="39" t="s">
        <v>29</v>
      </c>
      <c r="B15" s="39">
        <f>VLOOKUP(A15,[1]d1!A14:$E$34,4,0)</f>
        <v>135</v>
      </c>
      <c r="C15" s="39">
        <f>O127</f>
        <v>136</v>
      </c>
    </row>
    <row r="16" spans="1:15" x14ac:dyDescent="0.3">
      <c r="A16" s="39" t="s">
        <v>30</v>
      </c>
      <c r="B16" s="39">
        <f>VLOOKUP(A16,[1]d1!A15:$E$34,4,0)</f>
        <v>138</v>
      </c>
      <c r="C16" s="39">
        <f>O42</f>
        <v>139</v>
      </c>
    </row>
    <row r="17" spans="1:15" x14ac:dyDescent="0.3">
      <c r="A17" s="39" t="s">
        <v>31</v>
      </c>
      <c r="B17" s="39">
        <f>VLOOKUP(A17,[1]d1!A16:$E$34,4,0)</f>
        <v>119</v>
      </c>
      <c r="C17" s="39">
        <f>O144</f>
        <v>121</v>
      </c>
    </row>
    <row r="18" spans="1:15" x14ac:dyDescent="0.3">
      <c r="A18" s="39" t="s">
        <v>32</v>
      </c>
      <c r="B18" s="39">
        <f>VLOOKUP(A18,[1]d1!A17:$E$34,4,0)</f>
        <v>130</v>
      </c>
      <c r="C18" s="39">
        <f>O93</f>
        <v>132</v>
      </c>
      <c r="E18" s="32" t="s">
        <v>7</v>
      </c>
      <c r="F18" s="33">
        <f>B3</f>
        <v>99</v>
      </c>
      <c r="G18" s="33"/>
      <c r="H18" s="33"/>
      <c r="I18" s="34"/>
      <c r="J18" s="35" t="s">
        <v>28</v>
      </c>
      <c r="K18" s="36">
        <f>B14</f>
        <v>120</v>
      </c>
      <c r="L18" s="37"/>
      <c r="M18" s="37"/>
      <c r="N18" s="38"/>
      <c r="O18" s="69" t="s">
        <v>59</v>
      </c>
    </row>
    <row r="19" spans="1:15" x14ac:dyDescent="0.3">
      <c r="A19" s="39" t="s">
        <v>33</v>
      </c>
      <c r="B19" s="39">
        <f>VLOOKUP(A19,[1]d1!A18:$E$34,4,0)</f>
        <v>132</v>
      </c>
      <c r="C19" s="39">
        <f>O76</f>
        <v>134</v>
      </c>
      <c r="E19" s="40" t="s">
        <v>60</v>
      </c>
      <c r="F19" s="40" t="s">
        <v>61</v>
      </c>
      <c r="G19" s="40" t="s">
        <v>62</v>
      </c>
      <c r="H19" s="40" t="s">
        <v>63</v>
      </c>
      <c r="I19" s="40" t="s">
        <v>64</v>
      </c>
      <c r="J19" s="41" t="s">
        <v>61</v>
      </c>
      <c r="K19" s="41" t="s">
        <v>62</v>
      </c>
      <c r="L19" s="41" t="s">
        <v>63</v>
      </c>
      <c r="M19" s="41" t="s">
        <v>65</v>
      </c>
      <c r="N19" s="41" t="s">
        <v>66</v>
      </c>
      <c r="O19" s="70"/>
    </row>
    <row r="20" spans="1:15" x14ac:dyDescent="0.3">
      <c r="E20" s="42" t="s">
        <v>77</v>
      </c>
      <c r="F20" s="42" t="s">
        <v>78</v>
      </c>
      <c r="G20" s="42">
        <v>17098</v>
      </c>
      <c r="H20" s="43">
        <f>G20/$G$29</f>
        <v>0.10651698552819293</v>
      </c>
      <c r="I20" s="42">
        <f>ROUNDUP(H20*$F$18,0)</f>
        <v>11</v>
      </c>
      <c r="J20" s="42"/>
      <c r="K20" s="42"/>
      <c r="L20" s="43">
        <f>K20/$K$12</f>
        <v>0</v>
      </c>
      <c r="M20" s="42">
        <f>ROUNDUP(L20*$K$18,0)</f>
        <v>0</v>
      </c>
      <c r="N20" s="44">
        <f>MAX(I20,M20)</f>
        <v>11</v>
      </c>
      <c r="O20" s="71">
        <f>SUM(N20:N25)</f>
        <v>63</v>
      </c>
    </row>
    <row r="21" spans="1:15" x14ac:dyDescent="0.3">
      <c r="E21" s="42" t="s">
        <v>77</v>
      </c>
      <c r="F21" s="42" t="s">
        <v>79</v>
      </c>
      <c r="G21" s="42">
        <v>29184</v>
      </c>
      <c r="H21" s="43">
        <f>G21/$G$29</f>
        <v>0.18181025299185766</v>
      </c>
      <c r="I21" s="42">
        <f t="shared" ref="I21:I28" si="5">ROUNDUP(H21*$F$18,0)</f>
        <v>18</v>
      </c>
      <c r="J21" s="42"/>
      <c r="K21" s="42"/>
      <c r="L21" s="43">
        <f t="shared" ref="L21:L25" si="6">K21/$K$12</f>
        <v>0</v>
      </c>
      <c r="M21" s="42">
        <f t="shared" ref="M21:M28" si="7">ROUNDUP(L21*$K$18,0)</f>
        <v>0</v>
      </c>
      <c r="N21" s="44">
        <f t="shared" ref="N21:N28" si="8">MAX(I21,M21)</f>
        <v>18</v>
      </c>
      <c r="O21" s="71"/>
    </row>
    <row r="22" spans="1:15" x14ac:dyDescent="0.3">
      <c r="E22" s="42" t="s">
        <v>77</v>
      </c>
      <c r="F22" s="42" t="s">
        <v>80</v>
      </c>
      <c r="G22" s="42">
        <v>23238</v>
      </c>
      <c r="H22" s="43">
        <f t="shared" ref="H22:H28" si="9">G22/$G$29</f>
        <v>0.1447679090948735</v>
      </c>
      <c r="I22" s="42">
        <f t="shared" si="5"/>
        <v>15</v>
      </c>
      <c r="J22" s="42"/>
      <c r="K22" s="42"/>
      <c r="L22" s="43">
        <f t="shared" si="6"/>
        <v>0</v>
      </c>
      <c r="M22" s="42">
        <f t="shared" si="7"/>
        <v>0</v>
      </c>
      <c r="N22" s="44">
        <f t="shared" si="8"/>
        <v>15</v>
      </c>
      <c r="O22" s="71"/>
    </row>
    <row r="23" spans="1:15" x14ac:dyDescent="0.3">
      <c r="E23" s="42" t="s">
        <v>77</v>
      </c>
      <c r="F23" s="42" t="s">
        <v>81</v>
      </c>
      <c r="G23" s="42">
        <v>7461</v>
      </c>
      <c r="H23" s="43">
        <f t="shared" si="9"/>
        <v>4.6480478946417561E-2</v>
      </c>
      <c r="I23" s="42">
        <f t="shared" si="5"/>
        <v>5</v>
      </c>
      <c r="J23" s="42"/>
      <c r="K23" s="42"/>
      <c r="L23" s="43">
        <f t="shared" si="6"/>
        <v>0</v>
      </c>
      <c r="M23" s="42">
        <f t="shared" si="7"/>
        <v>0</v>
      </c>
      <c r="N23" s="44">
        <f t="shared" si="8"/>
        <v>5</v>
      </c>
      <c r="O23" s="71"/>
    </row>
    <row r="24" spans="1:15" x14ac:dyDescent="0.3">
      <c r="B24" s="31">
        <f>+B2+B13</f>
        <v>245</v>
      </c>
      <c r="E24" s="42" t="s">
        <v>77</v>
      </c>
      <c r="F24" s="42" t="s">
        <v>82</v>
      </c>
      <c r="G24" s="42">
        <v>17213</v>
      </c>
      <c r="H24" s="43">
        <f t="shared" si="9"/>
        <v>0.10723341162105421</v>
      </c>
      <c r="I24" s="42">
        <f t="shared" si="5"/>
        <v>11</v>
      </c>
      <c r="J24" s="42"/>
      <c r="K24" s="42"/>
      <c r="L24" s="43">
        <f t="shared" si="6"/>
        <v>0</v>
      </c>
      <c r="M24" s="42">
        <f t="shared" si="7"/>
        <v>0</v>
      </c>
      <c r="N24" s="44">
        <f t="shared" si="8"/>
        <v>11</v>
      </c>
      <c r="O24" s="71"/>
    </row>
    <row r="25" spans="1:15" x14ac:dyDescent="0.3">
      <c r="E25" s="42" t="s">
        <v>77</v>
      </c>
      <c r="F25" s="42" t="s">
        <v>83</v>
      </c>
      <c r="G25" s="42">
        <v>3667</v>
      </c>
      <c r="H25" s="43">
        <f t="shared" si="9"/>
        <v>2.2844647674107117E-2</v>
      </c>
      <c r="I25" s="42">
        <f t="shared" si="5"/>
        <v>3</v>
      </c>
      <c r="J25" s="42"/>
      <c r="K25" s="42"/>
      <c r="L25" s="43">
        <f t="shared" si="6"/>
        <v>0</v>
      </c>
      <c r="M25" s="42">
        <f t="shared" si="7"/>
        <v>0</v>
      </c>
      <c r="N25" s="44">
        <f t="shared" si="8"/>
        <v>3</v>
      </c>
      <c r="O25" s="71"/>
    </row>
    <row r="26" spans="1:15" x14ac:dyDescent="0.3">
      <c r="B26" s="31">
        <f>+B2/B24</f>
        <v>0.48163265306122449</v>
      </c>
      <c r="E26" s="42" t="s">
        <v>77</v>
      </c>
      <c r="F26" s="42" t="s">
        <v>84</v>
      </c>
      <c r="G26" s="42">
        <v>12988</v>
      </c>
      <c r="H26" s="43">
        <f t="shared" si="9"/>
        <v>8.0912539948541917E-2</v>
      </c>
      <c r="I26" s="42">
        <f t="shared" si="5"/>
        <v>9</v>
      </c>
      <c r="J26" s="42" t="s">
        <v>84</v>
      </c>
      <c r="K26" s="42">
        <v>12988</v>
      </c>
      <c r="L26" s="43">
        <f>K26/$K$29</f>
        <v>0.20728398608318171</v>
      </c>
      <c r="M26" s="42">
        <f t="shared" si="7"/>
        <v>25</v>
      </c>
      <c r="N26" s="45">
        <f t="shared" si="8"/>
        <v>25</v>
      </c>
      <c r="O26" s="68">
        <f>SUM(N26:N28)</f>
        <v>121</v>
      </c>
    </row>
    <row r="27" spans="1:15" x14ac:dyDescent="0.3">
      <c r="E27" s="42" t="s">
        <v>77</v>
      </c>
      <c r="F27" s="42" t="s">
        <v>85</v>
      </c>
      <c r="G27" s="42">
        <v>30990</v>
      </c>
      <c r="H27" s="43">
        <f t="shared" si="9"/>
        <v>0.1930612575458357</v>
      </c>
      <c r="I27" s="42">
        <f t="shared" si="5"/>
        <v>20</v>
      </c>
      <c r="J27" s="42" t="s">
        <v>85</v>
      </c>
      <c r="K27" s="42">
        <v>30990</v>
      </c>
      <c r="L27" s="43">
        <f t="shared" ref="L27:L28" si="10">K27/$K$29</f>
        <v>0.49458967729579623</v>
      </c>
      <c r="M27" s="42">
        <f t="shared" si="7"/>
        <v>60</v>
      </c>
      <c r="N27" s="45">
        <f t="shared" si="8"/>
        <v>60</v>
      </c>
      <c r="O27" s="68"/>
    </row>
    <row r="28" spans="1:15" x14ac:dyDescent="0.3">
      <c r="E28" s="42" t="s">
        <v>77</v>
      </c>
      <c r="F28" s="42" t="s">
        <v>86</v>
      </c>
      <c r="G28" s="42">
        <v>18680</v>
      </c>
      <c r="H28" s="43">
        <f t="shared" si="9"/>
        <v>0.11637251664911942</v>
      </c>
      <c r="I28" s="42">
        <f t="shared" si="5"/>
        <v>12</v>
      </c>
      <c r="J28" s="42" t="s">
        <v>86</v>
      </c>
      <c r="K28" s="42">
        <v>18680</v>
      </c>
      <c r="L28" s="43">
        <f t="shared" si="10"/>
        <v>0.29812633662102206</v>
      </c>
      <c r="M28" s="42">
        <f t="shared" si="7"/>
        <v>36</v>
      </c>
      <c r="N28" s="45">
        <f t="shared" si="8"/>
        <v>36</v>
      </c>
      <c r="O28" s="68"/>
    </row>
    <row r="29" spans="1:15" x14ac:dyDescent="0.3">
      <c r="E29" s="46"/>
      <c r="F29" s="46"/>
      <c r="G29" s="47">
        <f>SUM(G20:G28)</f>
        <v>160519</v>
      </c>
      <c r="H29" s="48"/>
      <c r="I29" s="48"/>
      <c r="J29" s="48"/>
      <c r="K29" s="47">
        <f>SUM(K26:K28)</f>
        <v>62658</v>
      </c>
      <c r="L29" s="48"/>
      <c r="M29" s="48"/>
      <c r="N29" s="48"/>
      <c r="O29" s="49">
        <f>SUM(O20:O28)</f>
        <v>184</v>
      </c>
    </row>
    <row r="34" spans="5:15" x14ac:dyDescent="0.3">
      <c r="E34" s="32" t="s">
        <v>8</v>
      </c>
      <c r="F34" s="33">
        <f>B4</f>
        <v>112</v>
      </c>
      <c r="G34" s="33"/>
      <c r="H34" s="33"/>
      <c r="I34" s="34"/>
      <c r="J34" s="35" t="s">
        <v>30</v>
      </c>
      <c r="K34" s="36">
        <f>B16</f>
        <v>138</v>
      </c>
      <c r="L34" s="37"/>
      <c r="M34" s="37"/>
      <c r="N34" s="38"/>
      <c r="O34" s="69" t="s">
        <v>59</v>
      </c>
    </row>
    <row r="35" spans="5:15" x14ac:dyDescent="0.3">
      <c r="E35" s="40" t="s">
        <v>60</v>
      </c>
      <c r="F35" s="40" t="s">
        <v>61</v>
      </c>
      <c r="G35" s="40" t="s">
        <v>62</v>
      </c>
      <c r="H35" s="40" t="s">
        <v>63</v>
      </c>
      <c r="I35" s="40" t="s">
        <v>64</v>
      </c>
      <c r="J35" s="41" t="s">
        <v>61</v>
      </c>
      <c r="K35" s="41" t="s">
        <v>62</v>
      </c>
      <c r="L35" s="41" t="s">
        <v>63</v>
      </c>
      <c r="M35" s="41" t="s">
        <v>65</v>
      </c>
      <c r="N35" s="41" t="s">
        <v>66</v>
      </c>
      <c r="O35" s="70"/>
    </row>
    <row r="36" spans="5:15" x14ac:dyDescent="0.3">
      <c r="E36" s="42" t="s">
        <v>87</v>
      </c>
      <c r="F36" s="42" t="s">
        <v>88</v>
      </c>
      <c r="G36" s="42">
        <v>894</v>
      </c>
      <c r="H36" s="43">
        <f>G36/$G$45</f>
        <v>7.6865536898037094E-3</v>
      </c>
      <c r="I36" s="50">
        <v>2</v>
      </c>
      <c r="J36" s="42"/>
      <c r="K36" s="42"/>
      <c r="L36" s="43"/>
      <c r="M36" s="42">
        <f>ROUNDUP(L36*$K$34,0)</f>
        <v>0</v>
      </c>
      <c r="N36" s="44">
        <f>MAX(I36,M36)</f>
        <v>2</v>
      </c>
      <c r="O36" s="71">
        <f>SUM(N36:N41)</f>
        <v>76</v>
      </c>
    </row>
    <row r="37" spans="5:15" x14ac:dyDescent="0.3">
      <c r="E37" s="42" t="s">
        <v>87</v>
      </c>
      <c r="F37" s="42" t="s">
        <v>89</v>
      </c>
      <c r="G37" s="42">
        <v>12160</v>
      </c>
      <c r="H37" s="43">
        <f t="shared" ref="H37:H44" si="11">G37/$G$45</f>
        <v>0.10455088687697216</v>
      </c>
      <c r="I37" s="42">
        <f t="shared" ref="I37:I44" si="12">ROUNDUP(H37*$F$34,0)</f>
        <v>12</v>
      </c>
      <c r="J37" s="42"/>
      <c r="K37" s="42"/>
      <c r="L37" s="43"/>
      <c r="M37" s="42">
        <f t="shared" ref="M37:M44" si="13">ROUNDUP(L37*$K$34,0)</f>
        <v>0</v>
      </c>
      <c r="N37" s="44">
        <f t="shared" ref="N37:N44" si="14">MAX(I37,M37)</f>
        <v>12</v>
      </c>
      <c r="O37" s="71"/>
    </row>
    <row r="38" spans="5:15" x14ac:dyDescent="0.3">
      <c r="E38" s="42" t="s">
        <v>87</v>
      </c>
      <c r="F38" s="42" t="s">
        <v>90</v>
      </c>
      <c r="G38" s="42">
        <v>21499</v>
      </c>
      <c r="H38" s="43">
        <f t="shared" si="11"/>
        <v>0.18484699975065988</v>
      </c>
      <c r="I38" s="42">
        <f t="shared" si="12"/>
        <v>21</v>
      </c>
      <c r="J38" s="42"/>
      <c r="K38" s="42"/>
      <c r="L38" s="43"/>
      <c r="M38" s="42">
        <f t="shared" si="13"/>
        <v>0</v>
      </c>
      <c r="N38" s="44">
        <f t="shared" si="14"/>
        <v>21</v>
      </c>
      <c r="O38" s="71"/>
    </row>
    <row r="39" spans="5:15" x14ac:dyDescent="0.3">
      <c r="E39" s="42" t="s">
        <v>87</v>
      </c>
      <c r="F39" s="42" t="s">
        <v>91</v>
      </c>
      <c r="G39" s="42">
        <v>14713</v>
      </c>
      <c r="H39" s="43">
        <f t="shared" si="11"/>
        <v>0.12650141436027065</v>
      </c>
      <c r="I39" s="42">
        <f t="shared" si="12"/>
        <v>15</v>
      </c>
      <c r="J39" s="42"/>
      <c r="K39" s="42"/>
      <c r="L39" s="43"/>
      <c r="M39" s="42">
        <f t="shared" si="13"/>
        <v>0</v>
      </c>
      <c r="N39" s="44">
        <f t="shared" si="14"/>
        <v>15</v>
      </c>
      <c r="O39" s="71"/>
    </row>
    <row r="40" spans="5:15" x14ac:dyDescent="0.3">
      <c r="E40" s="42" t="s">
        <v>87</v>
      </c>
      <c r="F40" s="42" t="s">
        <v>92</v>
      </c>
      <c r="G40" s="42">
        <v>21277</v>
      </c>
      <c r="H40" s="43">
        <f t="shared" si="11"/>
        <v>0.18293825823037307</v>
      </c>
      <c r="I40" s="42">
        <f t="shared" si="12"/>
        <v>21</v>
      </c>
      <c r="J40" s="42"/>
      <c r="K40" s="42"/>
      <c r="L40" s="43"/>
      <c r="M40" s="42">
        <f t="shared" si="13"/>
        <v>0</v>
      </c>
      <c r="N40" s="44">
        <f t="shared" si="14"/>
        <v>21</v>
      </c>
      <c r="O40" s="71"/>
    </row>
    <row r="41" spans="5:15" x14ac:dyDescent="0.3">
      <c r="E41" s="42" t="s">
        <v>87</v>
      </c>
      <c r="F41" s="42" t="s">
        <v>93</v>
      </c>
      <c r="G41" s="42">
        <v>4763</v>
      </c>
      <c r="H41" s="43">
        <f t="shared" si="11"/>
        <v>4.0951963338406117E-2</v>
      </c>
      <c r="I41" s="42">
        <f t="shared" si="12"/>
        <v>5</v>
      </c>
      <c r="J41" s="42"/>
      <c r="K41" s="42"/>
      <c r="L41" s="43"/>
      <c r="M41" s="42">
        <f t="shared" si="13"/>
        <v>0</v>
      </c>
      <c r="N41" s="44">
        <f t="shared" si="14"/>
        <v>5</v>
      </c>
      <c r="O41" s="71"/>
    </row>
    <row r="42" spans="5:15" x14ac:dyDescent="0.3">
      <c r="E42" s="42" t="s">
        <v>87</v>
      </c>
      <c r="F42" s="42" t="s">
        <v>94</v>
      </c>
      <c r="G42" s="42">
        <v>14842</v>
      </c>
      <c r="H42" s="43">
        <f t="shared" si="11"/>
        <v>0.12761054794638327</v>
      </c>
      <c r="I42" s="42">
        <f t="shared" si="12"/>
        <v>15</v>
      </c>
      <c r="J42" s="42" t="s">
        <v>94</v>
      </c>
      <c r="K42" s="42">
        <v>14842</v>
      </c>
      <c r="L42" s="43">
        <f>K42/$K$45</f>
        <v>0.36199117094705008</v>
      </c>
      <c r="M42" s="42">
        <f t="shared" si="13"/>
        <v>50</v>
      </c>
      <c r="N42" s="45">
        <f t="shared" si="14"/>
        <v>50</v>
      </c>
      <c r="O42" s="68">
        <f>SUM(N42:N44)</f>
        <v>139</v>
      </c>
    </row>
    <row r="43" spans="5:15" x14ac:dyDescent="0.3">
      <c r="E43" s="42" t="s">
        <v>87</v>
      </c>
      <c r="F43" s="42" t="s">
        <v>95</v>
      </c>
      <c r="G43" s="42">
        <v>19574</v>
      </c>
      <c r="H43" s="43">
        <f t="shared" si="11"/>
        <v>0.16829597530673132</v>
      </c>
      <c r="I43" s="42">
        <f t="shared" si="12"/>
        <v>19</v>
      </c>
      <c r="J43" s="42" t="s">
        <v>95</v>
      </c>
      <c r="K43" s="42">
        <v>19574</v>
      </c>
      <c r="L43" s="43">
        <f t="shared" ref="L43:L44" si="15">K43/$K$45</f>
        <v>0.47740299017097143</v>
      </c>
      <c r="M43" s="42">
        <f t="shared" si="13"/>
        <v>66</v>
      </c>
      <c r="N43" s="45">
        <f t="shared" si="14"/>
        <v>66</v>
      </c>
      <c r="O43" s="68"/>
    </row>
    <row r="44" spans="5:15" x14ac:dyDescent="0.3">
      <c r="E44" s="42" t="s">
        <v>87</v>
      </c>
      <c r="F44" s="42" t="s">
        <v>96</v>
      </c>
      <c r="G44" s="42">
        <v>6585</v>
      </c>
      <c r="H44" s="43">
        <f t="shared" si="11"/>
        <v>5.6617400500399803E-2</v>
      </c>
      <c r="I44" s="42">
        <f t="shared" si="12"/>
        <v>7</v>
      </c>
      <c r="J44" s="42" t="s">
        <v>96</v>
      </c>
      <c r="K44" s="42">
        <v>6585</v>
      </c>
      <c r="L44" s="43">
        <f t="shared" si="15"/>
        <v>0.16060583888197849</v>
      </c>
      <c r="M44" s="42">
        <f t="shared" si="13"/>
        <v>23</v>
      </c>
      <c r="N44" s="45">
        <f t="shared" si="14"/>
        <v>23</v>
      </c>
      <c r="O44" s="68"/>
    </row>
    <row r="45" spans="5:15" x14ac:dyDescent="0.3">
      <c r="E45" s="46"/>
      <c r="F45" s="46"/>
      <c r="G45" s="47">
        <f>SUM(G36:G44)</f>
        <v>116307</v>
      </c>
      <c r="H45" s="48"/>
      <c r="I45" s="48"/>
      <c r="J45" s="48"/>
      <c r="K45" s="47">
        <f>SUM(K36:K44)</f>
        <v>41001</v>
      </c>
      <c r="L45" s="48"/>
      <c r="M45" s="48"/>
      <c r="N45" s="48"/>
      <c r="O45" s="49">
        <f>SUM(O36:O44)</f>
        <v>215</v>
      </c>
    </row>
    <row r="51" spans="5:15" x14ac:dyDescent="0.3">
      <c r="E51" s="32" t="s">
        <v>9</v>
      </c>
      <c r="F51" s="33">
        <f>B5</f>
        <v>334</v>
      </c>
      <c r="G51" s="33"/>
      <c r="H51" s="33"/>
      <c r="I51" s="34"/>
      <c r="J51" s="35" t="s">
        <v>26</v>
      </c>
      <c r="K51" s="36">
        <f>B12</f>
        <v>177</v>
      </c>
      <c r="L51" s="37"/>
      <c r="M51" s="37"/>
      <c r="N51" s="38"/>
      <c r="O51" s="69" t="s">
        <v>59</v>
      </c>
    </row>
    <row r="52" spans="5:15" x14ac:dyDescent="0.3">
      <c r="E52" s="40" t="s">
        <v>60</v>
      </c>
      <c r="F52" s="40" t="s">
        <v>61</v>
      </c>
      <c r="G52" s="40" t="s">
        <v>62</v>
      </c>
      <c r="H52" s="40" t="s">
        <v>63</v>
      </c>
      <c r="I52" s="40" t="s">
        <v>64</v>
      </c>
      <c r="J52" s="41" t="s">
        <v>61</v>
      </c>
      <c r="K52" s="41" t="s">
        <v>62</v>
      </c>
      <c r="L52" s="41" t="s">
        <v>63</v>
      </c>
      <c r="M52" s="41" t="s">
        <v>65</v>
      </c>
      <c r="N52" s="41" t="s">
        <v>66</v>
      </c>
      <c r="O52" s="70"/>
    </row>
    <row r="53" spans="5:15" x14ac:dyDescent="0.3">
      <c r="E53" s="42" t="s">
        <v>97</v>
      </c>
      <c r="F53" s="42" t="s">
        <v>98</v>
      </c>
      <c r="G53" s="42">
        <v>135018</v>
      </c>
      <c r="H53" s="43">
        <f>G53/$G$62</f>
        <v>0.14388000089513397</v>
      </c>
      <c r="I53" s="42">
        <f>ROUNDUP(H53*$F$51,0)</f>
        <v>49</v>
      </c>
      <c r="J53" s="42"/>
      <c r="K53" s="42"/>
      <c r="L53" s="43">
        <f>K53/$K$62</f>
        <v>0</v>
      </c>
      <c r="M53" s="42">
        <f>ROUNDUP(L53*$K$51,0)</f>
        <v>0</v>
      </c>
      <c r="N53" s="44">
        <f>MAX(I53,M53)</f>
        <v>49</v>
      </c>
      <c r="O53" s="71">
        <f>SUM(N53:N58)</f>
        <v>128</v>
      </c>
    </row>
    <row r="54" spans="5:15" x14ac:dyDescent="0.3">
      <c r="E54" s="42" t="s">
        <v>97</v>
      </c>
      <c r="F54" s="42" t="s">
        <v>99</v>
      </c>
      <c r="G54" s="42">
        <v>88007</v>
      </c>
      <c r="H54" s="43">
        <f t="shared" ref="H54:H61" si="16">G54/$G$62</f>
        <v>9.3783401018960849E-2</v>
      </c>
      <c r="I54" s="42">
        <f t="shared" ref="I54:I61" si="17">ROUNDUP(H54*$F$51,0)</f>
        <v>32</v>
      </c>
      <c r="J54" s="42"/>
      <c r="K54" s="42"/>
      <c r="L54" s="43">
        <f t="shared" ref="L54:L61" si="18">K54/$K$62</f>
        <v>0</v>
      </c>
      <c r="M54" s="42">
        <f t="shared" ref="M54:M61" si="19">ROUNDUP(L54*$K$51,0)</f>
        <v>0</v>
      </c>
      <c r="N54" s="44">
        <f t="shared" ref="N54:N61" si="20">MAX(I54,M54)</f>
        <v>32</v>
      </c>
      <c r="O54" s="71"/>
    </row>
    <row r="55" spans="5:15" x14ac:dyDescent="0.3">
      <c r="E55" s="42" t="s">
        <v>97</v>
      </c>
      <c r="F55" s="42" t="s">
        <v>100</v>
      </c>
      <c r="G55" s="42">
        <v>20529</v>
      </c>
      <c r="H55" s="43">
        <f t="shared" si="16"/>
        <v>2.1876435278082963E-2</v>
      </c>
      <c r="I55" s="42">
        <f t="shared" si="17"/>
        <v>8</v>
      </c>
      <c r="J55" s="42"/>
      <c r="K55" s="42"/>
      <c r="L55" s="43">
        <f t="shared" si="18"/>
        <v>0</v>
      </c>
      <c r="M55" s="42">
        <f t="shared" si="19"/>
        <v>0</v>
      </c>
      <c r="N55" s="44">
        <f t="shared" si="20"/>
        <v>8</v>
      </c>
      <c r="O55" s="71"/>
    </row>
    <row r="56" spans="5:15" x14ac:dyDescent="0.3">
      <c r="E56" s="42" t="s">
        <v>97</v>
      </c>
      <c r="F56" s="42" t="s">
        <v>101</v>
      </c>
      <c r="G56" s="42">
        <v>15011</v>
      </c>
      <c r="H56" s="43">
        <f t="shared" si="16"/>
        <v>1.5996257487422835E-2</v>
      </c>
      <c r="I56" s="42">
        <f t="shared" si="17"/>
        <v>6</v>
      </c>
      <c r="J56" s="42"/>
      <c r="K56" s="42"/>
      <c r="L56" s="43">
        <f t="shared" si="18"/>
        <v>0</v>
      </c>
      <c r="M56" s="42">
        <f t="shared" si="19"/>
        <v>0</v>
      </c>
      <c r="N56" s="44">
        <f t="shared" si="20"/>
        <v>6</v>
      </c>
      <c r="O56" s="71"/>
    </row>
    <row r="57" spans="5:15" x14ac:dyDescent="0.3">
      <c r="E57" s="42" t="s">
        <v>97</v>
      </c>
      <c r="F57" s="42" t="s">
        <v>102</v>
      </c>
      <c r="G57" s="42">
        <v>42091</v>
      </c>
      <c r="H57" s="43">
        <f t="shared" si="16"/>
        <v>4.4853672233902776E-2</v>
      </c>
      <c r="I57" s="42">
        <f t="shared" si="17"/>
        <v>15</v>
      </c>
      <c r="J57" s="42"/>
      <c r="K57" s="42"/>
      <c r="L57" s="43">
        <f t="shared" si="18"/>
        <v>0</v>
      </c>
      <c r="M57" s="42">
        <f t="shared" si="19"/>
        <v>0</v>
      </c>
      <c r="N57" s="44">
        <f t="shared" si="20"/>
        <v>15</v>
      </c>
      <c r="O57" s="71"/>
    </row>
    <row r="58" spans="5:15" x14ac:dyDescent="0.3">
      <c r="E58" s="42" t="s">
        <v>97</v>
      </c>
      <c r="F58" s="42" t="s">
        <v>103</v>
      </c>
      <c r="G58" s="42">
        <v>47979</v>
      </c>
      <c r="H58" s="43">
        <f t="shared" si="16"/>
        <v>5.1128135233432827E-2</v>
      </c>
      <c r="I58" s="42">
        <f t="shared" si="17"/>
        <v>18</v>
      </c>
      <c r="J58" s="42"/>
      <c r="K58" s="42"/>
      <c r="L58" s="43">
        <f t="shared" si="18"/>
        <v>0</v>
      </c>
      <c r="M58" s="42">
        <f t="shared" si="19"/>
        <v>0</v>
      </c>
      <c r="N58" s="44">
        <f t="shared" si="20"/>
        <v>18</v>
      </c>
      <c r="O58" s="71"/>
    </row>
    <row r="59" spans="5:15" x14ac:dyDescent="0.3">
      <c r="E59" s="42" t="s">
        <v>97</v>
      </c>
      <c r="F59" s="42" t="s">
        <v>104</v>
      </c>
      <c r="G59" s="42">
        <v>149932</v>
      </c>
      <c r="H59" s="43">
        <f t="shared" si="16"/>
        <v>0.15977289171969092</v>
      </c>
      <c r="I59" s="42">
        <f t="shared" si="17"/>
        <v>54</v>
      </c>
      <c r="J59" s="42" t="s">
        <v>104</v>
      </c>
      <c r="K59" s="42">
        <v>149932</v>
      </c>
      <c r="L59" s="43">
        <f t="shared" si="18"/>
        <v>0.25422027495371091</v>
      </c>
      <c r="M59" s="42">
        <f t="shared" si="19"/>
        <v>45</v>
      </c>
      <c r="N59" s="45">
        <f t="shared" si="20"/>
        <v>54</v>
      </c>
      <c r="O59" s="68">
        <f>SUM(N59:N61)</f>
        <v>211</v>
      </c>
    </row>
    <row r="60" spans="5:15" x14ac:dyDescent="0.3">
      <c r="E60" s="42" t="s">
        <v>97</v>
      </c>
      <c r="F60" s="42" t="s">
        <v>105</v>
      </c>
      <c r="G60" s="42">
        <v>341907</v>
      </c>
      <c r="H60" s="43">
        <f t="shared" si="16"/>
        <v>0.36434830515970151</v>
      </c>
      <c r="I60" s="42">
        <f t="shared" si="17"/>
        <v>122</v>
      </c>
      <c r="J60" s="42" t="s">
        <v>105</v>
      </c>
      <c r="K60" s="42">
        <v>341907</v>
      </c>
      <c r="L60" s="43">
        <f t="shared" si="18"/>
        <v>0.57972742008776268</v>
      </c>
      <c r="M60" s="42">
        <f t="shared" si="19"/>
        <v>103</v>
      </c>
      <c r="N60" s="45">
        <f t="shared" si="20"/>
        <v>122</v>
      </c>
      <c r="O60" s="68"/>
    </row>
    <row r="61" spans="5:15" x14ac:dyDescent="0.3">
      <c r="E61" s="42" t="s">
        <v>97</v>
      </c>
      <c r="F61" s="42" t="s">
        <v>106</v>
      </c>
      <c r="G61" s="42">
        <v>97933</v>
      </c>
      <c r="H61" s="43">
        <f t="shared" si="16"/>
        <v>0.10436090097367134</v>
      </c>
      <c r="I61" s="42">
        <f t="shared" si="17"/>
        <v>35</v>
      </c>
      <c r="J61" s="42" t="s">
        <v>106</v>
      </c>
      <c r="K61" s="42">
        <v>97933</v>
      </c>
      <c r="L61" s="43">
        <f t="shared" si="18"/>
        <v>0.16605230495852635</v>
      </c>
      <c r="M61" s="42">
        <f t="shared" si="19"/>
        <v>30</v>
      </c>
      <c r="N61" s="45">
        <f t="shared" si="20"/>
        <v>35</v>
      </c>
      <c r="O61" s="68"/>
    </row>
    <row r="62" spans="5:15" x14ac:dyDescent="0.3">
      <c r="E62" s="46"/>
      <c r="F62" s="46"/>
      <c r="G62" s="47">
        <f>SUM(G53:G61)</f>
        <v>938407</v>
      </c>
      <c r="H62" s="48"/>
      <c r="I62" s="48"/>
      <c r="J62" s="48"/>
      <c r="K62" s="47">
        <f>SUM(K59:K61)</f>
        <v>589772</v>
      </c>
      <c r="L62" s="48"/>
      <c r="M62" s="48"/>
      <c r="N62" s="48"/>
      <c r="O62" s="49">
        <f>SUM(O53:O61)</f>
        <v>339</v>
      </c>
    </row>
    <row r="64" spans="5:15" x14ac:dyDescent="0.3">
      <c r="J64" s="31">
        <f>K62/G62</f>
        <v>0.62848209785306375</v>
      </c>
    </row>
    <row r="68" spans="5:15" x14ac:dyDescent="0.3">
      <c r="E68" s="32" t="s">
        <v>11</v>
      </c>
      <c r="F68" s="33">
        <f>B6</f>
        <v>109</v>
      </c>
      <c r="G68" s="33"/>
      <c r="H68" s="33"/>
      <c r="I68" s="34"/>
      <c r="J68" s="35" t="s">
        <v>33</v>
      </c>
      <c r="K68" s="36">
        <f>B19</f>
        <v>132</v>
      </c>
      <c r="L68" s="37"/>
      <c r="M68" s="37"/>
      <c r="N68" s="38"/>
      <c r="O68" s="69" t="s">
        <v>59</v>
      </c>
    </row>
    <row r="69" spans="5:15" x14ac:dyDescent="0.3">
      <c r="E69" s="40" t="s">
        <v>60</v>
      </c>
      <c r="F69" s="40" t="s">
        <v>61</v>
      </c>
      <c r="G69" s="40" t="s">
        <v>62</v>
      </c>
      <c r="H69" s="40" t="s">
        <v>63</v>
      </c>
      <c r="I69" s="40" t="s">
        <v>64</v>
      </c>
      <c r="J69" s="41" t="s">
        <v>61</v>
      </c>
      <c r="K69" s="41" t="s">
        <v>62</v>
      </c>
      <c r="L69" s="41" t="s">
        <v>63</v>
      </c>
      <c r="M69" s="41" t="s">
        <v>65</v>
      </c>
      <c r="N69" s="41" t="s">
        <v>66</v>
      </c>
      <c r="O69" s="70"/>
    </row>
    <row r="70" spans="5:15" x14ac:dyDescent="0.3">
      <c r="E70" s="42" t="s">
        <v>107</v>
      </c>
      <c r="F70" s="42" t="s">
        <v>108</v>
      </c>
      <c r="G70" s="42">
        <v>9896</v>
      </c>
      <c r="H70" s="43">
        <f>G70/$G$79</f>
        <v>8.9211019760565419E-2</v>
      </c>
      <c r="I70" s="42">
        <f>ROUNDUP(H70*$F$68,0)</f>
        <v>10</v>
      </c>
      <c r="J70" s="42"/>
      <c r="K70" s="42"/>
      <c r="L70" s="43">
        <f>K70/$K$79</f>
        <v>0</v>
      </c>
      <c r="M70" s="42">
        <f>ROUNDUP(L70*$K$68,0)</f>
        <v>0</v>
      </c>
      <c r="N70" s="44">
        <f>MAX(I70,M70)</f>
        <v>10</v>
      </c>
      <c r="O70" s="71">
        <f>SUM(N70:N75)</f>
        <v>72</v>
      </c>
    </row>
    <row r="71" spans="5:15" x14ac:dyDescent="0.3">
      <c r="E71" s="42" t="s">
        <v>107</v>
      </c>
      <c r="F71" s="42" t="s">
        <v>109</v>
      </c>
      <c r="G71" s="42">
        <v>8041</v>
      </c>
      <c r="H71" s="43">
        <f t="shared" ref="H71:H78" si="21">G71/$G$79</f>
        <v>7.2488460983701139E-2</v>
      </c>
      <c r="I71" s="42">
        <f t="shared" ref="I71:I78" si="22">ROUNDUP(H71*$F$68,0)</f>
        <v>8</v>
      </c>
      <c r="J71" s="42"/>
      <c r="K71" s="42"/>
      <c r="L71" s="43">
        <f t="shared" ref="L71:L78" si="23">K71/$K$79</f>
        <v>0</v>
      </c>
      <c r="M71" s="42">
        <f t="shared" ref="M71:M78" si="24">ROUNDUP(L71*$K$68,0)</f>
        <v>0</v>
      </c>
      <c r="N71" s="44">
        <f t="shared" ref="N71:N78" si="25">MAX(I71,M71)</f>
        <v>8</v>
      </c>
      <c r="O71" s="71"/>
    </row>
    <row r="72" spans="5:15" x14ac:dyDescent="0.3">
      <c r="E72" s="42" t="s">
        <v>107</v>
      </c>
      <c r="F72" s="42" t="s">
        <v>110</v>
      </c>
      <c r="G72" s="42">
        <v>143</v>
      </c>
      <c r="H72" s="43">
        <f t="shared" si="21"/>
        <v>1.2891244771383239E-3</v>
      </c>
      <c r="I72" s="50">
        <v>2</v>
      </c>
      <c r="J72" s="42"/>
      <c r="K72" s="42"/>
      <c r="L72" s="43">
        <f t="shared" si="23"/>
        <v>0</v>
      </c>
      <c r="M72" s="42">
        <f t="shared" si="24"/>
        <v>0</v>
      </c>
      <c r="N72" s="44">
        <v>2</v>
      </c>
      <c r="O72" s="71"/>
    </row>
    <row r="73" spans="5:15" x14ac:dyDescent="0.3">
      <c r="E73" s="42" t="s">
        <v>107</v>
      </c>
      <c r="F73" s="42" t="s">
        <v>111</v>
      </c>
      <c r="G73" s="42">
        <v>22971</v>
      </c>
      <c r="H73" s="43">
        <f t="shared" si="21"/>
        <v>0.20708026828212894</v>
      </c>
      <c r="I73" s="42">
        <f t="shared" si="22"/>
        <v>23</v>
      </c>
      <c r="J73" s="42"/>
      <c r="K73" s="42"/>
      <c r="L73" s="43">
        <f t="shared" si="23"/>
        <v>0</v>
      </c>
      <c r="M73" s="42">
        <f t="shared" si="24"/>
        <v>0</v>
      </c>
      <c r="N73" s="44">
        <f t="shared" si="25"/>
        <v>23</v>
      </c>
      <c r="O73" s="71"/>
    </row>
    <row r="74" spans="5:15" x14ac:dyDescent="0.3">
      <c r="E74" s="42" t="s">
        <v>107</v>
      </c>
      <c r="F74" s="42" t="s">
        <v>112</v>
      </c>
      <c r="G74" s="42">
        <v>18571</v>
      </c>
      <c r="H74" s="43">
        <f t="shared" si="21"/>
        <v>0.1674148997547959</v>
      </c>
      <c r="I74" s="42">
        <f t="shared" si="22"/>
        <v>19</v>
      </c>
      <c r="J74" s="42"/>
      <c r="K74" s="42"/>
      <c r="L74" s="43">
        <f t="shared" si="23"/>
        <v>0</v>
      </c>
      <c r="M74" s="42">
        <f t="shared" si="24"/>
        <v>0</v>
      </c>
      <c r="N74" s="44">
        <f t="shared" si="25"/>
        <v>19</v>
      </c>
      <c r="O74" s="71"/>
    </row>
    <row r="75" spans="5:15" x14ac:dyDescent="0.3">
      <c r="E75" s="42" t="s">
        <v>107</v>
      </c>
      <c r="F75" s="42" t="s">
        <v>113</v>
      </c>
      <c r="G75" s="42">
        <v>9438</v>
      </c>
      <c r="H75" s="43">
        <f t="shared" si="21"/>
        <v>8.5082215491129376E-2</v>
      </c>
      <c r="I75" s="42">
        <f t="shared" si="22"/>
        <v>10</v>
      </c>
      <c r="J75" s="42"/>
      <c r="K75" s="42"/>
      <c r="L75" s="43">
        <f t="shared" si="23"/>
        <v>0</v>
      </c>
      <c r="M75" s="42">
        <f t="shared" si="24"/>
        <v>0</v>
      </c>
      <c r="N75" s="44">
        <f t="shared" si="25"/>
        <v>10</v>
      </c>
      <c r="O75" s="71"/>
    </row>
    <row r="76" spans="5:15" x14ac:dyDescent="0.3">
      <c r="E76" s="42" t="s">
        <v>107</v>
      </c>
      <c r="F76" s="42" t="s">
        <v>114</v>
      </c>
      <c r="G76" s="42">
        <v>5096</v>
      </c>
      <c r="H76" s="43">
        <f t="shared" si="21"/>
        <v>4.5939708639838456E-2</v>
      </c>
      <c r="I76" s="42">
        <f t="shared" si="22"/>
        <v>6</v>
      </c>
      <c r="J76" s="42" t="s">
        <v>114</v>
      </c>
      <c r="K76" s="42">
        <v>5096</v>
      </c>
      <c r="L76" s="43">
        <f t="shared" si="23"/>
        <v>0.12171586892137193</v>
      </c>
      <c r="M76" s="42">
        <f t="shared" si="24"/>
        <v>17</v>
      </c>
      <c r="N76" s="45">
        <f t="shared" si="25"/>
        <v>17</v>
      </c>
      <c r="O76" s="68">
        <f>SUM(N76:N78)</f>
        <v>134</v>
      </c>
    </row>
    <row r="77" spans="5:15" x14ac:dyDescent="0.3">
      <c r="E77" s="42" t="s">
        <v>107</v>
      </c>
      <c r="F77" s="42" t="s">
        <v>115</v>
      </c>
      <c r="G77" s="42">
        <v>13219</v>
      </c>
      <c r="H77" s="43">
        <f t="shared" si="21"/>
        <v>0.11916738785518534</v>
      </c>
      <c r="I77" s="42">
        <f t="shared" si="22"/>
        <v>13</v>
      </c>
      <c r="J77" s="42" t="s">
        <v>115</v>
      </c>
      <c r="K77" s="42">
        <v>13219</v>
      </c>
      <c r="L77" s="43">
        <f t="shared" si="23"/>
        <v>0.31573039075188686</v>
      </c>
      <c r="M77" s="42">
        <f t="shared" si="24"/>
        <v>42</v>
      </c>
      <c r="N77" s="45">
        <f t="shared" si="25"/>
        <v>42</v>
      </c>
      <c r="O77" s="68"/>
    </row>
    <row r="78" spans="5:15" x14ac:dyDescent="0.3">
      <c r="E78" s="42" t="s">
        <v>107</v>
      </c>
      <c r="F78" s="42" t="s">
        <v>116</v>
      </c>
      <c r="G78" s="42">
        <v>23553</v>
      </c>
      <c r="H78" s="43">
        <f t="shared" si="21"/>
        <v>0.2123269147555171</v>
      </c>
      <c r="I78" s="42">
        <f t="shared" si="22"/>
        <v>24</v>
      </c>
      <c r="J78" s="42" t="s">
        <v>116</v>
      </c>
      <c r="K78" s="42">
        <v>23553</v>
      </c>
      <c r="L78" s="43">
        <f t="shared" si="23"/>
        <v>0.56255374032674121</v>
      </c>
      <c r="M78" s="42">
        <f t="shared" si="24"/>
        <v>75</v>
      </c>
      <c r="N78" s="45">
        <f t="shared" si="25"/>
        <v>75</v>
      </c>
      <c r="O78" s="68"/>
    </row>
    <row r="79" spans="5:15" x14ac:dyDescent="0.3">
      <c r="E79" s="46"/>
      <c r="F79" s="46"/>
      <c r="G79" s="47">
        <f>SUM(G70:G78)</f>
        <v>110928</v>
      </c>
      <c r="H79" s="48"/>
      <c r="I79" s="48"/>
      <c r="J79" s="48"/>
      <c r="K79" s="47">
        <f>SUM(K70:K78)</f>
        <v>41868</v>
      </c>
      <c r="L79" s="48"/>
      <c r="M79" s="48"/>
      <c r="N79" s="48"/>
      <c r="O79" s="49">
        <f>SUM(O70:O78)</f>
        <v>206</v>
      </c>
    </row>
    <row r="85" spans="5:15" x14ac:dyDescent="0.3">
      <c r="E85" s="32" t="s">
        <v>13</v>
      </c>
      <c r="F85" s="33">
        <f>B7</f>
        <v>180</v>
      </c>
      <c r="G85" s="33"/>
      <c r="H85" s="33"/>
      <c r="I85" s="34"/>
      <c r="J85" s="35" t="s">
        <v>32</v>
      </c>
      <c r="K85" s="36">
        <f>B18</f>
        <v>130</v>
      </c>
      <c r="L85" s="37"/>
      <c r="M85" s="37"/>
      <c r="N85" s="38"/>
      <c r="O85" s="69" t="s">
        <v>59</v>
      </c>
    </row>
    <row r="86" spans="5:15" x14ac:dyDescent="0.3">
      <c r="E86" s="40" t="s">
        <v>60</v>
      </c>
      <c r="F86" s="40" t="s">
        <v>61</v>
      </c>
      <c r="G86" s="40" t="s">
        <v>62</v>
      </c>
      <c r="H86" s="40" t="s">
        <v>63</v>
      </c>
      <c r="I86" s="40" t="s">
        <v>64</v>
      </c>
      <c r="J86" s="41" t="s">
        <v>61</v>
      </c>
      <c r="K86" s="41" t="s">
        <v>62</v>
      </c>
      <c r="L86" s="41" t="s">
        <v>63</v>
      </c>
      <c r="M86" s="41" t="s">
        <v>65</v>
      </c>
      <c r="N86" s="41" t="s">
        <v>66</v>
      </c>
      <c r="O86" s="70"/>
    </row>
    <row r="87" spans="5:15" x14ac:dyDescent="0.3">
      <c r="E87" s="42" t="s">
        <v>117</v>
      </c>
      <c r="F87" s="42" t="s">
        <v>118</v>
      </c>
      <c r="G87" s="42">
        <v>46165</v>
      </c>
      <c r="H87" s="43">
        <f>G87/$G$96</f>
        <v>0.14425615818961882</v>
      </c>
      <c r="I87" s="42">
        <f>ROUNDUP(H87*$F$85,0)</f>
        <v>26</v>
      </c>
      <c r="J87" s="42"/>
      <c r="K87" s="42"/>
      <c r="L87" s="43">
        <f>K87/$K$96</f>
        <v>0</v>
      </c>
      <c r="M87" s="42">
        <f>ROUNDUP(L87*$K$85,0)</f>
        <v>0</v>
      </c>
      <c r="N87" s="44">
        <f>MAX(I87,M87)</f>
        <v>26</v>
      </c>
      <c r="O87" s="71">
        <f>SUM(N87:N92)</f>
        <v>152</v>
      </c>
    </row>
    <row r="88" spans="5:15" x14ac:dyDescent="0.3">
      <c r="E88" s="42" t="s">
        <v>117</v>
      </c>
      <c r="F88" s="42" t="s">
        <v>119</v>
      </c>
      <c r="G88" s="42">
        <v>68361</v>
      </c>
      <c r="H88" s="43">
        <f t="shared" ref="H88:H95" si="26">G88/$G$96</f>
        <v>0.21361410657425606</v>
      </c>
      <c r="I88" s="42">
        <f t="shared" ref="I88:I95" si="27">ROUNDUP(H88*$F$85,0)</f>
        <v>39</v>
      </c>
      <c r="J88" s="42"/>
      <c r="K88" s="42"/>
      <c r="L88" s="43">
        <f t="shared" ref="L88:L95" si="28">K88/$K$96</f>
        <v>0</v>
      </c>
      <c r="M88" s="42">
        <f t="shared" ref="M88:M95" si="29">ROUNDUP(L88*$K$85,0)</f>
        <v>0</v>
      </c>
      <c r="N88" s="44">
        <f t="shared" ref="N88:N95" si="30">MAX(I88,M88)</f>
        <v>39</v>
      </c>
      <c r="O88" s="71"/>
    </row>
    <row r="89" spans="5:15" x14ac:dyDescent="0.3">
      <c r="E89" s="42" t="s">
        <v>117</v>
      </c>
      <c r="F89" s="42" t="s">
        <v>120</v>
      </c>
      <c r="G89" s="42">
        <v>37691</v>
      </c>
      <c r="H89" s="43">
        <f t="shared" si="26"/>
        <v>0.11777664590761232</v>
      </c>
      <c r="I89" s="42">
        <f t="shared" si="27"/>
        <v>22</v>
      </c>
      <c r="J89" s="42"/>
      <c r="K89" s="42"/>
      <c r="L89" s="43">
        <f t="shared" si="28"/>
        <v>0</v>
      </c>
      <c r="M89" s="42">
        <f t="shared" si="29"/>
        <v>0</v>
      </c>
      <c r="N89" s="44">
        <f t="shared" si="30"/>
        <v>22</v>
      </c>
      <c r="O89" s="71"/>
    </row>
    <row r="90" spans="5:15" x14ac:dyDescent="0.3">
      <c r="E90" s="42" t="s">
        <v>117</v>
      </c>
      <c r="F90" s="42" t="s">
        <v>121</v>
      </c>
      <c r="G90" s="42">
        <v>51845</v>
      </c>
      <c r="H90" s="43">
        <f t="shared" si="26"/>
        <v>0.16200499342230665</v>
      </c>
      <c r="I90" s="42">
        <f t="shared" si="27"/>
        <v>30</v>
      </c>
      <c r="J90" s="42"/>
      <c r="K90" s="42"/>
      <c r="L90" s="43">
        <f t="shared" si="28"/>
        <v>0</v>
      </c>
      <c r="M90" s="42">
        <f t="shared" si="29"/>
        <v>0</v>
      </c>
      <c r="N90" s="44">
        <f t="shared" si="30"/>
        <v>30</v>
      </c>
      <c r="O90" s="71"/>
    </row>
    <row r="91" spans="5:15" x14ac:dyDescent="0.3">
      <c r="E91" s="42" t="s">
        <v>117</v>
      </c>
      <c r="F91" s="42" t="s">
        <v>122</v>
      </c>
      <c r="G91" s="42">
        <v>47713</v>
      </c>
      <c r="H91" s="43">
        <f t="shared" si="26"/>
        <v>0.1490933407495133</v>
      </c>
      <c r="I91" s="42">
        <f t="shared" si="27"/>
        <v>27</v>
      </c>
      <c r="J91" s="42"/>
      <c r="K91" s="42"/>
      <c r="L91" s="43">
        <f t="shared" si="28"/>
        <v>0</v>
      </c>
      <c r="M91" s="42">
        <f t="shared" si="29"/>
        <v>0</v>
      </c>
      <c r="N91" s="44">
        <f t="shared" si="30"/>
        <v>27</v>
      </c>
      <c r="O91" s="71"/>
    </row>
    <row r="92" spans="5:15" x14ac:dyDescent="0.3">
      <c r="E92" s="42" t="s">
        <v>117</v>
      </c>
      <c r="F92" s="42" t="s">
        <v>123</v>
      </c>
      <c r="G92" s="42">
        <v>13282</v>
      </c>
      <c r="H92" s="43">
        <f t="shared" si="26"/>
        <v>4.150352633108452E-2</v>
      </c>
      <c r="I92" s="42">
        <f t="shared" si="27"/>
        <v>8</v>
      </c>
      <c r="J92" s="42"/>
      <c r="K92" s="42"/>
      <c r="L92" s="43">
        <f t="shared" si="28"/>
        <v>0</v>
      </c>
      <c r="M92" s="42">
        <f t="shared" si="29"/>
        <v>0</v>
      </c>
      <c r="N92" s="44">
        <f t="shared" si="30"/>
        <v>8</v>
      </c>
      <c r="O92" s="71"/>
    </row>
    <row r="93" spans="5:15" x14ac:dyDescent="0.3">
      <c r="E93" s="42" t="s">
        <v>117</v>
      </c>
      <c r="F93" s="42" t="s">
        <v>124</v>
      </c>
      <c r="G93" s="42">
        <v>6210</v>
      </c>
      <c r="H93" s="43">
        <f t="shared" si="26"/>
        <v>1.940497654841401E-2</v>
      </c>
      <c r="I93" s="42">
        <f t="shared" si="27"/>
        <v>4</v>
      </c>
      <c r="J93" s="42" t="s">
        <v>124</v>
      </c>
      <c r="K93" s="42">
        <v>6210</v>
      </c>
      <c r="L93" s="43">
        <f t="shared" si="28"/>
        <v>0.11298304344661961</v>
      </c>
      <c r="M93" s="42">
        <f t="shared" si="29"/>
        <v>15</v>
      </c>
      <c r="N93" s="45">
        <f t="shared" si="30"/>
        <v>15</v>
      </c>
      <c r="O93" s="68">
        <f>SUM(N93:N95)</f>
        <v>132</v>
      </c>
    </row>
    <row r="94" spans="5:15" x14ac:dyDescent="0.3">
      <c r="E94" s="42" t="s">
        <v>117</v>
      </c>
      <c r="F94" s="42" t="s">
        <v>125</v>
      </c>
      <c r="G94" s="42">
        <v>27130</v>
      </c>
      <c r="H94" s="43">
        <f t="shared" si="26"/>
        <v>8.4775686595567168E-2</v>
      </c>
      <c r="I94" s="42">
        <f t="shared" si="27"/>
        <v>16</v>
      </c>
      <c r="J94" s="42" t="s">
        <v>125</v>
      </c>
      <c r="K94" s="42">
        <v>27130</v>
      </c>
      <c r="L94" s="43">
        <f t="shared" si="28"/>
        <v>0.4935958081653446</v>
      </c>
      <c r="M94" s="42">
        <f t="shared" si="29"/>
        <v>65</v>
      </c>
      <c r="N94" s="45">
        <f t="shared" si="30"/>
        <v>65</v>
      </c>
      <c r="O94" s="68"/>
    </row>
    <row r="95" spans="5:15" x14ac:dyDescent="0.3">
      <c r="E95" s="42" t="s">
        <v>117</v>
      </c>
      <c r="F95" s="42" t="s">
        <v>126</v>
      </c>
      <c r="G95" s="42">
        <v>21624</v>
      </c>
      <c r="H95" s="43">
        <f t="shared" si="26"/>
        <v>6.7570565681627143E-2</v>
      </c>
      <c r="I95" s="42">
        <f t="shared" si="27"/>
        <v>13</v>
      </c>
      <c r="J95" s="42" t="s">
        <v>126</v>
      </c>
      <c r="K95" s="42">
        <v>21624</v>
      </c>
      <c r="L95" s="43">
        <f t="shared" si="28"/>
        <v>0.39342114838803582</v>
      </c>
      <c r="M95" s="42">
        <f t="shared" si="29"/>
        <v>52</v>
      </c>
      <c r="N95" s="45">
        <f t="shared" si="30"/>
        <v>52</v>
      </c>
      <c r="O95" s="68"/>
    </row>
    <row r="96" spans="5:15" x14ac:dyDescent="0.3">
      <c r="E96" s="46"/>
      <c r="F96" s="46"/>
      <c r="G96" s="47">
        <f>SUM(G87:G95)</f>
        <v>320021</v>
      </c>
      <c r="H96" s="48"/>
      <c r="I96" s="48"/>
      <c r="J96" s="48"/>
      <c r="K96" s="47">
        <f>SUM(K87:K95)</f>
        <v>54964</v>
      </c>
      <c r="L96" s="48"/>
      <c r="M96" s="48"/>
      <c r="N96" s="48"/>
      <c r="O96" s="49">
        <f>SUM(O87:O95)</f>
        <v>284</v>
      </c>
    </row>
    <row r="97" spans="5:15" x14ac:dyDescent="0.3">
      <c r="I97" s="51"/>
    </row>
    <row r="102" spans="5:15" x14ac:dyDescent="0.3">
      <c r="E102" s="32" t="s">
        <v>17</v>
      </c>
      <c r="F102" s="33">
        <f>B8</f>
        <v>250</v>
      </c>
      <c r="G102" s="33"/>
      <c r="H102" s="33"/>
      <c r="I102" s="34"/>
      <c r="J102" s="35" t="s">
        <v>25</v>
      </c>
      <c r="K102" s="36">
        <f>B11</f>
        <v>156</v>
      </c>
      <c r="L102" s="37"/>
      <c r="M102" s="37"/>
      <c r="N102" s="38"/>
      <c r="O102" s="69" t="s">
        <v>59</v>
      </c>
    </row>
    <row r="103" spans="5:15" x14ac:dyDescent="0.3">
      <c r="E103" s="40" t="s">
        <v>60</v>
      </c>
      <c r="F103" s="40" t="s">
        <v>61</v>
      </c>
      <c r="G103" s="40" t="s">
        <v>62</v>
      </c>
      <c r="H103" s="40" t="s">
        <v>63</v>
      </c>
      <c r="I103" s="40" t="s">
        <v>64</v>
      </c>
      <c r="J103" s="41" t="s">
        <v>61</v>
      </c>
      <c r="K103" s="41" t="s">
        <v>62</v>
      </c>
      <c r="L103" s="41" t="s">
        <v>63</v>
      </c>
      <c r="M103" s="41" t="s">
        <v>65</v>
      </c>
      <c r="N103" s="41" t="s">
        <v>66</v>
      </c>
      <c r="O103" s="70"/>
    </row>
    <row r="104" spans="5:15" x14ac:dyDescent="0.3">
      <c r="E104" s="42" t="s">
        <v>127</v>
      </c>
      <c r="F104" s="42" t="s">
        <v>128</v>
      </c>
      <c r="G104" s="42">
        <v>36779</v>
      </c>
      <c r="H104" s="43">
        <f>G104/$G$113</f>
        <v>5.0186601532384065E-2</v>
      </c>
      <c r="I104" s="42">
        <f>ROUNDUP(H104*$F$102,0)</f>
        <v>13</v>
      </c>
      <c r="J104" s="42"/>
      <c r="K104" s="42"/>
      <c r="L104" s="43">
        <f>K104/$K$113</f>
        <v>0</v>
      </c>
      <c r="M104" s="42">
        <f>ROUNDUP(L104*$K$102,0)</f>
        <v>0</v>
      </c>
      <c r="N104" s="44">
        <f>MAX(I104,M104)</f>
        <v>13</v>
      </c>
      <c r="O104" s="71">
        <f>SUM(N104:N109)</f>
        <v>91</v>
      </c>
    </row>
    <row r="105" spans="5:15" x14ac:dyDescent="0.3">
      <c r="E105" s="42" t="s">
        <v>127</v>
      </c>
      <c r="F105" s="42" t="s">
        <v>129</v>
      </c>
      <c r="G105" s="42">
        <v>52180</v>
      </c>
      <c r="H105" s="43">
        <f t="shared" ref="H105:H112" si="31">G105/$G$113</f>
        <v>7.1201959486658167E-2</v>
      </c>
      <c r="I105" s="42">
        <f t="shared" ref="I105:I112" si="32">ROUNDUP(H105*$F$102,0)</f>
        <v>18</v>
      </c>
      <c r="J105" s="42"/>
      <c r="K105" s="42"/>
      <c r="L105" s="43">
        <f t="shared" ref="L105:L112" si="33">K105/$K$113</f>
        <v>0</v>
      </c>
      <c r="M105" s="42">
        <f t="shared" ref="M105:M112" si="34">ROUNDUP(L105*$K$102,0)</f>
        <v>0</v>
      </c>
      <c r="N105" s="44">
        <f t="shared" ref="N105:N112" si="35">MAX(I105,M105)</f>
        <v>18</v>
      </c>
      <c r="O105" s="71"/>
    </row>
    <row r="106" spans="5:15" x14ac:dyDescent="0.3">
      <c r="E106" s="42" t="s">
        <v>127</v>
      </c>
      <c r="F106" s="42" t="s">
        <v>130</v>
      </c>
      <c r="G106" s="42">
        <v>89843</v>
      </c>
      <c r="H106" s="43">
        <f t="shared" si="31"/>
        <v>0.12259481882253409</v>
      </c>
      <c r="I106" s="42">
        <f t="shared" si="32"/>
        <v>31</v>
      </c>
      <c r="J106" s="42"/>
      <c r="K106" s="42"/>
      <c r="L106" s="43">
        <f t="shared" si="33"/>
        <v>0</v>
      </c>
      <c r="M106" s="42">
        <f t="shared" si="34"/>
        <v>0</v>
      </c>
      <c r="N106" s="44">
        <f t="shared" si="35"/>
        <v>31</v>
      </c>
      <c r="O106" s="71"/>
    </row>
    <row r="107" spans="5:15" x14ac:dyDescent="0.3">
      <c r="E107" s="42" t="s">
        <v>127</v>
      </c>
      <c r="F107" s="42" t="s">
        <v>131</v>
      </c>
      <c r="G107" s="42">
        <v>23224</v>
      </c>
      <c r="H107" s="43">
        <f t="shared" si="31"/>
        <v>3.1690193697166524E-2</v>
      </c>
      <c r="I107" s="42">
        <f t="shared" si="32"/>
        <v>8</v>
      </c>
      <c r="J107" s="42"/>
      <c r="K107" s="42"/>
      <c r="L107" s="43">
        <f t="shared" si="33"/>
        <v>0</v>
      </c>
      <c r="M107" s="42">
        <f t="shared" si="34"/>
        <v>0</v>
      </c>
      <c r="N107" s="44">
        <f t="shared" si="35"/>
        <v>8</v>
      </c>
      <c r="O107" s="71"/>
    </row>
    <row r="108" spans="5:15" x14ac:dyDescent="0.3">
      <c r="E108" s="42" t="s">
        <v>127</v>
      </c>
      <c r="F108" s="42" t="s">
        <v>132</v>
      </c>
      <c r="G108" s="42">
        <v>30359</v>
      </c>
      <c r="H108" s="43">
        <f t="shared" si="31"/>
        <v>4.1426222461775686E-2</v>
      </c>
      <c r="I108" s="42">
        <f t="shared" si="32"/>
        <v>11</v>
      </c>
      <c r="J108" s="42"/>
      <c r="K108" s="42"/>
      <c r="L108" s="43">
        <f t="shared" si="33"/>
        <v>0</v>
      </c>
      <c r="M108" s="42">
        <f t="shared" si="34"/>
        <v>0</v>
      </c>
      <c r="N108" s="44">
        <f t="shared" si="35"/>
        <v>11</v>
      </c>
      <c r="O108" s="71"/>
    </row>
    <row r="109" spans="5:15" x14ac:dyDescent="0.3">
      <c r="E109" s="42" t="s">
        <v>127</v>
      </c>
      <c r="F109" s="42" t="s">
        <v>133</v>
      </c>
      <c r="G109" s="42">
        <v>26503</v>
      </c>
      <c r="H109" s="43">
        <f t="shared" si="31"/>
        <v>3.6164536839304352E-2</v>
      </c>
      <c r="I109" s="42">
        <f t="shared" si="32"/>
        <v>10</v>
      </c>
      <c r="J109" s="42"/>
      <c r="K109" s="42"/>
      <c r="L109" s="43">
        <f t="shared" si="33"/>
        <v>0</v>
      </c>
      <c r="M109" s="42">
        <f t="shared" si="34"/>
        <v>0</v>
      </c>
      <c r="N109" s="44">
        <f t="shared" si="35"/>
        <v>10</v>
      </c>
      <c r="O109" s="71"/>
    </row>
    <row r="110" spans="5:15" x14ac:dyDescent="0.3">
      <c r="E110" s="42" t="s">
        <v>127</v>
      </c>
      <c r="F110" s="42" t="s">
        <v>134</v>
      </c>
      <c r="G110" s="42">
        <v>175527</v>
      </c>
      <c r="H110" s="43">
        <f t="shared" si="31"/>
        <v>0.23951449487954479</v>
      </c>
      <c r="I110" s="42">
        <f t="shared" si="32"/>
        <v>60</v>
      </c>
      <c r="J110" s="42" t="s">
        <v>134</v>
      </c>
      <c r="K110" s="42">
        <v>175527</v>
      </c>
      <c r="L110" s="43">
        <f t="shared" si="33"/>
        <v>0.37034372316475966</v>
      </c>
      <c r="M110" s="42">
        <f t="shared" si="34"/>
        <v>58</v>
      </c>
      <c r="N110" s="45">
        <f t="shared" si="35"/>
        <v>60</v>
      </c>
      <c r="O110" s="68">
        <f>SUM(N110:N112)</f>
        <v>162</v>
      </c>
    </row>
    <row r="111" spans="5:15" x14ac:dyDescent="0.3">
      <c r="E111" s="42" t="s">
        <v>127</v>
      </c>
      <c r="F111" s="42" t="s">
        <v>135</v>
      </c>
      <c r="G111" s="42">
        <v>202152</v>
      </c>
      <c r="H111" s="43">
        <f t="shared" si="31"/>
        <v>0.27584550621209125</v>
      </c>
      <c r="I111" s="42">
        <f t="shared" si="32"/>
        <v>69</v>
      </c>
      <c r="J111" s="42" t="s">
        <v>135</v>
      </c>
      <c r="K111" s="42">
        <v>202152</v>
      </c>
      <c r="L111" s="43">
        <f t="shared" si="33"/>
        <v>0.42651970537411621</v>
      </c>
      <c r="M111" s="42">
        <f t="shared" si="34"/>
        <v>67</v>
      </c>
      <c r="N111" s="45">
        <f t="shared" si="35"/>
        <v>69</v>
      </c>
      <c r="O111" s="68"/>
    </row>
    <row r="112" spans="5:15" x14ac:dyDescent="0.3">
      <c r="E112" s="42" t="s">
        <v>127</v>
      </c>
      <c r="F112" s="42" t="s">
        <v>136</v>
      </c>
      <c r="G112" s="42">
        <v>96278</v>
      </c>
      <c r="H112" s="43">
        <f t="shared" si="31"/>
        <v>0.13137566606854109</v>
      </c>
      <c r="I112" s="42">
        <f t="shared" si="32"/>
        <v>33</v>
      </c>
      <c r="J112" s="42" t="s">
        <v>136</v>
      </c>
      <c r="K112" s="42">
        <v>96278</v>
      </c>
      <c r="L112" s="43">
        <f t="shared" si="33"/>
        <v>0.2031365714611241</v>
      </c>
      <c r="M112" s="42">
        <f t="shared" si="34"/>
        <v>32</v>
      </c>
      <c r="N112" s="45">
        <f t="shared" si="35"/>
        <v>33</v>
      </c>
      <c r="O112" s="68"/>
    </row>
    <row r="113" spans="5:15" x14ac:dyDescent="0.3">
      <c r="E113" s="46"/>
      <c r="F113" s="46"/>
      <c r="G113" s="47">
        <f>SUM(G104:G112)</f>
        <v>732845</v>
      </c>
      <c r="H113" s="48"/>
      <c r="I113" s="48"/>
      <c r="J113" s="48"/>
      <c r="K113" s="47">
        <f>SUM(K104:K112)</f>
        <v>473957</v>
      </c>
      <c r="L113" s="48"/>
      <c r="M113" s="48"/>
      <c r="N113" s="48"/>
      <c r="O113" s="49">
        <f>SUM(O104:O112)</f>
        <v>253</v>
      </c>
    </row>
    <row r="119" spans="5:15" x14ac:dyDescent="0.3">
      <c r="E119" s="32" t="s">
        <v>18</v>
      </c>
      <c r="F119" s="33">
        <f>B9</f>
        <v>120</v>
      </c>
      <c r="G119" s="33"/>
      <c r="H119" s="33"/>
      <c r="I119" s="34"/>
      <c r="J119" s="35" t="s">
        <v>29</v>
      </c>
      <c r="K119" s="36">
        <f>B15</f>
        <v>135</v>
      </c>
      <c r="L119" s="37"/>
      <c r="M119" s="37"/>
      <c r="N119" s="38"/>
      <c r="O119" s="69" t="s">
        <v>59</v>
      </c>
    </row>
    <row r="120" spans="5:15" x14ac:dyDescent="0.3">
      <c r="E120" s="40" t="s">
        <v>60</v>
      </c>
      <c r="F120" s="40" t="s">
        <v>61</v>
      </c>
      <c r="G120" s="40" t="s">
        <v>62</v>
      </c>
      <c r="H120" s="40" t="s">
        <v>63</v>
      </c>
      <c r="I120" s="40" t="s">
        <v>64</v>
      </c>
      <c r="J120" s="41" t="s">
        <v>61</v>
      </c>
      <c r="K120" s="41" t="s">
        <v>62</v>
      </c>
      <c r="L120" s="41" t="s">
        <v>63</v>
      </c>
      <c r="M120" s="41" t="s">
        <v>65</v>
      </c>
      <c r="N120" s="41" t="s">
        <v>66</v>
      </c>
      <c r="O120" s="70"/>
    </row>
    <row r="121" spans="5:15" x14ac:dyDescent="0.3">
      <c r="E121" s="42" t="s">
        <v>137</v>
      </c>
      <c r="F121" s="42" t="s">
        <v>138</v>
      </c>
      <c r="G121" s="42">
        <v>6360</v>
      </c>
      <c r="H121" s="43">
        <f>G121/$G$130</f>
        <v>4.5900692840646649E-2</v>
      </c>
      <c r="I121" s="42">
        <f>ROUNDUP(H121*$F$119,0)</f>
        <v>6</v>
      </c>
      <c r="J121" s="42"/>
      <c r="K121" s="42"/>
      <c r="L121" s="43">
        <f>K121/$K$130</f>
        <v>0</v>
      </c>
      <c r="M121" s="42">
        <f>ROUNDUP(L121*$K$119,0)</f>
        <v>0</v>
      </c>
      <c r="N121" s="44">
        <f>MAX(I121,M121)</f>
        <v>6</v>
      </c>
      <c r="O121" s="71">
        <f>SUM(N121:N126)</f>
        <v>81</v>
      </c>
    </row>
    <row r="122" spans="5:15" x14ac:dyDescent="0.3">
      <c r="E122" s="42" t="s">
        <v>137</v>
      </c>
      <c r="F122" s="42" t="s">
        <v>139</v>
      </c>
      <c r="G122" s="42">
        <v>7709</v>
      </c>
      <c r="H122" s="43">
        <f t="shared" ref="H122:H129" si="36">G122/$G$130</f>
        <v>5.5636547344110852E-2</v>
      </c>
      <c r="I122" s="42">
        <f t="shared" ref="I122:I129" si="37">ROUNDUP(H122*$F$119,0)</f>
        <v>7</v>
      </c>
      <c r="J122" s="42"/>
      <c r="K122" s="42"/>
      <c r="L122" s="43">
        <f t="shared" ref="L122:L129" si="38">K122/$K$130</f>
        <v>0</v>
      </c>
      <c r="M122" s="42">
        <f t="shared" ref="M122:M129" si="39">ROUNDUP(L122*$K$119,0)</f>
        <v>0</v>
      </c>
      <c r="N122" s="44">
        <f t="shared" ref="N122:N129" si="40">MAX(I122,M122)</f>
        <v>7</v>
      </c>
      <c r="O122" s="71"/>
    </row>
    <row r="123" spans="5:15" x14ac:dyDescent="0.3">
      <c r="E123" s="42" t="s">
        <v>137</v>
      </c>
      <c r="F123" s="42" t="s">
        <v>140</v>
      </c>
      <c r="G123" s="42">
        <v>4557</v>
      </c>
      <c r="H123" s="43">
        <f t="shared" si="36"/>
        <v>3.2888279445727482E-2</v>
      </c>
      <c r="I123" s="42">
        <f t="shared" si="37"/>
        <v>4</v>
      </c>
      <c r="J123" s="42"/>
      <c r="K123" s="42"/>
      <c r="L123" s="43">
        <f t="shared" si="38"/>
        <v>0</v>
      </c>
      <c r="M123" s="42">
        <f t="shared" si="39"/>
        <v>0</v>
      </c>
      <c r="N123" s="44">
        <f t="shared" si="40"/>
        <v>4</v>
      </c>
      <c r="O123" s="71"/>
    </row>
    <row r="124" spans="5:15" x14ac:dyDescent="0.3">
      <c r="E124" s="42" t="s">
        <v>137</v>
      </c>
      <c r="F124" s="42" t="s">
        <v>141</v>
      </c>
      <c r="G124" s="42">
        <v>23413</v>
      </c>
      <c r="H124" s="43">
        <f t="shared" si="36"/>
        <v>0.16897372979214781</v>
      </c>
      <c r="I124" s="42">
        <f t="shared" si="37"/>
        <v>21</v>
      </c>
      <c r="J124" s="42"/>
      <c r="K124" s="42"/>
      <c r="L124" s="43">
        <f t="shared" si="38"/>
        <v>0</v>
      </c>
      <c r="M124" s="42">
        <f t="shared" si="39"/>
        <v>0</v>
      </c>
      <c r="N124" s="44">
        <f t="shared" si="40"/>
        <v>21</v>
      </c>
      <c r="O124" s="71"/>
    </row>
    <row r="125" spans="5:15" x14ac:dyDescent="0.3">
      <c r="E125" s="42" t="s">
        <v>137</v>
      </c>
      <c r="F125" s="42" t="s">
        <v>142</v>
      </c>
      <c r="G125" s="42">
        <v>31929</v>
      </c>
      <c r="H125" s="43">
        <f t="shared" si="36"/>
        <v>0.23043446882217089</v>
      </c>
      <c r="I125" s="42">
        <f t="shared" si="37"/>
        <v>28</v>
      </c>
      <c r="J125" s="42"/>
      <c r="K125" s="42"/>
      <c r="L125" s="43">
        <f t="shared" si="38"/>
        <v>0</v>
      </c>
      <c r="M125" s="42">
        <f t="shared" si="39"/>
        <v>0</v>
      </c>
      <c r="N125" s="44">
        <f t="shared" si="40"/>
        <v>28</v>
      </c>
      <c r="O125" s="71"/>
    </row>
    <row r="126" spans="5:15" x14ac:dyDescent="0.3">
      <c r="E126" s="42" t="s">
        <v>137</v>
      </c>
      <c r="F126" s="42" t="s">
        <v>143</v>
      </c>
      <c r="G126" s="42">
        <v>16775</v>
      </c>
      <c r="H126" s="43">
        <f t="shared" si="36"/>
        <v>0.12106668591224018</v>
      </c>
      <c r="I126" s="42">
        <f t="shared" si="37"/>
        <v>15</v>
      </c>
      <c r="J126" s="42"/>
      <c r="K126" s="42"/>
      <c r="L126" s="43">
        <f t="shared" si="38"/>
        <v>0</v>
      </c>
      <c r="M126" s="42">
        <f t="shared" si="39"/>
        <v>0</v>
      </c>
      <c r="N126" s="44">
        <f t="shared" si="40"/>
        <v>15</v>
      </c>
      <c r="O126" s="71"/>
    </row>
    <row r="127" spans="5:15" x14ac:dyDescent="0.3">
      <c r="E127" s="42" t="s">
        <v>137</v>
      </c>
      <c r="F127" s="42" t="s">
        <v>144</v>
      </c>
      <c r="G127" s="42">
        <v>11637</v>
      </c>
      <c r="H127" s="43">
        <f t="shared" si="36"/>
        <v>8.3985277136258654E-2</v>
      </c>
      <c r="I127" s="42">
        <f t="shared" si="37"/>
        <v>11</v>
      </c>
      <c r="J127" s="42" t="s">
        <v>144</v>
      </c>
      <c r="K127" s="42">
        <v>11637</v>
      </c>
      <c r="L127" s="43">
        <f t="shared" si="38"/>
        <v>0.24336533032185206</v>
      </c>
      <c r="M127" s="42">
        <f t="shared" si="39"/>
        <v>33</v>
      </c>
      <c r="N127" s="45">
        <f t="shared" si="40"/>
        <v>33</v>
      </c>
      <c r="O127" s="68">
        <f>SUM(N127:N129)</f>
        <v>136</v>
      </c>
    </row>
    <row r="128" spans="5:15" x14ac:dyDescent="0.3">
      <c r="E128" s="42" t="s">
        <v>137</v>
      </c>
      <c r="F128" s="42" t="s">
        <v>145</v>
      </c>
      <c r="G128" s="42">
        <v>20126</v>
      </c>
      <c r="H128" s="43">
        <f t="shared" si="36"/>
        <v>0.14525115473441108</v>
      </c>
      <c r="I128" s="42">
        <f t="shared" si="37"/>
        <v>18</v>
      </c>
      <c r="J128" s="42" t="s">
        <v>145</v>
      </c>
      <c r="K128" s="42">
        <v>20126</v>
      </c>
      <c r="L128" s="43">
        <f t="shared" si="38"/>
        <v>0.42089633393981218</v>
      </c>
      <c r="M128" s="42">
        <f t="shared" si="39"/>
        <v>57</v>
      </c>
      <c r="N128" s="45">
        <f t="shared" si="40"/>
        <v>57</v>
      </c>
      <c r="O128" s="68"/>
    </row>
    <row r="129" spans="5:15" x14ac:dyDescent="0.3">
      <c r="E129" s="42" t="s">
        <v>137</v>
      </c>
      <c r="F129" s="42" t="s">
        <v>146</v>
      </c>
      <c r="G129" s="42">
        <v>16054</v>
      </c>
      <c r="H129" s="43">
        <f t="shared" si="36"/>
        <v>0.11586316397228637</v>
      </c>
      <c r="I129" s="42">
        <f t="shared" si="37"/>
        <v>14</v>
      </c>
      <c r="J129" s="42" t="s">
        <v>146</v>
      </c>
      <c r="K129" s="42">
        <v>16054</v>
      </c>
      <c r="L129" s="43">
        <f t="shared" si="38"/>
        <v>0.33573833573833572</v>
      </c>
      <c r="M129" s="42">
        <f t="shared" si="39"/>
        <v>46</v>
      </c>
      <c r="N129" s="45">
        <f t="shared" si="40"/>
        <v>46</v>
      </c>
      <c r="O129" s="68"/>
    </row>
    <row r="130" spans="5:15" x14ac:dyDescent="0.3">
      <c r="E130" s="46"/>
      <c r="F130" s="46"/>
      <c r="G130" s="47">
        <f>SUM(G121:G129)</f>
        <v>138560</v>
      </c>
      <c r="H130" s="48"/>
      <c r="I130" s="48"/>
      <c r="J130" s="48"/>
      <c r="K130" s="47">
        <f>SUM(K121:K129)</f>
        <v>47817</v>
      </c>
      <c r="L130" s="48"/>
      <c r="M130" s="48"/>
      <c r="N130" s="48"/>
      <c r="O130" s="49">
        <f>SUM(O121:O129)</f>
        <v>217</v>
      </c>
    </row>
    <row r="131" spans="5:15" x14ac:dyDescent="0.3">
      <c r="I131" s="51"/>
    </row>
    <row r="136" spans="5:15" x14ac:dyDescent="0.3">
      <c r="E136" s="32" t="s">
        <v>23</v>
      </c>
      <c r="F136" s="33">
        <f>B10</f>
        <v>78</v>
      </c>
      <c r="G136" s="33"/>
      <c r="H136" s="33"/>
      <c r="I136" s="34"/>
      <c r="J136" s="35" t="s">
        <v>31</v>
      </c>
      <c r="K136" s="36">
        <f>B17</f>
        <v>119</v>
      </c>
      <c r="L136" s="37"/>
      <c r="M136" s="37"/>
      <c r="N136" s="38"/>
      <c r="O136" s="69" t="s">
        <v>59</v>
      </c>
    </row>
    <row r="137" spans="5:15" x14ac:dyDescent="0.3">
      <c r="E137" s="40" t="s">
        <v>60</v>
      </c>
      <c r="F137" s="40" t="s">
        <v>61</v>
      </c>
      <c r="G137" s="40" t="s">
        <v>62</v>
      </c>
      <c r="H137" s="40" t="s">
        <v>63</v>
      </c>
      <c r="I137" s="40" t="s">
        <v>64</v>
      </c>
      <c r="J137" s="41" t="s">
        <v>61</v>
      </c>
      <c r="K137" s="41" t="s">
        <v>62</v>
      </c>
      <c r="L137" s="41" t="s">
        <v>63</v>
      </c>
      <c r="M137" s="41" t="s">
        <v>65</v>
      </c>
      <c r="N137" s="41" t="s">
        <v>66</v>
      </c>
      <c r="O137" s="70"/>
    </row>
    <row r="138" spans="5:15" x14ac:dyDescent="0.3">
      <c r="E138" s="42" t="s">
        <v>147</v>
      </c>
      <c r="F138" s="42" t="s">
        <v>148</v>
      </c>
      <c r="G138" s="42">
        <v>5853</v>
      </c>
      <c r="H138" s="43">
        <f>G138/$G$147</f>
        <v>5.4380748861841494E-2</v>
      </c>
      <c r="I138" s="42">
        <f>ROUNDUP(H138*$F$136,0)</f>
        <v>5</v>
      </c>
      <c r="J138" s="42"/>
      <c r="K138" s="42"/>
      <c r="L138" s="43">
        <f>K138/$K$147</f>
        <v>0</v>
      </c>
      <c r="M138" s="42">
        <f>ROUNDUP(L138*$K$136,0)</f>
        <v>0</v>
      </c>
      <c r="N138" s="44">
        <f>MAX(I138,M138)</f>
        <v>5</v>
      </c>
      <c r="O138" s="71">
        <f>SUM(N138:N143)</f>
        <v>27</v>
      </c>
    </row>
    <row r="139" spans="5:15" x14ac:dyDescent="0.3">
      <c r="E139" s="42" t="s">
        <v>147</v>
      </c>
      <c r="F139" s="42" t="s">
        <v>149</v>
      </c>
      <c r="G139" s="42">
        <v>6007</v>
      </c>
      <c r="H139" s="43">
        <f t="shared" ref="H139:H146" si="41">G139/$G$147</f>
        <v>5.5811576697946667E-2</v>
      </c>
      <c r="I139" s="42">
        <f t="shared" ref="I139:I146" si="42">ROUNDUP(H139*$F$136,0)</f>
        <v>5</v>
      </c>
      <c r="J139" s="42"/>
      <c r="K139" s="42"/>
      <c r="L139" s="43">
        <f t="shared" ref="L139:L146" si="43">K139/$K$147</f>
        <v>0</v>
      </c>
      <c r="M139" s="42">
        <f t="shared" ref="M139:M146" si="44">ROUNDUP(L139*$K$136,0)</f>
        <v>0</v>
      </c>
      <c r="N139" s="44">
        <f t="shared" ref="N139:N146" si="45">MAX(I139,M139)</f>
        <v>5</v>
      </c>
      <c r="O139" s="71"/>
    </row>
    <row r="140" spans="5:15" x14ac:dyDescent="0.3">
      <c r="E140" s="42" t="s">
        <v>147</v>
      </c>
      <c r="F140" s="42" t="s">
        <v>150</v>
      </c>
      <c r="G140" s="42">
        <v>1133</v>
      </c>
      <c r="H140" s="43">
        <f t="shared" si="41"/>
        <v>1.0526804794202359E-2</v>
      </c>
      <c r="I140" s="50">
        <v>2</v>
      </c>
      <c r="J140" s="42"/>
      <c r="K140" s="42"/>
      <c r="L140" s="43">
        <f t="shared" si="43"/>
        <v>0</v>
      </c>
      <c r="M140" s="42">
        <f t="shared" si="44"/>
        <v>0</v>
      </c>
      <c r="N140" s="44">
        <f t="shared" si="45"/>
        <v>2</v>
      </c>
      <c r="O140" s="71"/>
    </row>
    <row r="141" spans="5:15" x14ac:dyDescent="0.3">
      <c r="E141" s="42" t="s">
        <v>147</v>
      </c>
      <c r="F141" s="42" t="s">
        <v>151</v>
      </c>
      <c r="G141" s="42">
        <v>9477</v>
      </c>
      <c r="H141" s="43">
        <f t="shared" si="41"/>
        <v>8.8051658459537302E-2</v>
      </c>
      <c r="I141" s="42">
        <f t="shared" si="42"/>
        <v>7</v>
      </c>
      <c r="J141" s="42"/>
      <c r="K141" s="42"/>
      <c r="L141" s="43">
        <f t="shared" si="43"/>
        <v>0</v>
      </c>
      <c r="M141" s="42">
        <f t="shared" si="44"/>
        <v>0</v>
      </c>
      <c r="N141" s="44">
        <f t="shared" si="45"/>
        <v>7</v>
      </c>
      <c r="O141" s="71"/>
    </row>
    <row r="142" spans="5:15" x14ac:dyDescent="0.3">
      <c r="E142" s="42" t="s">
        <v>147</v>
      </c>
      <c r="F142" s="42" t="s">
        <v>152</v>
      </c>
      <c r="G142" s="42">
        <v>7904</v>
      </c>
      <c r="H142" s="43">
        <f t="shared" si="41"/>
        <v>7.3436774133605873E-2</v>
      </c>
      <c r="I142" s="42">
        <f t="shared" si="42"/>
        <v>6</v>
      </c>
      <c r="J142" s="42"/>
      <c r="K142" s="42"/>
      <c r="L142" s="43">
        <f t="shared" si="43"/>
        <v>0</v>
      </c>
      <c r="M142" s="42">
        <f t="shared" si="44"/>
        <v>0</v>
      </c>
      <c r="N142" s="44">
        <f t="shared" si="45"/>
        <v>6</v>
      </c>
      <c r="O142" s="71"/>
    </row>
    <row r="143" spans="5:15" x14ac:dyDescent="0.3">
      <c r="E143" s="42" t="s">
        <v>147</v>
      </c>
      <c r="F143" s="42" t="s">
        <v>153</v>
      </c>
      <c r="G143" s="42">
        <v>2525</v>
      </c>
      <c r="H143" s="43">
        <f t="shared" si="41"/>
        <v>2.346000185821797E-2</v>
      </c>
      <c r="I143" s="42">
        <f t="shared" si="42"/>
        <v>2</v>
      </c>
      <c r="J143" s="42"/>
      <c r="K143" s="42"/>
      <c r="L143" s="43">
        <f t="shared" si="43"/>
        <v>0</v>
      </c>
      <c r="M143" s="42">
        <f t="shared" si="44"/>
        <v>0</v>
      </c>
      <c r="N143" s="44">
        <f t="shared" si="45"/>
        <v>2</v>
      </c>
      <c r="O143" s="71"/>
    </row>
    <row r="144" spans="5:15" x14ac:dyDescent="0.3">
      <c r="E144" s="42" t="s">
        <v>147</v>
      </c>
      <c r="F144" s="42" t="s">
        <v>154</v>
      </c>
      <c r="G144" s="42">
        <v>10908</v>
      </c>
      <c r="H144" s="43">
        <f t="shared" si="41"/>
        <v>0.10134720802750162</v>
      </c>
      <c r="I144" s="42">
        <f t="shared" si="42"/>
        <v>8</v>
      </c>
      <c r="J144" s="42" t="s">
        <v>154</v>
      </c>
      <c r="K144" s="42">
        <v>10908</v>
      </c>
      <c r="L144" s="43">
        <f t="shared" si="43"/>
        <v>0.14596352250070252</v>
      </c>
      <c r="M144" s="42">
        <f t="shared" si="44"/>
        <v>18</v>
      </c>
      <c r="N144" s="45">
        <f t="shared" si="45"/>
        <v>18</v>
      </c>
      <c r="O144" s="68">
        <f>SUM(N144:N146)</f>
        <v>121</v>
      </c>
    </row>
    <row r="145" spans="5:15" x14ac:dyDescent="0.3">
      <c r="E145" s="42" t="s">
        <v>147</v>
      </c>
      <c r="F145" s="42" t="s">
        <v>155</v>
      </c>
      <c r="G145" s="42">
        <v>39898</v>
      </c>
      <c r="H145" s="43">
        <f t="shared" si="41"/>
        <v>0.3706959026293784</v>
      </c>
      <c r="I145" s="42">
        <f t="shared" si="42"/>
        <v>29</v>
      </c>
      <c r="J145" s="42" t="s">
        <v>155</v>
      </c>
      <c r="K145" s="42">
        <v>39898</v>
      </c>
      <c r="L145" s="43">
        <f t="shared" si="43"/>
        <v>0.5338882123884332</v>
      </c>
      <c r="M145" s="42">
        <f t="shared" si="44"/>
        <v>64</v>
      </c>
      <c r="N145" s="45">
        <f t="shared" si="45"/>
        <v>64</v>
      </c>
      <c r="O145" s="68"/>
    </row>
    <row r="146" spans="5:15" x14ac:dyDescent="0.3">
      <c r="E146" s="42" t="s">
        <v>147</v>
      </c>
      <c r="F146" s="42" t="s">
        <v>156</v>
      </c>
      <c r="G146" s="42">
        <v>23925</v>
      </c>
      <c r="H146" s="43">
        <f t="shared" si="41"/>
        <v>0.22228932453776828</v>
      </c>
      <c r="I146" s="42">
        <f t="shared" si="42"/>
        <v>18</v>
      </c>
      <c r="J146" s="42" t="s">
        <v>156</v>
      </c>
      <c r="K146" s="42">
        <v>23925</v>
      </c>
      <c r="L146" s="43">
        <f t="shared" si="43"/>
        <v>0.32014826511086431</v>
      </c>
      <c r="M146" s="42">
        <f t="shared" si="44"/>
        <v>39</v>
      </c>
      <c r="N146" s="45">
        <f t="shared" si="45"/>
        <v>39</v>
      </c>
      <c r="O146" s="68"/>
    </row>
    <row r="147" spans="5:15" x14ac:dyDescent="0.3">
      <c r="E147" s="46"/>
      <c r="F147" s="46"/>
      <c r="G147" s="47">
        <f>SUM(G138:G146)</f>
        <v>107630</v>
      </c>
      <c r="H147" s="48"/>
      <c r="I147" s="48"/>
      <c r="J147" s="48"/>
      <c r="K147" s="47">
        <f>SUM(K138:K146)</f>
        <v>74731</v>
      </c>
      <c r="L147" s="48"/>
      <c r="M147" s="48"/>
      <c r="N147" s="48"/>
      <c r="O147" s="49">
        <f>SUM(O138:O146)</f>
        <v>148</v>
      </c>
    </row>
  </sheetData>
  <mergeCells count="27">
    <mergeCell ref="O136:O137"/>
    <mergeCell ref="O138:O143"/>
    <mergeCell ref="O144:O146"/>
    <mergeCell ref="O102:O103"/>
    <mergeCell ref="O104:O109"/>
    <mergeCell ref="O110:O112"/>
    <mergeCell ref="O119:O120"/>
    <mergeCell ref="O121:O126"/>
    <mergeCell ref="O127:O129"/>
    <mergeCell ref="O93:O95"/>
    <mergeCell ref="O34:O35"/>
    <mergeCell ref="O36:O41"/>
    <mergeCell ref="O42:O44"/>
    <mergeCell ref="O51:O52"/>
    <mergeCell ref="O53:O58"/>
    <mergeCell ref="O59:O61"/>
    <mergeCell ref="O68:O69"/>
    <mergeCell ref="O70:O75"/>
    <mergeCell ref="O76:O78"/>
    <mergeCell ref="O85:O86"/>
    <mergeCell ref="O87:O92"/>
    <mergeCell ref="O26:O28"/>
    <mergeCell ref="O1:O2"/>
    <mergeCell ref="O3:O8"/>
    <mergeCell ref="O9:O11"/>
    <mergeCell ref="O18:O19"/>
    <mergeCell ref="O20:O25"/>
  </mergeCell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"/>
  <sheetViews>
    <sheetView tabSelected="1" topLeftCell="A4" zoomScale="130" zoomScaleNormal="130" workbookViewId="0">
      <selection activeCell="B8" sqref="B8"/>
    </sheetView>
  </sheetViews>
  <sheetFormatPr baseColWidth="10" defaultRowHeight="14.4" x14ac:dyDescent="0.3"/>
  <cols>
    <col min="1" max="1" width="14.21875" bestFit="1" customWidth="1"/>
    <col min="2" max="2" width="8.88671875" bestFit="1" customWidth="1"/>
    <col min="3" max="3" width="8.5546875" bestFit="1" customWidth="1"/>
    <col min="4" max="12" width="5.5546875" bestFit="1" customWidth="1"/>
    <col min="13" max="15" width="6.5546875" bestFit="1" customWidth="1"/>
    <col min="16" max="16" width="6.5546875" style="52" customWidth="1"/>
    <col min="18" max="18" width="10.88671875" bestFit="1" customWidth="1"/>
    <col min="19" max="19" width="9.88671875" bestFit="1" customWidth="1"/>
    <col min="20" max="20" width="5.21875" customWidth="1"/>
  </cols>
  <sheetData>
    <row r="1" spans="1:20" ht="37.799999999999997" customHeight="1" x14ac:dyDescent="0.3">
      <c r="A1" s="12" t="s">
        <v>0</v>
      </c>
      <c r="B1" s="58" t="s">
        <v>35</v>
      </c>
      <c r="C1" s="67" t="s">
        <v>36</v>
      </c>
      <c r="D1" s="6" t="s">
        <v>37</v>
      </c>
      <c r="E1" s="6" t="s">
        <v>38</v>
      </c>
      <c r="F1" s="6" t="s">
        <v>39</v>
      </c>
      <c r="G1" s="6" t="s">
        <v>40</v>
      </c>
      <c r="H1" s="7" t="s">
        <v>41</v>
      </c>
      <c r="I1" s="7" t="s">
        <v>42</v>
      </c>
      <c r="J1" s="7" t="s">
        <v>43</v>
      </c>
      <c r="K1" s="7" t="s">
        <v>44</v>
      </c>
      <c r="L1" s="8" t="s">
        <v>45</v>
      </c>
      <c r="M1" s="8" t="s">
        <v>46</v>
      </c>
      <c r="N1" s="8" t="s">
        <v>47</v>
      </c>
      <c r="O1" s="8" t="s">
        <v>48</v>
      </c>
      <c r="P1" s="8" t="s">
        <v>168</v>
      </c>
      <c r="Q1" s="24" t="s">
        <v>34</v>
      </c>
      <c r="R1" s="74" t="s">
        <v>169</v>
      </c>
      <c r="S1" s="74" t="s">
        <v>170</v>
      </c>
    </row>
    <row r="2" spans="1:20" x14ac:dyDescent="0.3">
      <c r="A2" s="18" t="s">
        <v>4</v>
      </c>
      <c r="B2" s="21">
        <f>Hoja1!B5</f>
        <v>79</v>
      </c>
      <c r="C2" s="18">
        <f>B2/13</f>
        <v>6.0769230769230766</v>
      </c>
      <c r="D2" s="21">
        <f>ROUNDDOWN(C2,0)</f>
        <v>6</v>
      </c>
      <c r="E2" s="21">
        <f t="shared" ref="E2:P2" si="0">ROUNDDOWN(D2,0)</f>
        <v>6</v>
      </c>
      <c r="F2" s="21">
        <f t="shared" si="0"/>
        <v>6</v>
      </c>
      <c r="G2" s="21">
        <f t="shared" si="0"/>
        <v>6</v>
      </c>
      <c r="H2" s="21">
        <f t="shared" si="0"/>
        <v>6</v>
      </c>
      <c r="I2" s="21">
        <f t="shared" si="0"/>
        <v>6</v>
      </c>
      <c r="J2" s="21">
        <f t="shared" si="0"/>
        <v>6</v>
      </c>
      <c r="K2" s="21">
        <f t="shared" si="0"/>
        <v>6</v>
      </c>
      <c r="L2" s="21">
        <f t="shared" si="0"/>
        <v>6</v>
      </c>
      <c r="M2" s="21">
        <f t="shared" si="0"/>
        <v>6</v>
      </c>
      <c r="N2" s="21">
        <f t="shared" si="0"/>
        <v>6</v>
      </c>
      <c r="O2" s="21">
        <f t="shared" si="0"/>
        <v>6</v>
      </c>
      <c r="P2" s="21">
        <f t="shared" si="0"/>
        <v>6</v>
      </c>
      <c r="Q2" s="23">
        <f>SUM(D2:P2)</f>
        <v>78</v>
      </c>
      <c r="R2" s="59">
        <f>Q2-B2</f>
        <v>-1</v>
      </c>
      <c r="S2">
        <v>2</v>
      </c>
      <c r="T2">
        <f>Q2+S2</f>
        <v>80</v>
      </c>
    </row>
    <row r="3" spans="1:20" x14ac:dyDescent="0.3">
      <c r="A3" s="18" t="s">
        <v>8</v>
      </c>
      <c r="B3" s="18">
        <f>Hoja1!B9+Hoja1!B31</f>
        <v>215</v>
      </c>
      <c r="C3" s="18">
        <f t="shared" ref="C3:C6" si="1">B3/13</f>
        <v>16.53846153846154</v>
      </c>
      <c r="D3" s="21">
        <f t="shared" ref="D3:P3" si="2">ROUNDDOWN(C3,0)</f>
        <v>16</v>
      </c>
      <c r="E3" s="21">
        <f t="shared" si="2"/>
        <v>16</v>
      </c>
      <c r="F3" s="21">
        <f t="shared" si="2"/>
        <v>16</v>
      </c>
      <c r="G3" s="21">
        <f t="shared" si="2"/>
        <v>16</v>
      </c>
      <c r="H3" s="21">
        <f t="shared" si="2"/>
        <v>16</v>
      </c>
      <c r="I3" s="21">
        <f t="shared" si="2"/>
        <v>16</v>
      </c>
      <c r="J3" s="21">
        <f t="shared" si="2"/>
        <v>16</v>
      </c>
      <c r="K3" s="21">
        <f t="shared" si="2"/>
        <v>16</v>
      </c>
      <c r="L3" s="21">
        <f t="shared" si="2"/>
        <v>16</v>
      </c>
      <c r="M3" s="21">
        <f t="shared" si="2"/>
        <v>16</v>
      </c>
      <c r="N3" s="21">
        <f t="shared" si="2"/>
        <v>16</v>
      </c>
      <c r="O3" s="21">
        <f t="shared" si="2"/>
        <v>16</v>
      </c>
      <c r="P3" s="21">
        <f t="shared" si="2"/>
        <v>16</v>
      </c>
      <c r="Q3" s="23">
        <f t="shared" ref="Q3:Q6" si="3">SUM(D3:P3)</f>
        <v>208</v>
      </c>
      <c r="R3" s="59">
        <f t="shared" ref="R3:R7" si="4">Q3-B3</f>
        <v>-7</v>
      </c>
      <c r="S3">
        <v>8</v>
      </c>
      <c r="T3" s="52">
        <f t="shared" ref="T3:T7" si="5">Q3+S3</f>
        <v>216</v>
      </c>
    </row>
    <row r="4" spans="1:20" x14ac:dyDescent="0.3">
      <c r="A4" s="18" t="s">
        <v>10</v>
      </c>
      <c r="B4" s="21">
        <f>Hoja1!B11</f>
        <v>91</v>
      </c>
      <c r="C4" s="18">
        <f t="shared" si="1"/>
        <v>7</v>
      </c>
      <c r="D4" s="21">
        <f t="shared" ref="D4:P4" si="6">ROUNDDOWN(C4,0)</f>
        <v>7</v>
      </c>
      <c r="E4" s="21">
        <f t="shared" si="6"/>
        <v>7</v>
      </c>
      <c r="F4" s="21">
        <f t="shared" si="6"/>
        <v>7</v>
      </c>
      <c r="G4" s="21">
        <f t="shared" si="6"/>
        <v>7</v>
      </c>
      <c r="H4" s="21">
        <f t="shared" si="6"/>
        <v>7</v>
      </c>
      <c r="I4" s="21">
        <f t="shared" si="6"/>
        <v>7</v>
      </c>
      <c r="J4" s="21">
        <f t="shared" si="6"/>
        <v>7</v>
      </c>
      <c r="K4" s="21">
        <f t="shared" si="6"/>
        <v>7</v>
      </c>
      <c r="L4" s="21">
        <f t="shared" si="6"/>
        <v>7</v>
      </c>
      <c r="M4" s="21">
        <f t="shared" si="6"/>
        <v>7</v>
      </c>
      <c r="N4" s="21">
        <f t="shared" si="6"/>
        <v>7</v>
      </c>
      <c r="O4" s="21">
        <f t="shared" si="6"/>
        <v>7</v>
      </c>
      <c r="P4" s="21">
        <f t="shared" si="6"/>
        <v>7</v>
      </c>
      <c r="Q4" s="23">
        <f t="shared" si="3"/>
        <v>91</v>
      </c>
      <c r="R4" s="59">
        <f t="shared" si="4"/>
        <v>0</v>
      </c>
      <c r="S4">
        <v>1</v>
      </c>
      <c r="T4" s="52">
        <f t="shared" si="5"/>
        <v>92</v>
      </c>
    </row>
    <row r="5" spans="1:20" x14ac:dyDescent="0.3">
      <c r="A5" s="18" t="s">
        <v>17</v>
      </c>
      <c r="B5" s="18">
        <f>Hoja1!B18+Hoja1!B26</f>
        <v>253</v>
      </c>
      <c r="C5" s="18">
        <f t="shared" si="1"/>
        <v>19.46153846153846</v>
      </c>
      <c r="D5" s="21">
        <f t="shared" ref="D5:P5" si="7">ROUNDDOWN(C5,0)</f>
        <v>19</v>
      </c>
      <c r="E5" s="21">
        <f t="shared" si="7"/>
        <v>19</v>
      </c>
      <c r="F5" s="21">
        <f t="shared" si="7"/>
        <v>19</v>
      </c>
      <c r="G5" s="21">
        <f t="shared" si="7"/>
        <v>19</v>
      </c>
      <c r="H5" s="21">
        <f t="shared" si="7"/>
        <v>19</v>
      </c>
      <c r="I5" s="21">
        <f t="shared" si="7"/>
        <v>19</v>
      </c>
      <c r="J5" s="21">
        <f t="shared" si="7"/>
        <v>19</v>
      </c>
      <c r="K5" s="21">
        <f t="shared" si="7"/>
        <v>19</v>
      </c>
      <c r="L5" s="21">
        <f t="shared" si="7"/>
        <v>19</v>
      </c>
      <c r="M5" s="21">
        <f t="shared" si="7"/>
        <v>19</v>
      </c>
      <c r="N5" s="21">
        <f t="shared" si="7"/>
        <v>19</v>
      </c>
      <c r="O5" s="21">
        <f t="shared" si="7"/>
        <v>19</v>
      </c>
      <c r="P5" s="21">
        <f t="shared" si="7"/>
        <v>19</v>
      </c>
      <c r="Q5" s="23">
        <f t="shared" si="3"/>
        <v>247</v>
      </c>
      <c r="R5" s="59">
        <f t="shared" si="4"/>
        <v>-6</v>
      </c>
      <c r="S5">
        <v>7</v>
      </c>
      <c r="T5" s="52">
        <f t="shared" si="5"/>
        <v>254</v>
      </c>
    </row>
    <row r="6" spans="1:20" x14ac:dyDescent="0.3">
      <c r="A6" s="18" t="s">
        <v>21</v>
      </c>
      <c r="B6" s="21">
        <f>Hoja1!B22</f>
        <v>72</v>
      </c>
      <c r="C6" s="18">
        <f t="shared" si="1"/>
        <v>5.5384615384615383</v>
      </c>
      <c r="D6" s="21">
        <f t="shared" ref="D6:P6" si="8">ROUNDDOWN(C6,0)</f>
        <v>5</v>
      </c>
      <c r="E6" s="21">
        <f t="shared" si="8"/>
        <v>5</v>
      </c>
      <c r="F6" s="21">
        <f t="shared" si="8"/>
        <v>5</v>
      </c>
      <c r="G6" s="21">
        <f t="shared" si="8"/>
        <v>5</v>
      </c>
      <c r="H6" s="21">
        <f t="shared" si="8"/>
        <v>5</v>
      </c>
      <c r="I6" s="21">
        <f t="shared" si="8"/>
        <v>5</v>
      </c>
      <c r="J6" s="21">
        <f t="shared" si="8"/>
        <v>5</v>
      </c>
      <c r="K6" s="21">
        <f t="shared" si="8"/>
        <v>5</v>
      </c>
      <c r="L6" s="21">
        <f t="shared" si="8"/>
        <v>5</v>
      </c>
      <c r="M6" s="21">
        <f t="shared" si="8"/>
        <v>5</v>
      </c>
      <c r="N6" s="21">
        <f t="shared" si="8"/>
        <v>5</v>
      </c>
      <c r="O6" s="21">
        <f t="shared" si="8"/>
        <v>5</v>
      </c>
      <c r="P6" s="21">
        <f t="shared" si="8"/>
        <v>5</v>
      </c>
      <c r="Q6" s="23">
        <f t="shared" si="3"/>
        <v>65</v>
      </c>
      <c r="R6" s="59">
        <f t="shared" si="4"/>
        <v>-7</v>
      </c>
      <c r="S6">
        <v>8</v>
      </c>
      <c r="T6" s="52">
        <f t="shared" si="5"/>
        <v>73</v>
      </c>
    </row>
    <row r="7" spans="1:20" x14ac:dyDescent="0.3">
      <c r="B7">
        <f>SUM(B2:B6)</f>
        <v>710</v>
      </c>
      <c r="D7">
        <f>SUM(D2:D6)</f>
        <v>53</v>
      </c>
      <c r="E7">
        <f t="shared" ref="E7:Q7" si="9">SUM(E2:E6)</f>
        <v>53</v>
      </c>
      <c r="F7">
        <f t="shared" si="9"/>
        <v>53</v>
      </c>
      <c r="G7">
        <f t="shared" si="9"/>
        <v>53</v>
      </c>
      <c r="H7">
        <f t="shared" si="9"/>
        <v>53</v>
      </c>
      <c r="I7">
        <f t="shared" si="9"/>
        <v>53</v>
      </c>
      <c r="J7">
        <f t="shared" si="9"/>
        <v>53</v>
      </c>
      <c r="K7">
        <f t="shared" si="9"/>
        <v>53</v>
      </c>
      <c r="L7">
        <f t="shared" si="9"/>
        <v>53</v>
      </c>
      <c r="M7">
        <f t="shared" si="9"/>
        <v>53</v>
      </c>
      <c r="N7">
        <f t="shared" si="9"/>
        <v>53</v>
      </c>
      <c r="O7">
        <f t="shared" si="9"/>
        <v>53</v>
      </c>
      <c r="P7" s="52">
        <f t="shared" si="9"/>
        <v>53</v>
      </c>
      <c r="Q7" s="24">
        <f>SUM(Q2:Q6)</f>
        <v>689</v>
      </c>
      <c r="R7" s="73">
        <f t="shared" si="4"/>
        <v>-21</v>
      </c>
      <c r="S7">
        <f>SUM(S2:S6)</f>
        <v>26</v>
      </c>
      <c r="T7" s="52">
        <f t="shared" si="5"/>
        <v>715</v>
      </c>
    </row>
    <row r="8" spans="1:20" x14ac:dyDescent="0.3">
      <c r="B8" s="72">
        <f>13-MOD(B7,13)</f>
        <v>5</v>
      </c>
    </row>
    <row r="9" spans="1:20" x14ac:dyDescent="0.3">
      <c r="B9">
        <f>715/13</f>
        <v>55</v>
      </c>
    </row>
    <row r="12" spans="1:20" ht="28.8" x14ac:dyDescent="0.3">
      <c r="A12" s="12" t="s">
        <v>0</v>
      </c>
      <c r="B12" s="58" t="s">
        <v>35</v>
      </c>
      <c r="C12" s="67" t="s">
        <v>36</v>
      </c>
      <c r="D12" s="6" t="s">
        <v>37</v>
      </c>
      <c r="E12" s="6" t="s">
        <v>38</v>
      </c>
      <c r="F12" s="6" t="s">
        <v>39</v>
      </c>
      <c r="G12" s="6" t="s">
        <v>40</v>
      </c>
      <c r="H12" s="7" t="s">
        <v>41</v>
      </c>
      <c r="I12" s="7" t="s">
        <v>42</v>
      </c>
      <c r="J12" s="7" t="s">
        <v>43</v>
      </c>
      <c r="K12" s="7" t="s">
        <v>44</v>
      </c>
      <c r="L12" s="8" t="s">
        <v>45</v>
      </c>
      <c r="M12" s="8" t="s">
        <v>46</v>
      </c>
      <c r="N12" s="8" t="s">
        <v>47</v>
      </c>
      <c r="O12" s="8" t="s">
        <v>48</v>
      </c>
      <c r="P12" s="8" t="s">
        <v>168</v>
      </c>
      <c r="Q12" s="24" t="s">
        <v>34</v>
      </c>
    </row>
    <row r="13" spans="1:20" x14ac:dyDescent="0.3">
      <c r="A13" s="18" t="s">
        <v>4</v>
      </c>
      <c r="B13" s="21">
        <v>79</v>
      </c>
      <c r="C13" s="18">
        <v>6.0769230769230766</v>
      </c>
      <c r="D13" s="14">
        <v>7</v>
      </c>
      <c r="E13" s="21">
        <v>6</v>
      </c>
      <c r="F13" s="21">
        <v>6</v>
      </c>
      <c r="G13" s="21">
        <v>6</v>
      </c>
      <c r="H13" s="21">
        <v>6</v>
      </c>
      <c r="I13" s="21">
        <v>6</v>
      </c>
      <c r="J13" s="21">
        <v>6</v>
      </c>
      <c r="K13" s="21">
        <v>6</v>
      </c>
      <c r="L13" s="21">
        <v>6</v>
      </c>
      <c r="M13" s="21">
        <v>6</v>
      </c>
      <c r="N13" s="21">
        <v>6</v>
      </c>
      <c r="O13" s="21">
        <v>7</v>
      </c>
      <c r="P13" s="21">
        <v>6</v>
      </c>
      <c r="Q13" s="23">
        <f>SUM(D13:P13)</f>
        <v>80</v>
      </c>
      <c r="R13">
        <f>Q13-T2</f>
        <v>0</v>
      </c>
    </row>
    <row r="14" spans="1:20" x14ac:dyDescent="0.3">
      <c r="A14" s="18" t="s">
        <v>8</v>
      </c>
      <c r="B14" s="18">
        <v>215</v>
      </c>
      <c r="C14" s="18">
        <v>16.53846153846154</v>
      </c>
      <c r="D14" s="16">
        <v>17</v>
      </c>
      <c r="E14" s="75">
        <v>17</v>
      </c>
      <c r="F14" s="21">
        <v>16</v>
      </c>
      <c r="G14" s="16">
        <v>17</v>
      </c>
      <c r="H14" s="75">
        <v>17</v>
      </c>
      <c r="I14" s="21">
        <v>16</v>
      </c>
      <c r="J14" s="16">
        <v>17</v>
      </c>
      <c r="K14" s="75">
        <v>17</v>
      </c>
      <c r="L14" s="21">
        <v>16</v>
      </c>
      <c r="M14" s="16">
        <v>17</v>
      </c>
      <c r="N14" s="21">
        <v>16</v>
      </c>
      <c r="O14" s="21">
        <v>16</v>
      </c>
      <c r="P14" s="16">
        <v>17</v>
      </c>
      <c r="Q14" s="23">
        <f t="shared" ref="Q14:Q17" si="10">SUM(D14:P14)</f>
        <v>216</v>
      </c>
      <c r="R14" s="52">
        <f t="shared" ref="R14:R17" si="11">Q14-T3</f>
        <v>0</v>
      </c>
    </row>
    <row r="15" spans="1:20" x14ac:dyDescent="0.3">
      <c r="A15" s="18" t="s">
        <v>10</v>
      </c>
      <c r="B15" s="21">
        <v>91</v>
      </c>
      <c r="C15" s="18">
        <v>7</v>
      </c>
      <c r="D15" s="21">
        <v>7</v>
      </c>
      <c r="E15" s="21">
        <v>7</v>
      </c>
      <c r="F15" s="21">
        <v>7</v>
      </c>
      <c r="G15" s="21">
        <v>7</v>
      </c>
      <c r="H15" s="21">
        <v>7</v>
      </c>
      <c r="I15" s="21">
        <v>7</v>
      </c>
      <c r="J15" s="21">
        <v>7</v>
      </c>
      <c r="K15" s="21">
        <v>7</v>
      </c>
      <c r="L15" s="21">
        <v>7</v>
      </c>
      <c r="M15" s="21">
        <v>7</v>
      </c>
      <c r="N15" s="21">
        <v>7</v>
      </c>
      <c r="O15" s="21">
        <v>7</v>
      </c>
      <c r="P15" s="21">
        <v>8</v>
      </c>
      <c r="Q15" s="23">
        <f t="shared" si="10"/>
        <v>92</v>
      </c>
      <c r="R15" s="52">
        <f t="shared" si="11"/>
        <v>0</v>
      </c>
    </row>
    <row r="16" spans="1:20" x14ac:dyDescent="0.3">
      <c r="A16" s="18" t="s">
        <v>17</v>
      </c>
      <c r="B16" s="18">
        <v>253</v>
      </c>
      <c r="C16" s="18">
        <v>19.46153846153846</v>
      </c>
      <c r="D16" s="21">
        <v>19</v>
      </c>
      <c r="E16" s="16">
        <v>20</v>
      </c>
      <c r="F16" s="75">
        <v>20</v>
      </c>
      <c r="G16" s="21">
        <v>19</v>
      </c>
      <c r="H16" s="16">
        <v>20</v>
      </c>
      <c r="I16" s="75">
        <v>20</v>
      </c>
      <c r="J16" s="21">
        <v>19</v>
      </c>
      <c r="K16" s="16">
        <v>20</v>
      </c>
      <c r="L16" s="75">
        <v>20</v>
      </c>
      <c r="M16" s="21">
        <v>19</v>
      </c>
      <c r="N16" s="16">
        <v>20</v>
      </c>
      <c r="O16" s="21">
        <v>19</v>
      </c>
      <c r="P16" s="21">
        <v>19</v>
      </c>
      <c r="Q16" s="23">
        <f t="shared" si="10"/>
        <v>254</v>
      </c>
      <c r="R16" s="52">
        <f t="shared" si="11"/>
        <v>0</v>
      </c>
    </row>
    <row r="17" spans="1:20" x14ac:dyDescent="0.3">
      <c r="A17" s="18" t="s">
        <v>21</v>
      </c>
      <c r="B17" s="21">
        <v>72</v>
      </c>
      <c r="C17" s="18">
        <v>5.5384615384615383</v>
      </c>
      <c r="D17" s="21">
        <v>5</v>
      </c>
      <c r="E17" s="21">
        <v>5</v>
      </c>
      <c r="F17" s="16">
        <v>6</v>
      </c>
      <c r="G17" s="75">
        <v>6</v>
      </c>
      <c r="H17" s="21">
        <v>5</v>
      </c>
      <c r="I17" s="16">
        <v>6</v>
      </c>
      <c r="J17" s="75">
        <v>6</v>
      </c>
      <c r="K17" s="21">
        <v>5</v>
      </c>
      <c r="L17" s="16">
        <v>6</v>
      </c>
      <c r="M17" s="75">
        <v>6</v>
      </c>
      <c r="N17" s="14">
        <v>6</v>
      </c>
      <c r="O17" s="16">
        <v>6</v>
      </c>
      <c r="P17" s="21">
        <v>5</v>
      </c>
      <c r="Q17" s="23">
        <f t="shared" si="10"/>
        <v>73</v>
      </c>
      <c r="R17" s="52">
        <f t="shared" si="11"/>
        <v>0</v>
      </c>
    </row>
    <row r="18" spans="1:20" x14ac:dyDescent="0.3">
      <c r="A18" s="52"/>
      <c r="B18" s="52">
        <v>710</v>
      </c>
      <c r="C18" s="52"/>
      <c r="D18" s="52">
        <f>SUM(D13:D17)</f>
        <v>55</v>
      </c>
      <c r="E18" s="52">
        <f t="shared" ref="E18:P18" si="12">SUM(E13:E17)</f>
        <v>55</v>
      </c>
      <c r="F18" s="52">
        <f t="shared" si="12"/>
        <v>55</v>
      </c>
      <c r="G18" s="52">
        <f t="shared" si="12"/>
        <v>55</v>
      </c>
      <c r="H18" s="52">
        <f t="shared" si="12"/>
        <v>55</v>
      </c>
      <c r="I18" s="52">
        <f t="shared" si="12"/>
        <v>55</v>
      </c>
      <c r="J18" s="52">
        <f t="shared" si="12"/>
        <v>55</v>
      </c>
      <c r="K18" s="52">
        <f t="shared" si="12"/>
        <v>55</v>
      </c>
      <c r="L18" s="52">
        <f t="shared" si="12"/>
        <v>55</v>
      </c>
      <c r="M18" s="52">
        <f t="shared" si="12"/>
        <v>55</v>
      </c>
      <c r="N18" s="52">
        <f t="shared" si="12"/>
        <v>55</v>
      </c>
      <c r="O18" s="52">
        <f t="shared" si="12"/>
        <v>55</v>
      </c>
      <c r="P18" s="52">
        <f t="shared" si="12"/>
        <v>55</v>
      </c>
      <c r="Q18" s="24">
        <f>SUM(Q13:Q17)</f>
        <v>715</v>
      </c>
      <c r="R18">
        <f>Q18*12</f>
        <v>8580</v>
      </c>
      <c r="S18">
        <f>R18/(52*4)</f>
        <v>41.25</v>
      </c>
      <c r="T18">
        <v>42</v>
      </c>
    </row>
    <row r="19" spans="1:20" x14ac:dyDescent="0.3">
      <c r="Q19" s="76">
        <f>Q18+13</f>
        <v>728</v>
      </c>
      <c r="R19">
        <f>Q19*12</f>
        <v>8736</v>
      </c>
      <c r="S19">
        <f>R19/(52*4)</f>
        <v>42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"/>
  <sheetViews>
    <sheetView zoomScale="130" zoomScaleNormal="130" workbookViewId="0">
      <selection activeCell="C2" sqref="C2"/>
    </sheetView>
  </sheetViews>
  <sheetFormatPr baseColWidth="10" defaultRowHeight="14.4" x14ac:dyDescent="0.3"/>
  <cols>
    <col min="4" max="12" width="5.5546875" bestFit="1" customWidth="1"/>
    <col min="13" max="15" width="6.5546875" bestFit="1" customWidth="1"/>
    <col min="16" max="16" width="6.33203125" bestFit="1" customWidth="1"/>
  </cols>
  <sheetData>
    <row r="1" spans="1:16" x14ac:dyDescent="0.3">
      <c r="A1" s="1" t="s">
        <v>0</v>
      </c>
      <c r="B1" s="5" t="s">
        <v>35</v>
      </c>
      <c r="C1" s="10" t="s">
        <v>36</v>
      </c>
      <c r="D1" s="14" t="s">
        <v>37</v>
      </c>
      <c r="E1" s="14" t="s">
        <v>38</v>
      </c>
      <c r="F1" s="14" t="s">
        <v>39</v>
      </c>
      <c r="G1" s="14" t="s">
        <v>40</v>
      </c>
      <c r="H1" s="15" t="s">
        <v>41</v>
      </c>
      <c r="I1" s="15" t="s">
        <v>42</v>
      </c>
      <c r="J1" s="15" t="s">
        <v>43</v>
      </c>
      <c r="K1" s="15" t="s">
        <v>44</v>
      </c>
      <c r="L1" s="16" t="s">
        <v>45</v>
      </c>
      <c r="M1" s="16" t="s">
        <v>46</v>
      </c>
      <c r="N1" s="16" t="s">
        <v>47</v>
      </c>
      <c r="O1" s="16" t="s">
        <v>48</v>
      </c>
      <c r="P1" s="17" t="s">
        <v>34</v>
      </c>
    </row>
    <row r="2" spans="1:16" x14ac:dyDescent="0.3">
      <c r="A2" s="20" t="s">
        <v>2</v>
      </c>
      <c r="B2" s="18">
        <v>96</v>
      </c>
      <c r="C2" s="18">
        <f>B2/12</f>
        <v>8</v>
      </c>
      <c r="D2" s="18">
        <f>$C$2</f>
        <v>8</v>
      </c>
      <c r="E2" s="18">
        <f t="shared" ref="E2:O2" si="0">$C$2</f>
        <v>8</v>
      </c>
      <c r="F2" s="18">
        <f t="shared" si="0"/>
        <v>8</v>
      </c>
      <c r="G2" s="18">
        <f t="shared" si="0"/>
        <v>8</v>
      </c>
      <c r="H2" s="18">
        <f t="shared" si="0"/>
        <v>8</v>
      </c>
      <c r="I2" s="18">
        <f t="shared" si="0"/>
        <v>8</v>
      </c>
      <c r="J2" s="18">
        <f t="shared" si="0"/>
        <v>8</v>
      </c>
      <c r="K2" s="18">
        <f t="shared" si="0"/>
        <v>8</v>
      </c>
      <c r="L2" s="18">
        <f t="shared" si="0"/>
        <v>8</v>
      </c>
      <c r="M2" s="18">
        <f t="shared" si="0"/>
        <v>8</v>
      </c>
      <c r="N2" s="18">
        <f t="shared" si="0"/>
        <v>8</v>
      </c>
      <c r="O2" s="18">
        <f t="shared" si="0"/>
        <v>8</v>
      </c>
      <c r="P2" s="18">
        <f>SUM(D2:O2)</f>
        <v>96</v>
      </c>
    </row>
    <row r="3" spans="1:16" x14ac:dyDescent="0.3">
      <c r="A3" s="20" t="s">
        <v>5</v>
      </c>
      <c r="B3" s="18">
        <v>96</v>
      </c>
      <c r="C3" s="18">
        <f t="shared" ref="C3:C8" si="1">B3/12</f>
        <v>8</v>
      </c>
      <c r="D3" s="18">
        <f>$C$3</f>
        <v>8</v>
      </c>
      <c r="E3" s="18">
        <f t="shared" ref="E3:O3" si="2">$C$3</f>
        <v>8</v>
      </c>
      <c r="F3" s="18">
        <f t="shared" si="2"/>
        <v>8</v>
      </c>
      <c r="G3" s="18">
        <f t="shared" si="2"/>
        <v>8</v>
      </c>
      <c r="H3" s="18">
        <f t="shared" si="2"/>
        <v>8</v>
      </c>
      <c r="I3" s="18">
        <f t="shared" si="2"/>
        <v>8</v>
      </c>
      <c r="J3" s="18">
        <f t="shared" si="2"/>
        <v>8</v>
      </c>
      <c r="K3" s="18">
        <f t="shared" si="2"/>
        <v>8</v>
      </c>
      <c r="L3" s="18">
        <f t="shared" si="2"/>
        <v>8</v>
      </c>
      <c r="M3" s="18">
        <f t="shared" si="2"/>
        <v>8</v>
      </c>
      <c r="N3" s="18">
        <f t="shared" si="2"/>
        <v>8</v>
      </c>
      <c r="O3" s="18">
        <f t="shared" si="2"/>
        <v>8</v>
      </c>
      <c r="P3" s="18">
        <f t="shared" ref="P3:P8" si="3">SUM(D3:O3)</f>
        <v>96</v>
      </c>
    </row>
    <row r="4" spans="1:16" x14ac:dyDescent="0.3">
      <c r="A4" s="20" t="s">
        <v>6</v>
      </c>
      <c r="B4" s="18">
        <v>105</v>
      </c>
      <c r="C4" s="18">
        <f t="shared" si="1"/>
        <v>8.75</v>
      </c>
      <c r="D4" s="18">
        <v>8</v>
      </c>
      <c r="E4" s="18">
        <v>9</v>
      </c>
      <c r="F4" s="18">
        <v>9</v>
      </c>
      <c r="G4" s="18">
        <v>9</v>
      </c>
      <c r="H4" s="18">
        <f>D4</f>
        <v>8</v>
      </c>
      <c r="I4" s="18">
        <f t="shared" ref="I4:O5" si="4">E4</f>
        <v>9</v>
      </c>
      <c r="J4" s="18">
        <f t="shared" si="4"/>
        <v>9</v>
      </c>
      <c r="K4" s="18">
        <f t="shared" si="4"/>
        <v>9</v>
      </c>
      <c r="L4" s="18">
        <f t="shared" si="4"/>
        <v>8</v>
      </c>
      <c r="M4" s="18">
        <f t="shared" si="4"/>
        <v>9</v>
      </c>
      <c r="N4" s="18">
        <f t="shared" si="4"/>
        <v>9</v>
      </c>
      <c r="O4" s="18">
        <f t="shared" si="4"/>
        <v>9</v>
      </c>
      <c r="P4" s="18">
        <f t="shared" si="3"/>
        <v>105</v>
      </c>
    </row>
    <row r="5" spans="1:16" x14ac:dyDescent="0.3">
      <c r="A5" s="20" t="s">
        <v>15</v>
      </c>
      <c r="B5" s="18">
        <v>66</v>
      </c>
      <c r="C5" s="18">
        <f t="shared" si="1"/>
        <v>5.5</v>
      </c>
      <c r="D5" s="18">
        <v>6</v>
      </c>
      <c r="E5" s="18">
        <v>6</v>
      </c>
      <c r="F5" s="18">
        <v>5</v>
      </c>
      <c r="G5" s="18">
        <v>6</v>
      </c>
      <c r="H5" s="18">
        <f>D5</f>
        <v>6</v>
      </c>
      <c r="I5" s="18">
        <f t="shared" si="4"/>
        <v>6</v>
      </c>
      <c r="J5" s="18">
        <f t="shared" si="4"/>
        <v>5</v>
      </c>
      <c r="K5" s="18">
        <f t="shared" si="4"/>
        <v>6</v>
      </c>
      <c r="L5" s="18">
        <f t="shared" si="4"/>
        <v>6</v>
      </c>
      <c r="M5" s="18">
        <f t="shared" si="4"/>
        <v>6</v>
      </c>
      <c r="N5" s="18">
        <f t="shared" si="4"/>
        <v>5</v>
      </c>
      <c r="O5" s="18">
        <f t="shared" si="4"/>
        <v>6</v>
      </c>
      <c r="P5" s="18">
        <f t="shared" si="3"/>
        <v>69</v>
      </c>
    </row>
    <row r="6" spans="1:16" x14ac:dyDescent="0.3">
      <c r="A6" s="20" t="s">
        <v>16</v>
      </c>
      <c r="B6" s="18">
        <v>84</v>
      </c>
      <c r="C6" s="18">
        <f t="shared" si="1"/>
        <v>7</v>
      </c>
      <c r="D6" s="18">
        <f>$C$6</f>
        <v>7</v>
      </c>
      <c r="E6" s="18">
        <f t="shared" ref="E6:O6" si="5">$C$6</f>
        <v>7</v>
      </c>
      <c r="F6" s="18">
        <f t="shared" si="5"/>
        <v>7</v>
      </c>
      <c r="G6" s="18">
        <f t="shared" si="5"/>
        <v>7</v>
      </c>
      <c r="H6" s="18">
        <f t="shared" si="5"/>
        <v>7</v>
      </c>
      <c r="I6" s="18">
        <f t="shared" si="5"/>
        <v>7</v>
      </c>
      <c r="J6" s="18">
        <f t="shared" si="5"/>
        <v>7</v>
      </c>
      <c r="K6" s="18">
        <f t="shared" si="5"/>
        <v>7</v>
      </c>
      <c r="L6" s="18">
        <f t="shared" si="5"/>
        <v>7</v>
      </c>
      <c r="M6" s="18">
        <f t="shared" si="5"/>
        <v>7</v>
      </c>
      <c r="N6" s="18">
        <f t="shared" si="5"/>
        <v>7</v>
      </c>
      <c r="O6" s="18">
        <f t="shared" si="5"/>
        <v>7</v>
      </c>
      <c r="P6" s="18">
        <f t="shared" si="3"/>
        <v>84</v>
      </c>
    </row>
    <row r="7" spans="1:16" x14ac:dyDescent="0.3">
      <c r="A7" s="20" t="s">
        <v>18</v>
      </c>
      <c r="B7" s="18">
        <v>216</v>
      </c>
      <c r="C7" s="18">
        <f t="shared" si="1"/>
        <v>18</v>
      </c>
      <c r="D7" s="18">
        <f>$C$7</f>
        <v>18</v>
      </c>
      <c r="E7" s="18">
        <f t="shared" ref="E7:O7" si="6">$C$7</f>
        <v>18</v>
      </c>
      <c r="F7" s="18">
        <f t="shared" si="6"/>
        <v>18</v>
      </c>
      <c r="G7" s="18">
        <f t="shared" si="6"/>
        <v>18</v>
      </c>
      <c r="H7" s="18">
        <f t="shared" si="6"/>
        <v>18</v>
      </c>
      <c r="I7" s="18">
        <f t="shared" si="6"/>
        <v>18</v>
      </c>
      <c r="J7" s="18">
        <f t="shared" si="6"/>
        <v>18</v>
      </c>
      <c r="K7" s="18">
        <f t="shared" si="6"/>
        <v>18</v>
      </c>
      <c r="L7" s="18">
        <f t="shared" si="6"/>
        <v>18</v>
      </c>
      <c r="M7" s="18">
        <f t="shared" si="6"/>
        <v>18</v>
      </c>
      <c r="N7" s="18">
        <f t="shared" si="6"/>
        <v>18</v>
      </c>
      <c r="O7" s="18">
        <f t="shared" si="6"/>
        <v>18</v>
      </c>
      <c r="P7" s="18">
        <f t="shared" si="3"/>
        <v>216</v>
      </c>
    </row>
    <row r="8" spans="1:16" x14ac:dyDescent="0.3">
      <c r="A8" s="20" t="s">
        <v>22</v>
      </c>
      <c r="B8" s="18">
        <v>66</v>
      </c>
      <c r="C8" s="18">
        <f t="shared" si="1"/>
        <v>5.5</v>
      </c>
      <c r="D8" s="18">
        <v>6</v>
      </c>
      <c r="E8" s="18">
        <v>5</v>
      </c>
      <c r="F8" s="18">
        <v>6</v>
      </c>
      <c r="G8" s="18">
        <v>5</v>
      </c>
      <c r="H8" s="18">
        <f>D8</f>
        <v>6</v>
      </c>
      <c r="I8" s="18">
        <f t="shared" ref="I8:O8" si="7">E8</f>
        <v>5</v>
      </c>
      <c r="J8" s="18">
        <f t="shared" si="7"/>
        <v>6</v>
      </c>
      <c r="K8" s="18">
        <f t="shared" si="7"/>
        <v>5</v>
      </c>
      <c r="L8" s="18">
        <f t="shared" si="7"/>
        <v>6</v>
      </c>
      <c r="M8" s="18">
        <f t="shared" si="7"/>
        <v>5</v>
      </c>
      <c r="N8" s="18">
        <f t="shared" si="7"/>
        <v>6</v>
      </c>
      <c r="O8" s="18">
        <f t="shared" si="7"/>
        <v>5</v>
      </c>
      <c r="P8" s="18">
        <f t="shared" si="3"/>
        <v>66</v>
      </c>
    </row>
    <row r="9" spans="1:16" x14ac:dyDescent="0.3">
      <c r="B9" s="18">
        <f>SUM(B2:B8)</f>
        <v>729</v>
      </c>
      <c r="D9" s="18">
        <f>SUM(D2:D8)</f>
        <v>61</v>
      </c>
      <c r="E9" s="18">
        <f t="shared" ref="E9:P9" si="8">SUM(E2:E8)</f>
        <v>61</v>
      </c>
      <c r="F9" s="18">
        <f t="shared" si="8"/>
        <v>61</v>
      </c>
      <c r="G9" s="18">
        <f t="shared" si="8"/>
        <v>61</v>
      </c>
      <c r="H9" s="18">
        <f t="shared" si="8"/>
        <v>61</v>
      </c>
      <c r="I9" s="18">
        <f t="shared" si="8"/>
        <v>61</v>
      </c>
      <c r="J9" s="18">
        <f t="shared" si="8"/>
        <v>61</v>
      </c>
      <c r="K9" s="18">
        <f t="shared" si="8"/>
        <v>61</v>
      </c>
      <c r="L9" s="18">
        <f t="shared" si="8"/>
        <v>61</v>
      </c>
      <c r="M9" s="18">
        <f t="shared" si="8"/>
        <v>61</v>
      </c>
      <c r="N9" s="18">
        <f t="shared" si="8"/>
        <v>61</v>
      </c>
      <c r="O9" s="18">
        <f t="shared" si="8"/>
        <v>61</v>
      </c>
      <c r="P9" s="18">
        <f t="shared" si="8"/>
        <v>732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"/>
  <sheetViews>
    <sheetView zoomScale="130" zoomScaleNormal="130" workbookViewId="0">
      <selection activeCell="B2" sqref="B2"/>
    </sheetView>
  </sheetViews>
  <sheetFormatPr baseColWidth="10" defaultRowHeight="14.4" x14ac:dyDescent="0.3"/>
  <cols>
    <col min="4" max="12" width="5.5546875" bestFit="1" customWidth="1"/>
    <col min="13" max="15" width="6.5546875" bestFit="1" customWidth="1"/>
  </cols>
  <sheetData>
    <row r="1" spans="1:16" x14ac:dyDescent="0.3">
      <c r="A1" s="1" t="s">
        <v>0</v>
      </c>
      <c r="B1" s="5" t="s">
        <v>35</v>
      </c>
      <c r="D1" s="6" t="s">
        <v>37</v>
      </c>
      <c r="E1" s="6" t="s">
        <v>38</v>
      </c>
      <c r="F1" s="6" t="s">
        <v>39</v>
      </c>
      <c r="G1" s="6" t="s">
        <v>40</v>
      </c>
      <c r="H1" s="7" t="s">
        <v>41</v>
      </c>
      <c r="I1" s="7" t="s">
        <v>42</v>
      </c>
      <c r="J1" s="7" t="s">
        <v>43</v>
      </c>
      <c r="K1" s="7" t="s">
        <v>44</v>
      </c>
      <c r="L1" s="8" t="s">
        <v>45</v>
      </c>
      <c r="M1" s="8" t="s">
        <v>46</v>
      </c>
      <c r="N1" s="8" t="s">
        <v>47</v>
      </c>
      <c r="O1" s="8" t="s">
        <v>48</v>
      </c>
      <c r="P1" s="9" t="s">
        <v>34</v>
      </c>
    </row>
    <row r="2" spans="1:16" x14ac:dyDescent="0.3">
      <c r="A2" s="2" t="s">
        <v>9</v>
      </c>
      <c r="B2">
        <v>336</v>
      </c>
      <c r="C2">
        <f>B2/12</f>
        <v>28</v>
      </c>
      <c r="D2">
        <f>$C$2</f>
        <v>28</v>
      </c>
      <c r="E2">
        <f t="shared" ref="E2:O2" si="0">$C$2</f>
        <v>28</v>
      </c>
      <c r="F2">
        <f t="shared" si="0"/>
        <v>28</v>
      </c>
      <c r="G2">
        <f t="shared" si="0"/>
        <v>28</v>
      </c>
      <c r="H2">
        <f t="shared" si="0"/>
        <v>28</v>
      </c>
      <c r="I2">
        <f t="shared" si="0"/>
        <v>28</v>
      </c>
      <c r="J2">
        <f t="shared" si="0"/>
        <v>28</v>
      </c>
      <c r="K2">
        <f t="shared" si="0"/>
        <v>28</v>
      </c>
      <c r="L2">
        <f t="shared" si="0"/>
        <v>28</v>
      </c>
      <c r="M2">
        <f t="shared" si="0"/>
        <v>28</v>
      </c>
      <c r="N2">
        <f t="shared" si="0"/>
        <v>28</v>
      </c>
      <c r="O2">
        <f t="shared" si="0"/>
        <v>28</v>
      </c>
      <c r="P2">
        <f>SUM(D2:O2)</f>
        <v>336</v>
      </c>
    </row>
    <row r="3" spans="1:16" x14ac:dyDescent="0.3">
      <c r="A3" s="2" t="s">
        <v>12</v>
      </c>
      <c r="B3">
        <v>111</v>
      </c>
      <c r="C3">
        <f t="shared" ref="C3:C6" si="1">B3/12</f>
        <v>9.25</v>
      </c>
      <c r="D3">
        <v>9</v>
      </c>
      <c r="E3">
        <v>9</v>
      </c>
      <c r="F3">
        <v>9</v>
      </c>
      <c r="G3">
        <v>10</v>
      </c>
      <c r="H3">
        <v>9</v>
      </c>
      <c r="I3">
        <v>9</v>
      </c>
      <c r="J3">
        <v>9</v>
      </c>
      <c r="K3">
        <v>10</v>
      </c>
      <c r="L3">
        <v>9</v>
      </c>
      <c r="M3">
        <v>9</v>
      </c>
      <c r="N3">
        <v>9</v>
      </c>
      <c r="O3">
        <v>10</v>
      </c>
      <c r="P3">
        <f t="shared" ref="P3:P7" si="2">SUM(D3:O3)</f>
        <v>111</v>
      </c>
    </row>
    <row r="4" spans="1:16" x14ac:dyDescent="0.3">
      <c r="A4" s="2" t="s">
        <v>13</v>
      </c>
      <c r="B4">
        <v>282</v>
      </c>
      <c r="C4">
        <f t="shared" si="1"/>
        <v>23.5</v>
      </c>
      <c r="D4">
        <v>24</v>
      </c>
      <c r="E4">
        <v>23</v>
      </c>
      <c r="F4">
        <v>24</v>
      </c>
      <c r="G4">
        <v>23</v>
      </c>
      <c r="H4">
        <f>D4</f>
        <v>24</v>
      </c>
      <c r="I4">
        <f t="shared" ref="I4:O5" si="3">E4</f>
        <v>23</v>
      </c>
      <c r="J4">
        <f t="shared" si="3"/>
        <v>24</v>
      </c>
      <c r="K4">
        <f t="shared" si="3"/>
        <v>23</v>
      </c>
      <c r="L4">
        <f t="shared" si="3"/>
        <v>24</v>
      </c>
      <c r="M4">
        <f t="shared" si="3"/>
        <v>23</v>
      </c>
      <c r="N4">
        <f t="shared" si="3"/>
        <v>24</v>
      </c>
      <c r="O4">
        <f t="shared" si="3"/>
        <v>23</v>
      </c>
      <c r="P4">
        <f t="shared" si="2"/>
        <v>282</v>
      </c>
    </row>
    <row r="5" spans="1:16" x14ac:dyDescent="0.3">
      <c r="A5" s="2" t="s">
        <v>23</v>
      </c>
      <c r="B5">
        <v>147</v>
      </c>
      <c r="C5">
        <f t="shared" si="1"/>
        <v>12.25</v>
      </c>
      <c r="D5">
        <v>12</v>
      </c>
      <c r="E5">
        <v>13</v>
      </c>
      <c r="F5">
        <v>12</v>
      </c>
      <c r="G5">
        <v>12</v>
      </c>
      <c r="H5">
        <f>D5</f>
        <v>12</v>
      </c>
      <c r="I5">
        <f t="shared" si="3"/>
        <v>13</v>
      </c>
      <c r="J5">
        <f t="shared" si="3"/>
        <v>12</v>
      </c>
      <c r="K5">
        <f t="shared" si="3"/>
        <v>12</v>
      </c>
      <c r="L5">
        <f t="shared" si="3"/>
        <v>12</v>
      </c>
      <c r="M5">
        <f t="shared" si="3"/>
        <v>13</v>
      </c>
      <c r="N5">
        <f t="shared" si="3"/>
        <v>12</v>
      </c>
      <c r="O5">
        <f t="shared" si="3"/>
        <v>12</v>
      </c>
      <c r="P5">
        <f t="shared" si="2"/>
        <v>147</v>
      </c>
    </row>
    <row r="6" spans="1:16" x14ac:dyDescent="0.3">
      <c r="A6" s="2" t="s">
        <v>24</v>
      </c>
      <c r="B6">
        <v>60</v>
      </c>
      <c r="C6">
        <f t="shared" si="1"/>
        <v>5</v>
      </c>
      <c r="D6">
        <f>$C$6</f>
        <v>5</v>
      </c>
      <c r="E6">
        <f t="shared" ref="E6:O6" si="4">$C$6</f>
        <v>5</v>
      </c>
      <c r="F6">
        <f t="shared" si="4"/>
        <v>5</v>
      </c>
      <c r="G6">
        <f t="shared" si="4"/>
        <v>5</v>
      </c>
      <c r="H6">
        <f t="shared" si="4"/>
        <v>5</v>
      </c>
      <c r="I6">
        <f t="shared" si="4"/>
        <v>5</v>
      </c>
      <c r="J6">
        <f t="shared" si="4"/>
        <v>5</v>
      </c>
      <c r="K6">
        <f t="shared" si="4"/>
        <v>5</v>
      </c>
      <c r="L6">
        <f t="shared" si="4"/>
        <v>5</v>
      </c>
      <c r="M6">
        <f t="shared" si="4"/>
        <v>5</v>
      </c>
      <c r="N6">
        <f t="shared" si="4"/>
        <v>5</v>
      </c>
      <c r="O6">
        <f t="shared" si="4"/>
        <v>5</v>
      </c>
      <c r="P6">
        <f t="shared" si="2"/>
        <v>60</v>
      </c>
    </row>
    <row r="7" spans="1:16" x14ac:dyDescent="0.3">
      <c r="B7">
        <f>SUM(B2:B6)</f>
        <v>936</v>
      </c>
      <c r="D7">
        <f>SUM(D2:D6)</f>
        <v>78</v>
      </c>
      <c r="E7">
        <f t="shared" ref="E7:O7" si="5">SUM(E2:E6)</f>
        <v>78</v>
      </c>
      <c r="F7">
        <f t="shared" si="5"/>
        <v>78</v>
      </c>
      <c r="G7">
        <f t="shared" si="5"/>
        <v>78</v>
      </c>
      <c r="H7">
        <f t="shared" si="5"/>
        <v>78</v>
      </c>
      <c r="I7">
        <f t="shared" si="5"/>
        <v>78</v>
      </c>
      <c r="J7">
        <f t="shared" si="5"/>
        <v>78</v>
      </c>
      <c r="K7">
        <f t="shared" si="5"/>
        <v>78</v>
      </c>
      <c r="L7">
        <f t="shared" si="5"/>
        <v>78</v>
      </c>
      <c r="M7">
        <f t="shared" si="5"/>
        <v>78</v>
      </c>
      <c r="N7">
        <f t="shared" si="5"/>
        <v>78</v>
      </c>
      <c r="O7">
        <f t="shared" si="5"/>
        <v>78</v>
      </c>
      <c r="P7">
        <f t="shared" si="2"/>
        <v>936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"/>
  <sheetViews>
    <sheetView zoomScale="130" zoomScaleNormal="130" workbookViewId="0">
      <selection activeCell="L12" sqref="L12"/>
    </sheetView>
  </sheetViews>
  <sheetFormatPr baseColWidth="10" defaultRowHeight="14.4" x14ac:dyDescent="0.3"/>
  <cols>
    <col min="1" max="1" width="15.5546875" bestFit="1" customWidth="1"/>
    <col min="2" max="2" width="14.21875" bestFit="1" customWidth="1"/>
    <col min="3" max="3" width="8.77734375" bestFit="1" customWidth="1"/>
    <col min="4" max="12" width="6" bestFit="1" customWidth="1"/>
    <col min="13" max="15" width="7.109375" bestFit="1" customWidth="1"/>
    <col min="17" max="17" width="3.77734375" customWidth="1"/>
  </cols>
  <sheetData>
    <row r="1" spans="1:17" x14ac:dyDescent="0.3">
      <c r="A1" s="12" t="s">
        <v>0</v>
      </c>
      <c r="B1" s="13" t="s">
        <v>35</v>
      </c>
      <c r="C1" s="28" t="s">
        <v>36</v>
      </c>
      <c r="D1" s="25" t="s">
        <v>37</v>
      </c>
      <c r="E1" s="25" t="s">
        <v>38</v>
      </c>
      <c r="F1" s="25" t="s">
        <v>39</v>
      </c>
      <c r="G1" s="25" t="s">
        <v>40</v>
      </c>
      <c r="H1" s="26" t="s">
        <v>41</v>
      </c>
      <c r="I1" s="26" t="s">
        <v>42</v>
      </c>
      <c r="J1" s="26" t="s">
        <v>43</v>
      </c>
      <c r="K1" s="26" t="s">
        <v>44</v>
      </c>
      <c r="L1" s="27" t="s">
        <v>45</v>
      </c>
      <c r="M1" s="27" t="s">
        <v>46</v>
      </c>
      <c r="N1" s="27" t="s">
        <v>47</v>
      </c>
      <c r="O1" s="27" t="s">
        <v>48</v>
      </c>
      <c r="P1" s="11" t="s">
        <v>34</v>
      </c>
    </row>
    <row r="2" spans="1:17" x14ac:dyDescent="0.3">
      <c r="A2" s="18" t="s">
        <v>1</v>
      </c>
      <c r="B2" s="18">
        <v>192</v>
      </c>
      <c r="C2" s="18">
        <f>B2/12</f>
        <v>16</v>
      </c>
      <c r="D2" s="21">
        <f>$C$2</f>
        <v>16</v>
      </c>
      <c r="E2" s="21">
        <f t="shared" ref="E2:O2" si="0">$C$2</f>
        <v>16</v>
      </c>
      <c r="F2" s="21">
        <f t="shared" si="0"/>
        <v>16</v>
      </c>
      <c r="G2" s="21">
        <f t="shared" si="0"/>
        <v>16</v>
      </c>
      <c r="H2" s="21">
        <f t="shared" si="0"/>
        <v>16</v>
      </c>
      <c r="I2" s="21">
        <f t="shared" si="0"/>
        <v>16</v>
      </c>
      <c r="J2" s="21">
        <f t="shared" si="0"/>
        <v>16</v>
      </c>
      <c r="K2" s="21">
        <f t="shared" si="0"/>
        <v>16</v>
      </c>
      <c r="L2" s="21">
        <f t="shared" si="0"/>
        <v>16</v>
      </c>
      <c r="M2" s="21">
        <f t="shared" si="0"/>
        <v>16</v>
      </c>
      <c r="N2" s="21">
        <f t="shared" si="0"/>
        <v>16</v>
      </c>
      <c r="O2" s="21">
        <f t="shared" si="0"/>
        <v>16</v>
      </c>
      <c r="P2" s="23">
        <f>SUM(D2:O2)</f>
        <v>192</v>
      </c>
    </row>
    <row r="3" spans="1:17" x14ac:dyDescent="0.3">
      <c r="A3" s="18" t="s">
        <v>3</v>
      </c>
      <c r="B3" s="18">
        <v>84</v>
      </c>
      <c r="C3" s="18">
        <f t="shared" ref="C3:C5" si="1">B3/12</f>
        <v>7</v>
      </c>
      <c r="D3" s="21">
        <f>$C$3</f>
        <v>7</v>
      </c>
      <c r="E3" s="21">
        <f t="shared" ref="E3:O3" si="2">$C$3</f>
        <v>7</v>
      </c>
      <c r="F3" s="21">
        <f t="shared" si="2"/>
        <v>7</v>
      </c>
      <c r="G3" s="21">
        <f t="shared" si="2"/>
        <v>7</v>
      </c>
      <c r="H3" s="21">
        <f t="shared" si="2"/>
        <v>7</v>
      </c>
      <c r="I3" s="21">
        <f t="shared" si="2"/>
        <v>7</v>
      </c>
      <c r="J3" s="21">
        <f t="shared" si="2"/>
        <v>7</v>
      </c>
      <c r="K3" s="21">
        <f t="shared" si="2"/>
        <v>7</v>
      </c>
      <c r="L3" s="21">
        <f t="shared" si="2"/>
        <v>7</v>
      </c>
      <c r="M3" s="21">
        <f t="shared" si="2"/>
        <v>7</v>
      </c>
      <c r="N3" s="21">
        <f t="shared" si="2"/>
        <v>7</v>
      </c>
      <c r="O3" s="21">
        <f t="shared" si="2"/>
        <v>7</v>
      </c>
      <c r="P3" s="23">
        <f t="shared" ref="P3:P8" si="3">SUM(D3:O3)</f>
        <v>84</v>
      </c>
    </row>
    <row r="4" spans="1:17" x14ac:dyDescent="0.3">
      <c r="A4" s="18" t="s">
        <v>11</v>
      </c>
      <c r="B4" s="18">
        <v>204</v>
      </c>
      <c r="C4" s="18">
        <f>B4/12</f>
        <v>17</v>
      </c>
      <c r="D4" s="21">
        <f t="shared" ref="D4:O4" si="4">$C$4</f>
        <v>17</v>
      </c>
      <c r="E4" s="21">
        <f t="shared" si="4"/>
        <v>17</v>
      </c>
      <c r="F4" s="21">
        <f t="shared" si="4"/>
        <v>17</v>
      </c>
      <c r="G4" s="21">
        <f t="shared" si="4"/>
        <v>17</v>
      </c>
      <c r="H4" s="21">
        <f t="shared" si="4"/>
        <v>17</v>
      </c>
      <c r="I4" s="21">
        <f t="shared" si="4"/>
        <v>17</v>
      </c>
      <c r="J4" s="21">
        <f t="shared" si="4"/>
        <v>17</v>
      </c>
      <c r="K4" s="21">
        <f t="shared" si="4"/>
        <v>17</v>
      </c>
      <c r="L4" s="21">
        <f t="shared" si="4"/>
        <v>17</v>
      </c>
      <c r="M4" s="21">
        <f t="shared" si="4"/>
        <v>17</v>
      </c>
      <c r="N4" s="21">
        <f t="shared" si="4"/>
        <v>17</v>
      </c>
      <c r="O4" s="21">
        <f t="shared" si="4"/>
        <v>17</v>
      </c>
      <c r="P4" s="23">
        <f>SUM(D4:O4)</f>
        <v>204</v>
      </c>
    </row>
    <row r="5" spans="1:17" x14ac:dyDescent="0.3">
      <c r="A5" s="21" t="s">
        <v>7</v>
      </c>
      <c r="B5" s="18">
        <f>183</f>
        <v>183</v>
      </c>
      <c r="C5" s="18">
        <f t="shared" si="1"/>
        <v>15.25</v>
      </c>
      <c r="D5" s="21">
        <v>15</v>
      </c>
      <c r="E5" s="21">
        <v>15</v>
      </c>
      <c r="F5" s="21">
        <v>15</v>
      </c>
      <c r="G5" s="21">
        <v>16</v>
      </c>
      <c r="H5" s="21">
        <f>D5</f>
        <v>15</v>
      </c>
      <c r="I5" s="21">
        <f t="shared" ref="I5:O5" si="5">E5</f>
        <v>15</v>
      </c>
      <c r="J5" s="21">
        <f t="shared" si="5"/>
        <v>15</v>
      </c>
      <c r="K5" s="21">
        <f t="shared" si="5"/>
        <v>16</v>
      </c>
      <c r="L5" s="21">
        <f t="shared" si="5"/>
        <v>15</v>
      </c>
      <c r="M5" s="21">
        <f t="shared" si="5"/>
        <v>15</v>
      </c>
      <c r="N5" s="21">
        <f t="shared" si="5"/>
        <v>15</v>
      </c>
      <c r="O5" s="21">
        <f t="shared" si="5"/>
        <v>16</v>
      </c>
      <c r="P5" s="23">
        <f t="shared" si="3"/>
        <v>183</v>
      </c>
    </row>
    <row r="6" spans="1:17" x14ac:dyDescent="0.3">
      <c r="A6" s="18" t="s">
        <v>14</v>
      </c>
      <c r="B6" s="18">
        <v>90</v>
      </c>
      <c r="C6" s="18">
        <f>B6/12</f>
        <v>7.5</v>
      </c>
      <c r="D6" s="21">
        <v>8</v>
      </c>
      <c r="E6" s="21">
        <v>7</v>
      </c>
      <c r="F6" s="21">
        <f>D6</f>
        <v>8</v>
      </c>
      <c r="G6" s="21">
        <f t="shared" ref="G6:O6" si="6">E6</f>
        <v>7</v>
      </c>
      <c r="H6" s="21">
        <f t="shared" si="6"/>
        <v>8</v>
      </c>
      <c r="I6" s="21">
        <f t="shared" si="6"/>
        <v>7</v>
      </c>
      <c r="J6" s="21">
        <f t="shared" si="6"/>
        <v>8</v>
      </c>
      <c r="K6" s="21">
        <f t="shared" si="6"/>
        <v>7</v>
      </c>
      <c r="L6" s="21">
        <f t="shared" si="6"/>
        <v>8</v>
      </c>
      <c r="M6" s="21">
        <f t="shared" si="6"/>
        <v>7</v>
      </c>
      <c r="N6" s="21">
        <f t="shared" si="6"/>
        <v>8</v>
      </c>
      <c r="O6" s="21">
        <f t="shared" si="6"/>
        <v>7</v>
      </c>
      <c r="P6" s="23">
        <f>SUM(D6:O6)</f>
        <v>90</v>
      </c>
    </row>
    <row r="7" spans="1:17" x14ac:dyDescent="0.3">
      <c r="A7" s="18" t="s">
        <v>19</v>
      </c>
      <c r="B7" s="18">
        <v>87</v>
      </c>
      <c r="C7" s="18">
        <f>B7/12</f>
        <v>7.25</v>
      </c>
      <c r="D7" s="22">
        <v>7</v>
      </c>
      <c r="E7" s="22">
        <v>8</v>
      </c>
      <c r="F7" s="22">
        <v>7</v>
      </c>
      <c r="G7" s="22">
        <v>7</v>
      </c>
      <c r="H7" s="22">
        <f>D7</f>
        <v>7</v>
      </c>
      <c r="I7" s="22">
        <f t="shared" ref="I7:O7" si="7">E7</f>
        <v>8</v>
      </c>
      <c r="J7" s="22">
        <f t="shared" si="7"/>
        <v>7</v>
      </c>
      <c r="K7" s="22">
        <f t="shared" si="7"/>
        <v>7</v>
      </c>
      <c r="L7" s="22">
        <f t="shared" si="7"/>
        <v>7</v>
      </c>
      <c r="M7" s="22">
        <f t="shared" si="7"/>
        <v>8</v>
      </c>
      <c r="N7" s="22">
        <f t="shared" si="7"/>
        <v>7</v>
      </c>
      <c r="O7" s="22">
        <f t="shared" si="7"/>
        <v>7</v>
      </c>
      <c r="P7" s="23">
        <f>SUM(D7:O7)</f>
        <v>87</v>
      </c>
    </row>
    <row r="8" spans="1:17" x14ac:dyDescent="0.3">
      <c r="B8" s="18">
        <f>SUM(B2:B7)</f>
        <v>840</v>
      </c>
      <c r="D8" s="18">
        <f t="shared" ref="D8:O8" si="8">SUM(D2:D7)</f>
        <v>70</v>
      </c>
      <c r="E8" s="18">
        <f t="shared" si="8"/>
        <v>70</v>
      </c>
      <c r="F8" s="18">
        <f t="shared" si="8"/>
        <v>70</v>
      </c>
      <c r="G8" s="18">
        <f t="shared" si="8"/>
        <v>70</v>
      </c>
      <c r="H8" s="18">
        <f t="shared" si="8"/>
        <v>70</v>
      </c>
      <c r="I8" s="18">
        <f t="shared" si="8"/>
        <v>70</v>
      </c>
      <c r="J8" s="18">
        <f t="shared" si="8"/>
        <v>70</v>
      </c>
      <c r="K8" s="18">
        <f t="shared" si="8"/>
        <v>70</v>
      </c>
      <c r="L8" s="18">
        <f t="shared" si="8"/>
        <v>70</v>
      </c>
      <c r="M8" s="18">
        <f t="shared" si="8"/>
        <v>70</v>
      </c>
      <c r="N8" s="18">
        <f t="shared" si="8"/>
        <v>70</v>
      </c>
      <c r="O8" s="18">
        <f t="shared" si="8"/>
        <v>70</v>
      </c>
      <c r="P8" s="23">
        <f t="shared" si="3"/>
        <v>840</v>
      </c>
    </row>
    <row r="12" spans="1:17" x14ac:dyDescent="0.3">
      <c r="A12" s="12" t="s">
        <v>0</v>
      </c>
      <c r="B12" s="13" t="s">
        <v>35</v>
      </c>
      <c r="C12" s="28" t="s">
        <v>36</v>
      </c>
      <c r="D12" s="25" t="s">
        <v>37</v>
      </c>
      <c r="E12" s="25" t="s">
        <v>38</v>
      </c>
      <c r="F12" s="25" t="s">
        <v>39</v>
      </c>
      <c r="G12" s="25" t="s">
        <v>40</v>
      </c>
      <c r="H12" s="26" t="s">
        <v>41</v>
      </c>
      <c r="I12" s="26" t="s">
        <v>42</v>
      </c>
      <c r="J12" s="26" t="s">
        <v>43</v>
      </c>
      <c r="K12" s="26" t="s">
        <v>44</v>
      </c>
      <c r="L12" s="27" t="s">
        <v>45</v>
      </c>
      <c r="M12" s="27" t="s">
        <v>46</v>
      </c>
      <c r="N12" s="27" t="s">
        <v>47</v>
      </c>
      <c r="O12" s="27" t="s">
        <v>48</v>
      </c>
      <c r="P12" s="11" t="s">
        <v>34</v>
      </c>
    </row>
    <row r="13" spans="1:17" x14ac:dyDescent="0.3">
      <c r="A13" s="19" t="s">
        <v>1</v>
      </c>
      <c r="B13" s="18">
        <v>192</v>
      </c>
      <c r="C13" s="18">
        <f>B13/12</f>
        <v>16</v>
      </c>
      <c r="D13" s="21">
        <f>$C$2</f>
        <v>16</v>
      </c>
      <c r="E13" s="65">
        <v>17</v>
      </c>
      <c r="F13" s="21">
        <f>D13</f>
        <v>16</v>
      </c>
      <c r="G13" s="65">
        <f>E13</f>
        <v>17</v>
      </c>
      <c r="H13" s="21">
        <f t="shared" ref="H13:O13" si="9">F13</f>
        <v>16</v>
      </c>
      <c r="I13" s="65">
        <f t="shared" si="9"/>
        <v>17</v>
      </c>
      <c r="J13" s="21">
        <f t="shared" si="9"/>
        <v>16</v>
      </c>
      <c r="K13" s="65">
        <f t="shared" si="9"/>
        <v>17</v>
      </c>
      <c r="L13" s="21">
        <f t="shared" si="9"/>
        <v>16</v>
      </c>
      <c r="M13" s="65">
        <f t="shared" si="9"/>
        <v>17</v>
      </c>
      <c r="N13" s="21">
        <f t="shared" si="9"/>
        <v>16</v>
      </c>
      <c r="O13" s="65">
        <f t="shared" si="9"/>
        <v>17</v>
      </c>
      <c r="P13" s="23">
        <f>SUM(D13:O13)</f>
        <v>198</v>
      </c>
      <c r="Q13" s="59">
        <f>-P8+P19</f>
        <v>36</v>
      </c>
    </row>
    <row r="14" spans="1:17" x14ac:dyDescent="0.3">
      <c r="A14" s="19" t="s">
        <v>3</v>
      </c>
      <c r="B14" s="18">
        <v>84</v>
      </c>
      <c r="C14" s="18">
        <f t="shared" ref="C14:C16" si="10">B14/12</f>
        <v>7</v>
      </c>
      <c r="D14" s="65">
        <v>8</v>
      </c>
      <c r="E14" s="21">
        <v>7</v>
      </c>
      <c r="F14" s="65">
        <f>D14</f>
        <v>8</v>
      </c>
      <c r="G14" s="21">
        <f t="shared" ref="G14:O14" si="11">$C$3</f>
        <v>7</v>
      </c>
      <c r="H14" s="65">
        <v>8</v>
      </c>
      <c r="I14" s="21">
        <f t="shared" si="11"/>
        <v>7</v>
      </c>
      <c r="J14" s="65">
        <v>8</v>
      </c>
      <c r="K14" s="21">
        <f t="shared" si="11"/>
        <v>7</v>
      </c>
      <c r="L14" s="65">
        <v>8</v>
      </c>
      <c r="M14" s="21">
        <f t="shared" si="11"/>
        <v>7</v>
      </c>
      <c r="N14" s="65">
        <v>8</v>
      </c>
      <c r="O14" s="21">
        <f t="shared" si="11"/>
        <v>7</v>
      </c>
      <c r="P14" s="23">
        <f t="shared" ref="P14" si="12">SUM(D14:O14)</f>
        <v>90</v>
      </c>
    </row>
    <row r="15" spans="1:17" x14ac:dyDescent="0.3">
      <c r="A15" s="18" t="s">
        <v>11</v>
      </c>
      <c r="B15" s="18">
        <v>204</v>
      </c>
      <c r="C15" s="18">
        <f>B15/12</f>
        <v>17</v>
      </c>
      <c r="D15" s="21">
        <f t="shared" ref="D15:O15" si="13">$C$4</f>
        <v>17</v>
      </c>
      <c r="E15" s="21">
        <f t="shared" si="13"/>
        <v>17</v>
      </c>
      <c r="F15" s="21">
        <f t="shared" si="13"/>
        <v>17</v>
      </c>
      <c r="G15" s="21">
        <f t="shared" si="13"/>
        <v>17</v>
      </c>
      <c r="H15" s="21">
        <f t="shared" si="13"/>
        <v>17</v>
      </c>
      <c r="I15" s="21">
        <f t="shared" si="13"/>
        <v>17</v>
      </c>
      <c r="J15" s="21">
        <f t="shared" si="13"/>
        <v>17</v>
      </c>
      <c r="K15" s="21">
        <f t="shared" si="13"/>
        <v>17</v>
      </c>
      <c r="L15" s="21">
        <f t="shared" si="13"/>
        <v>17</v>
      </c>
      <c r="M15" s="21">
        <f t="shared" si="13"/>
        <v>17</v>
      </c>
      <c r="N15" s="21">
        <f t="shared" si="13"/>
        <v>17</v>
      </c>
      <c r="O15" s="21">
        <f t="shared" si="13"/>
        <v>17</v>
      </c>
      <c r="P15" s="23">
        <f>SUM(D15:O15)</f>
        <v>204</v>
      </c>
    </row>
    <row r="16" spans="1:17" x14ac:dyDescent="0.3">
      <c r="A16" s="21" t="s">
        <v>7</v>
      </c>
      <c r="B16" s="18">
        <f>183+12</f>
        <v>195</v>
      </c>
      <c r="C16" s="18">
        <f t="shared" si="10"/>
        <v>16.25</v>
      </c>
      <c r="D16" s="21">
        <v>15</v>
      </c>
      <c r="E16" s="21">
        <v>15</v>
      </c>
      <c r="F16" s="21">
        <v>15</v>
      </c>
      <c r="G16" s="21">
        <v>16</v>
      </c>
      <c r="H16" s="21">
        <f>D16</f>
        <v>15</v>
      </c>
      <c r="I16" s="21">
        <f t="shared" ref="I16" si="14">E16</f>
        <v>15</v>
      </c>
      <c r="J16" s="21">
        <f t="shared" ref="J16" si="15">F16</f>
        <v>15</v>
      </c>
      <c r="K16" s="21">
        <f t="shared" ref="K16" si="16">G16</f>
        <v>16</v>
      </c>
      <c r="L16" s="21">
        <f t="shared" ref="L16" si="17">H16</f>
        <v>15</v>
      </c>
      <c r="M16" s="21">
        <f t="shared" ref="M16" si="18">I16</f>
        <v>15</v>
      </c>
      <c r="N16" s="21">
        <f t="shared" ref="N16" si="19">J16</f>
        <v>15</v>
      </c>
      <c r="O16" s="21">
        <f t="shared" ref="O16" si="20">K16</f>
        <v>16</v>
      </c>
      <c r="P16" s="23">
        <f t="shared" ref="P16" si="21">SUM(D16:O16)</f>
        <v>183</v>
      </c>
    </row>
    <row r="17" spans="1:16" x14ac:dyDescent="0.3">
      <c r="A17" s="19" t="s">
        <v>14</v>
      </c>
      <c r="B17" s="18">
        <v>90</v>
      </c>
      <c r="C17" s="18">
        <f>B17/12</f>
        <v>7.5</v>
      </c>
      <c r="D17" s="65">
        <v>9</v>
      </c>
      <c r="E17" s="65">
        <v>8</v>
      </c>
      <c r="F17" s="65">
        <f>D17</f>
        <v>9</v>
      </c>
      <c r="G17" s="65">
        <f t="shared" ref="G17:O17" si="22">E17</f>
        <v>8</v>
      </c>
      <c r="H17" s="65">
        <f t="shared" si="22"/>
        <v>9</v>
      </c>
      <c r="I17" s="65">
        <f t="shared" si="22"/>
        <v>8</v>
      </c>
      <c r="J17" s="65">
        <f t="shared" si="22"/>
        <v>9</v>
      </c>
      <c r="K17" s="65">
        <f t="shared" si="22"/>
        <v>8</v>
      </c>
      <c r="L17" s="65">
        <f t="shared" si="22"/>
        <v>9</v>
      </c>
      <c r="M17" s="65">
        <f t="shared" si="22"/>
        <v>8</v>
      </c>
      <c r="N17" s="65">
        <f t="shared" si="22"/>
        <v>9</v>
      </c>
      <c r="O17" s="65">
        <f t="shared" si="22"/>
        <v>8</v>
      </c>
      <c r="P17" s="23">
        <f>SUM(D17:O17)</f>
        <v>102</v>
      </c>
    </row>
    <row r="18" spans="1:16" x14ac:dyDescent="0.3">
      <c r="A18" s="19" t="s">
        <v>19</v>
      </c>
      <c r="B18" s="18">
        <v>87</v>
      </c>
      <c r="C18" s="18">
        <f>B18/12</f>
        <v>7.25</v>
      </c>
      <c r="D18" s="66">
        <v>8</v>
      </c>
      <c r="E18" s="66">
        <v>9</v>
      </c>
      <c r="F18" s="66">
        <v>8</v>
      </c>
      <c r="G18" s="66">
        <v>8</v>
      </c>
      <c r="H18" s="66">
        <f>D18</f>
        <v>8</v>
      </c>
      <c r="I18" s="66">
        <f t="shared" ref="I18:O18" si="23">E18</f>
        <v>9</v>
      </c>
      <c r="J18" s="66">
        <f t="shared" si="23"/>
        <v>8</v>
      </c>
      <c r="K18" s="66">
        <f t="shared" si="23"/>
        <v>8</v>
      </c>
      <c r="L18" s="66">
        <f t="shared" si="23"/>
        <v>8</v>
      </c>
      <c r="M18" s="66">
        <f t="shared" si="23"/>
        <v>9</v>
      </c>
      <c r="N18" s="66">
        <f t="shared" si="23"/>
        <v>8</v>
      </c>
      <c r="O18" s="66">
        <f t="shared" si="23"/>
        <v>8</v>
      </c>
      <c r="P18" s="23">
        <f>SUM(D18:O18)</f>
        <v>99</v>
      </c>
    </row>
    <row r="19" spans="1:16" x14ac:dyDescent="0.3">
      <c r="A19" s="52"/>
      <c r="B19" s="18">
        <f>SUM(B13:B18)</f>
        <v>852</v>
      </c>
      <c r="C19" s="52"/>
      <c r="D19" s="18">
        <f t="shared" ref="D19:O19" si="24">SUM(D13:D18)</f>
        <v>73</v>
      </c>
      <c r="E19" s="18">
        <f t="shared" si="24"/>
        <v>73</v>
      </c>
      <c r="F19" s="18">
        <f t="shared" si="24"/>
        <v>73</v>
      </c>
      <c r="G19" s="18">
        <f t="shared" si="24"/>
        <v>73</v>
      </c>
      <c r="H19" s="18">
        <f t="shared" si="24"/>
        <v>73</v>
      </c>
      <c r="I19" s="18">
        <f t="shared" si="24"/>
        <v>73</v>
      </c>
      <c r="J19" s="18">
        <f t="shared" si="24"/>
        <v>73</v>
      </c>
      <c r="K19" s="18">
        <f t="shared" si="24"/>
        <v>73</v>
      </c>
      <c r="L19" s="18">
        <f t="shared" si="24"/>
        <v>73</v>
      </c>
      <c r="M19" s="18">
        <f t="shared" si="24"/>
        <v>73</v>
      </c>
      <c r="N19" s="18">
        <f t="shared" si="24"/>
        <v>73</v>
      </c>
      <c r="O19" s="18">
        <f t="shared" si="24"/>
        <v>73</v>
      </c>
      <c r="P19" s="23">
        <f t="shared" ref="P19" si="25">SUM(D19:O19)</f>
        <v>876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zoomScale="130" zoomScaleNormal="130" workbookViewId="0">
      <selection activeCell="K11" sqref="K11"/>
    </sheetView>
  </sheetViews>
  <sheetFormatPr baseColWidth="10" defaultRowHeight="14.4" x14ac:dyDescent="0.3"/>
  <cols>
    <col min="3" max="3" width="11.5546875" style="52"/>
    <col min="4" max="4" width="11.77734375" bestFit="1" customWidth="1"/>
    <col min="6" max="6" width="15.6640625" style="52" bestFit="1" customWidth="1"/>
    <col min="9" max="9" width="15.6640625" bestFit="1" customWidth="1"/>
  </cols>
  <sheetData>
    <row r="1" spans="1:13" x14ac:dyDescent="0.3">
      <c r="A1" s="18" t="s">
        <v>49</v>
      </c>
      <c r="B1" s="18" t="s">
        <v>54</v>
      </c>
      <c r="C1" s="18" t="s">
        <v>158</v>
      </c>
      <c r="D1" s="18" t="s">
        <v>56</v>
      </c>
      <c r="E1" s="60" t="s">
        <v>159</v>
      </c>
      <c r="F1" s="60" t="s">
        <v>157</v>
      </c>
      <c r="G1" s="18"/>
      <c r="H1" s="60" t="s">
        <v>159</v>
      </c>
      <c r="I1" s="60" t="s">
        <v>157</v>
      </c>
      <c r="J1" s="18"/>
    </row>
    <row r="2" spans="1:13" x14ac:dyDescent="0.3">
      <c r="A2" s="23" t="s">
        <v>50</v>
      </c>
      <c r="B2" s="18">
        <v>708</v>
      </c>
      <c r="C2" s="18">
        <f>B2+12</f>
        <v>720</v>
      </c>
      <c r="D2" s="61">
        <f>B2/$B$7</f>
        <v>0.21325301204819277</v>
      </c>
      <c r="E2" s="19">
        <f>+B2*12</f>
        <v>8496</v>
      </c>
      <c r="F2" s="19">
        <f>E2/(52*4)</f>
        <v>40.846153846153847</v>
      </c>
      <c r="G2" s="19">
        <f>42*52*4/12</f>
        <v>728</v>
      </c>
      <c r="H2" s="17">
        <f>C2*12</f>
        <v>8640</v>
      </c>
      <c r="I2" s="17">
        <f>H2/(52*4)</f>
        <v>41.53846153846154</v>
      </c>
      <c r="J2" s="18">
        <f>C2-B2</f>
        <v>12</v>
      </c>
      <c r="K2" t="s">
        <v>167</v>
      </c>
    </row>
    <row r="3" spans="1:13" x14ac:dyDescent="0.3">
      <c r="A3" s="23" t="s">
        <v>51</v>
      </c>
      <c r="B3" s="18">
        <v>732</v>
      </c>
      <c r="C3" s="65">
        <f>732</f>
        <v>732</v>
      </c>
      <c r="D3" s="61">
        <f t="shared" ref="D3:D6" si="0">B3/$B$7</f>
        <v>0.22048192771084338</v>
      </c>
      <c r="E3" s="18">
        <f>+B3*12</f>
        <v>8784</v>
      </c>
      <c r="F3" s="18">
        <f>E3/(52*4)</f>
        <v>42.230769230769234</v>
      </c>
      <c r="G3" s="18">
        <f>45*52*4/12</f>
        <v>780</v>
      </c>
      <c r="H3" s="18">
        <f>C3*12</f>
        <v>8784</v>
      </c>
      <c r="I3" s="18">
        <f>H3/(52*4)</f>
        <v>42.230769230769234</v>
      </c>
      <c r="J3" s="18">
        <f>C3-B3</f>
        <v>0</v>
      </c>
    </row>
    <row r="4" spans="1:13" x14ac:dyDescent="0.3">
      <c r="A4" s="23" t="s">
        <v>52</v>
      </c>
      <c r="B4" s="18">
        <v>936</v>
      </c>
      <c r="C4" s="18">
        <v>936</v>
      </c>
      <c r="D4" s="61">
        <f t="shared" si="0"/>
        <v>0.28192771084337348</v>
      </c>
      <c r="E4" s="18">
        <f>+B4*12</f>
        <v>11232</v>
      </c>
      <c r="F4" s="18">
        <f>E4/(52*4)</f>
        <v>54</v>
      </c>
      <c r="G4" s="18">
        <f>42*52*4/12</f>
        <v>728</v>
      </c>
      <c r="H4" s="18">
        <f>C4*12</f>
        <v>11232</v>
      </c>
      <c r="I4" s="18">
        <f>H4/(52*4)</f>
        <v>54</v>
      </c>
      <c r="J4" s="18">
        <f>C4-B4</f>
        <v>0</v>
      </c>
    </row>
    <row r="5" spans="1:13" x14ac:dyDescent="0.3">
      <c r="A5" s="23" t="s">
        <v>53</v>
      </c>
      <c r="B5" s="18">
        <v>840</v>
      </c>
      <c r="C5" s="18">
        <f>B5+36</f>
        <v>876</v>
      </c>
      <c r="D5" s="61">
        <f t="shared" si="0"/>
        <v>0.25301204819277107</v>
      </c>
      <c r="E5" s="19">
        <f>+B5*12</f>
        <v>10080</v>
      </c>
      <c r="F5" s="19">
        <f>E5/(52*4)</f>
        <v>48.46153846153846</v>
      </c>
      <c r="G5" s="19">
        <f>51*52*4/12</f>
        <v>884</v>
      </c>
      <c r="H5" s="17">
        <f>C5*12</f>
        <v>10512</v>
      </c>
      <c r="I5" s="17">
        <f>H5/(52*4)</f>
        <v>50.53846153846154</v>
      </c>
      <c r="J5" s="18">
        <f>C5-B5</f>
        <v>36</v>
      </c>
      <c r="K5" t="s">
        <v>167</v>
      </c>
    </row>
    <row r="6" spans="1:13" x14ac:dyDescent="0.3">
      <c r="A6" s="18" t="s">
        <v>55</v>
      </c>
      <c r="B6" s="18">
        <v>104</v>
      </c>
      <c r="C6" s="18">
        <v>104</v>
      </c>
      <c r="D6" s="61">
        <f t="shared" si="0"/>
        <v>3.1325301204819279E-2</v>
      </c>
      <c r="E6" s="18"/>
      <c r="F6" s="18"/>
      <c r="G6" s="18"/>
      <c r="H6" s="18"/>
      <c r="I6" s="18"/>
      <c r="J6" s="18"/>
    </row>
    <row r="7" spans="1:13" x14ac:dyDescent="0.3">
      <c r="A7" s="18"/>
      <c r="B7" s="18">
        <f>SUM(B2:B6)</f>
        <v>3320</v>
      </c>
      <c r="C7" s="18">
        <f>SUM(C2:C6)</f>
        <v>3368</v>
      </c>
      <c r="D7" s="18">
        <f>+C7-B7</f>
        <v>48</v>
      </c>
      <c r="E7" s="18"/>
      <c r="F7" s="18"/>
      <c r="G7" s="18"/>
      <c r="H7" s="18"/>
      <c r="I7" s="18"/>
      <c r="J7" s="18">
        <f>SUM(J2:J6)</f>
        <v>48</v>
      </c>
      <c r="K7" s="67" t="s">
        <v>166</v>
      </c>
      <c r="L7" s="67" t="s">
        <v>165</v>
      </c>
    </row>
    <row r="8" spans="1:13" x14ac:dyDescent="0.3">
      <c r="K8" s="67">
        <f>8736+8112+10608</f>
        <v>27456</v>
      </c>
      <c r="L8" s="67">
        <f>H2+H3+H5</f>
        <v>27936</v>
      </c>
      <c r="M8">
        <f>L8-K8</f>
        <v>480</v>
      </c>
    </row>
    <row r="9" spans="1:13" x14ac:dyDescent="0.3">
      <c r="A9" t="s">
        <v>49</v>
      </c>
      <c r="B9" t="s">
        <v>54</v>
      </c>
      <c r="L9">
        <f>H2+H5</f>
        <v>19152</v>
      </c>
    </row>
    <row r="10" spans="1:13" x14ac:dyDescent="0.3">
      <c r="A10" t="s">
        <v>50</v>
      </c>
      <c r="B10">
        <v>708</v>
      </c>
      <c r="C10" s="52">
        <f>B10+12</f>
        <v>720</v>
      </c>
      <c r="D10" s="29">
        <f>B10/$B$15</f>
        <v>0.21325301204819277</v>
      </c>
      <c r="E10">
        <f>+B10*12</f>
        <v>8496</v>
      </c>
      <c r="F10" s="52">
        <f>E10/(52*4)</f>
        <v>40.846153846153847</v>
      </c>
      <c r="G10">
        <f>42*52*4/12</f>
        <v>728</v>
      </c>
      <c r="H10">
        <f>C10*12</f>
        <v>8640</v>
      </c>
      <c r="I10">
        <f>H10/(52*4)</f>
        <v>41.53846153846154</v>
      </c>
      <c r="J10">
        <f>C10-B10</f>
        <v>12</v>
      </c>
    </row>
    <row r="11" spans="1:13" x14ac:dyDescent="0.3">
      <c r="A11" t="s">
        <v>51</v>
      </c>
      <c r="B11">
        <f>732-96</f>
        <v>636</v>
      </c>
      <c r="C11" s="52">
        <f>B11+36</f>
        <v>672</v>
      </c>
      <c r="D11" s="29">
        <f t="shared" ref="D11:D14" si="1">B11/$B$15</f>
        <v>0.19156626506024096</v>
      </c>
      <c r="E11">
        <f>+B11*12</f>
        <v>7632</v>
      </c>
      <c r="F11" s="52">
        <f>E11/(52*4)</f>
        <v>36.692307692307693</v>
      </c>
      <c r="G11">
        <f>39*52*4/12</f>
        <v>676</v>
      </c>
      <c r="H11">
        <f>C11*12</f>
        <v>8064</v>
      </c>
      <c r="I11">
        <f>H11/(52*4)</f>
        <v>38.769230769230766</v>
      </c>
      <c r="J11" s="52">
        <f t="shared" ref="J11:J13" si="2">C11-B11</f>
        <v>36</v>
      </c>
    </row>
    <row r="12" spans="1:13" x14ac:dyDescent="0.3">
      <c r="A12" t="s">
        <v>52</v>
      </c>
      <c r="B12">
        <v>1032</v>
      </c>
      <c r="C12" s="52">
        <f>B12+24</f>
        <v>1056</v>
      </c>
      <c r="D12" s="29">
        <f t="shared" si="1"/>
        <v>0.31084337349397589</v>
      </c>
      <c r="E12">
        <f>+B12*12</f>
        <v>12384</v>
      </c>
      <c r="F12" s="52">
        <f>E12/(52*4)</f>
        <v>59.53846153846154</v>
      </c>
      <c r="G12">
        <f>60*52*4/12</f>
        <v>1040</v>
      </c>
      <c r="H12">
        <f>C12*12</f>
        <v>12672</v>
      </c>
      <c r="I12">
        <f>H12/(52*4)</f>
        <v>60.92307692307692</v>
      </c>
      <c r="J12" s="52">
        <f t="shared" si="2"/>
        <v>24</v>
      </c>
    </row>
    <row r="13" spans="1:13" x14ac:dyDescent="0.3">
      <c r="A13" t="s">
        <v>53</v>
      </c>
      <c r="B13">
        <f>840</f>
        <v>840</v>
      </c>
      <c r="C13" s="52">
        <f>B13+24</f>
        <v>864</v>
      </c>
      <c r="D13" s="29">
        <f t="shared" si="1"/>
        <v>0.25301204819277107</v>
      </c>
      <c r="E13">
        <f>+B13*12</f>
        <v>10080</v>
      </c>
      <c r="F13" s="52">
        <f>E13/(52*4)</f>
        <v>48.46153846153846</v>
      </c>
      <c r="G13">
        <f>51*52*4/12</f>
        <v>884</v>
      </c>
      <c r="H13">
        <f>C13*12</f>
        <v>10368</v>
      </c>
      <c r="I13">
        <f>H13/(52*4)</f>
        <v>49.846153846153847</v>
      </c>
      <c r="J13" s="52">
        <f t="shared" si="2"/>
        <v>24</v>
      </c>
    </row>
    <row r="14" spans="1:13" x14ac:dyDescent="0.3">
      <c r="A14" t="s">
        <v>55</v>
      </c>
      <c r="B14">
        <v>104</v>
      </c>
      <c r="D14" s="29">
        <f t="shared" si="1"/>
        <v>3.1325301204819279E-2</v>
      </c>
    </row>
    <row r="15" spans="1:13" x14ac:dyDescent="0.3">
      <c r="B15">
        <f>SUM(B10:B14)</f>
        <v>3320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"/>
  <sheetViews>
    <sheetView zoomScale="140" zoomScaleNormal="140" workbookViewId="0">
      <selection activeCell="E2" sqref="E2"/>
    </sheetView>
  </sheetViews>
  <sheetFormatPr baseColWidth="10" defaultRowHeight="14.4" x14ac:dyDescent="0.3"/>
  <cols>
    <col min="4" max="12" width="5.5546875" bestFit="1" customWidth="1"/>
    <col min="13" max="15" width="6.5546875" bestFit="1" customWidth="1"/>
  </cols>
  <sheetData>
    <row r="1" spans="1:16" x14ac:dyDescent="0.3">
      <c r="A1" s="1" t="s">
        <v>0</v>
      </c>
      <c r="B1" s="5" t="s">
        <v>35</v>
      </c>
      <c r="D1" s="6" t="s">
        <v>37</v>
      </c>
      <c r="E1" s="6" t="s">
        <v>38</v>
      </c>
      <c r="F1" s="6" t="s">
        <v>39</v>
      </c>
      <c r="G1" s="6" t="s">
        <v>40</v>
      </c>
      <c r="H1" s="7" t="s">
        <v>41</v>
      </c>
      <c r="I1" s="7" t="s">
        <v>42</v>
      </c>
      <c r="J1" s="7" t="s">
        <v>43</v>
      </c>
      <c r="K1" s="7" t="s">
        <v>44</v>
      </c>
      <c r="L1" s="8" t="s">
        <v>45</v>
      </c>
      <c r="M1" s="8" t="s">
        <v>46</v>
      </c>
      <c r="N1" s="8" t="s">
        <v>47</v>
      </c>
      <c r="O1" s="8" t="s">
        <v>48</v>
      </c>
      <c r="P1" s="9" t="s">
        <v>34</v>
      </c>
    </row>
    <row r="2" spans="1:16" x14ac:dyDescent="0.3">
      <c r="A2" s="20" t="s">
        <v>2</v>
      </c>
      <c r="B2" s="18">
        <v>96</v>
      </c>
      <c r="C2" s="18">
        <f>B2/12</f>
        <v>8</v>
      </c>
      <c r="D2" s="18">
        <f>$C$2</f>
        <v>8</v>
      </c>
      <c r="E2" s="18">
        <f t="shared" ref="E2:O2" si="0">$C$2</f>
        <v>8</v>
      </c>
      <c r="F2" s="18">
        <f t="shared" si="0"/>
        <v>8</v>
      </c>
      <c r="G2" s="18">
        <f t="shared" si="0"/>
        <v>8</v>
      </c>
      <c r="H2" s="18">
        <f t="shared" si="0"/>
        <v>8</v>
      </c>
      <c r="I2" s="18">
        <f t="shared" si="0"/>
        <v>8</v>
      </c>
      <c r="J2" s="18">
        <f t="shared" si="0"/>
        <v>8</v>
      </c>
      <c r="K2" s="18">
        <f t="shared" si="0"/>
        <v>8</v>
      </c>
      <c r="L2" s="18">
        <f t="shared" si="0"/>
        <v>8</v>
      </c>
      <c r="M2" s="18">
        <f t="shared" si="0"/>
        <v>8</v>
      </c>
      <c r="N2" s="18">
        <f t="shared" si="0"/>
        <v>8</v>
      </c>
      <c r="O2" s="18">
        <f t="shared" si="0"/>
        <v>8</v>
      </c>
      <c r="P2" s="18">
        <f>SUM(D2:O2)</f>
        <v>96</v>
      </c>
    </row>
    <row r="3" spans="1:16" x14ac:dyDescent="0.3">
      <c r="A3" s="2" t="s">
        <v>9</v>
      </c>
      <c r="B3">
        <v>336</v>
      </c>
      <c r="C3">
        <f>B3/12</f>
        <v>28</v>
      </c>
      <c r="D3">
        <f>$C$3</f>
        <v>28</v>
      </c>
      <c r="E3">
        <f t="shared" ref="E3:O3" si="1">$C$3</f>
        <v>28</v>
      </c>
      <c r="F3">
        <f t="shared" si="1"/>
        <v>28</v>
      </c>
      <c r="G3">
        <f t="shared" si="1"/>
        <v>28</v>
      </c>
      <c r="H3">
        <f t="shared" si="1"/>
        <v>28</v>
      </c>
      <c r="I3">
        <f t="shared" si="1"/>
        <v>28</v>
      </c>
      <c r="J3">
        <f t="shared" si="1"/>
        <v>28</v>
      </c>
      <c r="K3">
        <f t="shared" si="1"/>
        <v>28</v>
      </c>
      <c r="L3">
        <f t="shared" si="1"/>
        <v>28</v>
      </c>
      <c r="M3">
        <f t="shared" si="1"/>
        <v>28</v>
      </c>
      <c r="N3">
        <f t="shared" si="1"/>
        <v>28</v>
      </c>
      <c r="O3">
        <f t="shared" si="1"/>
        <v>28</v>
      </c>
      <c r="P3" s="18">
        <f t="shared" ref="P3:P7" si="2">SUM(D3:O3)</f>
        <v>336</v>
      </c>
    </row>
    <row r="4" spans="1:16" x14ac:dyDescent="0.3">
      <c r="A4" s="2" t="s">
        <v>12</v>
      </c>
      <c r="B4">
        <v>111</v>
      </c>
      <c r="C4">
        <f t="shared" ref="C4:C7" si="3">B4/12</f>
        <v>9.25</v>
      </c>
      <c r="D4">
        <v>9</v>
      </c>
      <c r="E4">
        <v>9</v>
      </c>
      <c r="F4">
        <v>9</v>
      </c>
      <c r="G4">
        <v>10</v>
      </c>
      <c r="H4">
        <v>9</v>
      </c>
      <c r="I4">
        <v>9</v>
      </c>
      <c r="J4">
        <v>9</v>
      </c>
      <c r="K4">
        <v>10</v>
      </c>
      <c r="L4">
        <v>9</v>
      </c>
      <c r="M4">
        <v>9</v>
      </c>
      <c r="N4">
        <v>9</v>
      </c>
      <c r="O4">
        <v>10</v>
      </c>
      <c r="P4" s="18">
        <f t="shared" si="2"/>
        <v>111</v>
      </c>
    </row>
    <row r="5" spans="1:16" x14ac:dyDescent="0.3">
      <c r="A5" s="2" t="s">
        <v>13</v>
      </c>
      <c r="B5">
        <v>282</v>
      </c>
      <c r="C5">
        <f t="shared" si="3"/>
        <v>23.5</v>
      </c>
      <c r="D5">
        <v>24</v>
      </c>
      <c r="E5">
        <v>23</v>
      </c>
      <c r="F5">
        <v>24</v>
      </c>
      <c r="G5">
        <v>23</v>
      </c>
      <c r="H5">
        <f>D5</f>
        <v>24</v>
      </c>
      <c r="I5">
        <f t="shared" ref="I5:O6" si="4">E5</f>
        <v>23</v>
      </c>
      <c r="J5">
        <f t="shared" si="4"/>
        <v>24</v>
      </c>
      <c r="K5">
        <f t="shared" si="4"/>
        <v>23</v>
      </c>
      <c r="L5">
        <f t="shared" si="4"/>
        <v>24</v>
      </c>
      <c r="M5">
        <f t="shared" si="4"/>
        <v>23</v>
      </c>
      <c r="N5">
        <f t="shared" si="4"/>
        <v>24</v>
      </c>
      <c r="O5">
        <f t="shared" si="4"/>
        <v>23</v>
      </c>
      <c r="P5" s="18">
        <f t="shared" si="2"/>
        <v>282</v>
      </c>
    </row>
    <row r="6" spans="1:16" x14ac:dyDescent="0.3">
      <c r="A6" s="2" t="s">
        <v>23</v>
      </c>
      <c r="B6">
        <v>147</v>
      </c>
      <c r="C6">
        <f t="shared" si="3"/>
        <v>12.25</v>
      </c>
      <c r="D6">
        <v>12</v>
      </c>
      <c r="E6">
        <v>13</v>
      </c>
      <c r="F6">
        <v>12</v>
      </c>
      <c r="G6">
        <v>12</v>
      </c>
      <c r="H6">
        <f>D6</f>
        <v>12</v>
      </c>
      <c r="I6">
        <f t="shared" si="4"/>
        <v>13</v>
      </c>
      <c r="J6">
        <f t="shared" si="4"/>
        <v>12</v>
      </c>
      <c r="K6">
        <f t="shared" si="4"/>
        <v>12</v>
      </c>
      <c r="L6">
        <f t="shared" si="4"/>
        <v>12</v>
      </c>
      <c r="M6">
        <f t="shared" si="4"/>
        <v>13</v>
      </c>
      <c r="N6">
        <f t="shared" si="4"/>
        <v>12</v>
      </c>
      <c r="O6">
        <f t="shared" si="4"/>
        <v>12</v>
      </c>
      <c r="P6" s="18">
        <f t="shared" si="2"/>
        <v>147</v>
      </c>
    </row>
    <row r="7" spans="1:16" x14ac:dyDescent="0.3">
      <c r="A7" s="2" t="s">
        <v>24</v>
      </c>
      <c r="B7">
        <v>60</v>
      </c>
      <c r="C7">
        <f t="shared" si="3"/>
        <v>5</v>
      </c>
      <c r="D7">
        <f>$C$7</f>
        <v>5</v>
      </c>
      <c r="E7">
        <f t="shared" ref="E7:O7" si="5">$C$7</f>
        <v>5</v>
      </c>
      <c r="F7">
        <f t="shared" si="5"/>
        <v>5</v>
      </c>
      <c r="G7">
        <f t="shared" si="5"/>
        <v>5</v>
      </c>
      <c r="H7">
        <f t="shared" si="5"/>
        <v>5</v>
      </c>
      <c r="I7">
        <f t="shared" si="5"/>
        <v>5</v>
      </c>
      <c r="J7">
        <f t="shared" si="5"/>
        <v>5</v>
      </c>
      <c r="K7">
        <f t="shared" si="5"/>
        <v>5</v>
      </c>
      <c r="L7">
        <f t="shared" si="5"/>
        <v>5</v>
      </c>
      <c r="M7">
        <f t="shared" si="5"/>
        <v>5</v>
      </c>
      <c r="N7">
        <f t="shared" si="5"/>
        <v>5</v>
      </c>
      <c r="O7">
        <f t="shared" si="5"/>
        <v>5</v>
      </c>
      <c r="P7" s="18">
        <f t="shared" si="2"/>
        <v>60</v>
      </c>
    </row>
    <row r="8" spans="1:16" x14ac:dyDescent="0.3">
      <c r="B8">
        <f>SUM(B2:B7)</f>
        <v>1032</v>
      </c>
      <c r="D8">
        <f>SUM(D2:D7)</f>
        <v>86</v>
      </c>
      <c r="E8">
        <f t="shared" ref="E8:O8" si="6">SUM(E2:E7)</f>
        <v>86</v>
      </c>
      <c r="F8">
        <f t="shared" si="6"/>
        <v>86</v>
      </c>
      <c r="G8">
        <f t="shared" si="6"/>
        <v>86</v>
      </c>
      <c r="H8">
        <f t="shared" si="6"/>
        <v>86</v>
      </c>
      <c r="I8">
        <f t="shared" si="6"/>
        <v>86</v>
      </c>
      <c r="J8">
        <f t="shared" si="6"/>
        <v>86</v>
      </c>
      <c r="K8">
        <f t="shared" si="6"/>
        <v>86</v>
      </c>
      <c r="L8">
        <f t="shared" si="6"/>
        <v>86</v>
      </c>
      <c r="M8">
        <f t="shared" si="6"/>
        <v>86</v>
      </c>
      <c r="N8">
        <f t="shared" si="6"/>
        <v>86</v>
      </c>
      <c r="O8">
        <f t="shared" si="6"/>
        <v>86</v>
      </c>
      <c r="P8">
        <f t="shared" ref="P8" si="7">SUM(D8:O8)</f>
        <v>1032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Hoja1</vt:lpstr>
      <vt:lpstr>Hoja11</vt:lpstr>
      <vt:lpstr>Distribución Ciudades</vt:lpstr>
      <vt:lpstr>NORTE</vt:lpstr>
      <vt:lpstr>CENTRO</vt:lpstr>
      <vt:lpstr>LITORAL</vt:lpstr>
      <vt:lpstr>SUR</vt:lpstr>
      <vt:lpstr>RESUMEN ZONAL</vt:lpstr>
      <vt:lpstr>LITORAL (2)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INEC Omar Llambo</dc:creator>
  <cp:lastModifiedBy>INEC Omar Llambo</cp:lastModifiedBy>
  <dcterms:created xsi:type="dcterms:W3CDTF">2023-08-21T22:27:18Z</dcterms:created>
  <dcterms:modified xsi:type="dcterms:W3CDTF">2023-08-23T21:46:27Z</dcterms:modified>
</cp:coreProperties>
</file>