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-MSI\Documentos\GitHub\spacer-hb-framework\"/>
    </mc:Choice>
  </mc:AlternateContent>
  <xr:revisionPtr revIDLastSave="0" documentId="13_ncr:1_{1551472F-FC2A-4A6C-884C-853B60F08998}" xr6:coauthVersionLast="47" xr6:coauthVersionMax="47" xr10:uidLastSave="{00000000-0000-0000-0000-000000000000}"/>
  <bookViews>
    <workbookView xWindow="28680" yWindow="-120" windowWidth="29040" windowHeight="15840" tabRatio="742" firstSheet="5" activeTab="9" xr2:uid="{00000000-000D-0000-FFFF-FFFF00000000}"/>
  </bookViews>
  <sheets>
    <sheet name="file_names" sheetId="20" r:id="rId1"/>
    <sheet name="panel_pars" sheetId="19" r:id="rId2"/>
    <sheet name="economic_fixed" sheetId="14" r:id="rId3"/>
    <sheet name="factors" sheetId="18" r:id="rId4"/>
    <sheet name="scenario_combs" sheetId="16" r:id="rId5"/>
    <sheet name="HDemReductionCoeffs" sheetId="17" r:id="rId6"/>
    <sheet name="sel-cons_%_fixed" sheetId="15" r:id="rId7"/>
    <sheet name="cost_facade" sheetId="10" r:id="rId8"/>
    <sheet name="cost_electricity" sheetId="11" r:id="rId9"/>
    <sheet name="Sheet1" sheetId="21" r:id="rId10"/>
    <sheet name="cost_pv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H5" i="21" s="1"/>
  <c r="G6" i="21"/>
  <c r="G7" i="21"/>
  <c r="G8" i="21"/>
  <c r="G9" i="21"/>
  <c r="G10" i="21"/>
  <c r="G11" i="21"/>
  <c r="G12" i="21"/>
  <c r="G13" i="21"/>
  <c r="H13" i="21" s="1"/>
  <c r="G2" i="21"/>
  <c r="F3" i="21"/>
  <c r="F4" i="21"/>
  <c r="F5" i="21"/>
  <c r="F6" i="21"/>
  <c r="F7" i="21"/>
  <c r="F8" i="21"/>
  <c r="F9" i="21"/>
  <c r="F10" i="21"/>
  <c r="F11" i="21"/>
  <c r="F12" i="21"/>
  <c r="F13" i="21"/>
  <c r="F2" i="21"/>
  <c r="D12" i="19"/>
  <c r="D11" i="19"/>
  <c r="C8" i="14"/>
  <c r="H2" i="21" l="1"/>
  <c r="H10" i="21"/>
  <c r="H3" i="21"/>
  <c r="H11" i="21"/>
  <c r="H7" i="21"/>
  <c r="H9" i="21"/>
  <c r="H8" i="21"/>
  <c r="H6" i="21"/>
  <c r="H4" i="21"/>
  <c r="H12" i="21"/>
  <c r="H5" i="17"/>
  <c r="G5" i="17"/>
  <c r="L15" i="12" l="1"/>
  <c r="L25" i="12"/>
  <c r="L24" i="12"/>
  <c r="L23" i="12"/>
  <c r="L22" i="12"/>
  <c r="L21" i="12"/>
  <c r="L20" i="12"/>
  <c r="L19" i="12"/>
  <c r="L18" i="12"/>
  <c r="L17" i="12"/>
  <c r="L16" i="12"/>
  <c r="K25" i="12"/>
  <c r="M25" i="12" s="1"/>
  <c r="K24" i="12"/>
  <c r="M24" i="12" s="1"/>
  <c r="K16" i="12"/>
  <c r="M16" i="12" s="1"/>
  <c r="K17" i="12"/>
  <c r="M17" i="12" s="1"/>
  <c r="K18" i="12"/>
  <c r="M18" i="12" s="1"/>
  <c r="N18" i="12" s="1"/>
  <c r="K19" i="12"/>
  <c r="M19" i="12" s="1"/>
  <c r="K20" i="12"/>
  <c r="M20" i="12" s="1"/>
  <c r="K21" i="12"/>
  <c r="M21" i="12" s="1"/>
  <c r="K22" i="12"/>
  <c r="M22" i="12" s="1"/>
  <c r="K23" i="12"/>
  <c r="M23" i="12" s="1"/>
  <c r="K15" i="12"/>
  <c r="M15" i="12" s="1"/>
  <c r="C7" i="12"/>
  <c r="C9" i="12"/>
  <c r="C8" i="12"/>
  <c r="C6" i="12"/>
  <c r="C5" i="12"/>
  <c r="C4" i="12"/>
  <c r="N15" i="12" l="1"/>
  <c r="O15" i="12" s="1"/>
  <c r="P15" i="12" s="1"/>
  <c r="Q15" i="12" s="1"/>
  <c r="N24" i="12"/>
  <c r="O24" i="12" s="1"/>
  <c r="N25" i="12"/>
  <c r="O25" i="12" s="1"/>
  <c r="P25" i="12" s="1"/>
  <c r="Q25" i="12" s="1"/>
  <c r="N19" i="12"/>
  <c r="O19" i="12" s="1"/>
  <c r="N16" i="12"/>
  <c r="O16" i="12" s="1"/>
  <c r="N23" i="12"/>
  <c r="O23" i="12" s="1"/>
  <c r="N22" i="12"/>
  <c r="O22" i="12" s="1"/>
  <c r="N21" i="12"/>
  <c r="O21" i="12" s="1"/>
  <c r="N20" i="12"/>
  <c r="O20" i="12" s="1"/>
  <c r="N17" i="12"/>
  <c r="O17" i="12" s="1"/>
  <c r="O18" i="12"/>
  <c r="C10" i="12"/>
  <c r="P24" i="12" l="1"/>
  <c r="R15" i="12"/>
  <c r="P23" i="12"/>
  <c r="P16" i="12"/>
  <c r="P19" i="12"/>
  <c r="P18" i="12"/>
  <c r="R25" i="12"/>
  <c r="P17" i="12"/>
  <c r="P20" i="12"/>
  <c r="P21" i="12"/>
  <c r="P22" i="12"/>
  <c r="Q17" i="12" l="1"/>
  <c r="R17" i="12" s="1"/>
  <c r="Q18" i="12"/>
  <c r="R18" i="12" s="1"/>
  <c r="Q19" i="12"/>
  <c r="R19" i="12" s="1"/>
  <c r="Q16" i="12"/>
  <c r="R16" i="12" s="1"/>
  <c r="Q22" i="12"/>
  <c r="R22" i="12" s="1"/>
  <c r="Q23" i="12"/>
  <c r="R23" i="12" s="1"/>
  <c r="Q21" i="12"/>
  <c r="R21" i="12" s="1"/>
  <c r="Q20" i="12"/>
  <c r="R20" i="12" s="1"/>
  <c r="Q24" i="12"/>
  <c r="R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Husiev</author>
  </authors>
  <commentList>
    <comment ref="A5" authorId="0" shapeId="0" xr:uid="{9D47EFEF-EDB1-4163-A41B-4CDD78D7C0F7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 xr:uid="{A8E63B20-0462-4B52-B5AA-9A7A038B1166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Maintenance Cost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98DD-6063-48EF-BB0E-9C90D0310744}" keepAlive="1" name="Query - 04_self_cons_pct_month_0 75" description="Connection to the '04_self_cons_pct_month_0 75' query in the workbook." type="5" refreshedVersion="8" background="1" saveData="1">
    <dbPr connection="Provider=Microsoft.Mashup.OleDb.1;Data Source=$Workbook$;Location=&quot;04_self_cons_pct_month_0 75&quot;;Extended Properties=&quot;&quot;" command="SELECT * FROM [04_self_cons_pct_month_0 75]"/>
  </connection>
  <connection id="2" xr16:uid="{3264FB85-DF19-4EDD-835B-7D4A1E69BAE5}" keepAlive="1" name="Query - 04_self_consumpt_pct_by_month" description="Connection to the '04_self_consumpt_pct_by_month' query in the workbook." type="5" refreshedVersion="0" background="1">
    <dbPr connection="Provider=Microsoft.Mashup.OleDb.1;Data Source=$Workbook$;Location=04_self_consumpt_pct_by_month;Extended Properties=&quot;&quot;" command="SELECT * FROM [04_self_consumpt_pct_by_month]"/>
  </connection>
  <connection id="3" xr16:uid="{C448205D-0112-4BA9-AFB9-BB1D714996DA}" keepAlive="1" name="Query - 04_self_consumpt_pct_by_month (2)" description="Connection to the '04_self_consumpt_pct_by_month (2)' query in the workbook." type="5" refreshedVersion="0" background="1">
    <dbPr connection="Provider=Microsoft.Mashup.OleDb.1;Data Source=$Workbook$;Location=&quot;04_self_consumpt_pct_by_month (2)&quot;;Extended Properties=&quot;&quot;" command="SELECT * FROM [04_self_consumpt_pct_by_month (2)]"/>
  </connection>
  <connection id="4" xr16:uid="{C83AA01F-20A6-464D-89E0-3DC3D7A5815C}" keepAlive="1" name="Query - 04_self_consumpt_pct_by_month (3)" description="Connection to the '04_self_consumpt_pct_by_month (3)' query in the workbook." type="5" refreshedVersion="8" background="1" saveData="1">
    <dbPr connection="Provider=Microsoft.Mashup.OleDb.1;Data Source=$Workbook$;Location=&quot;04_self_consumpt_pct_by_month (3)&quot;;Extended Properties=&quot;&quot;" command="SELECT * FROM [04_self_consumpt_pct_by_month (3)]"/>
  </connection>
</connections>
</file>

<file path=xl/sharedStrings.xml><?xml version="1.0" encoding="utf-8"?>
<sst xmlns="http://schemas.openxmlformats.org/spreadsheetml/2006/main" count="404" uniqueCount="185">
  <si>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</si>
  <si>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</si>
  <si>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</si>
  <si>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</si>
  <si>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</si>
  <si>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</si>
  <si>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</si>
  <si>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</si>
  <si>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</si>
  <si>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</si>
  <si>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</si>
  <si>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</si>
  <si>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</si>
  <si>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</si>
  <si>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-</t>
  </si>
  <si>
    <t>id</t>
  </si>
  <si>
    <t>€/kWh</t>
  </si>
  <si>
    <t>PV</t>
  </si>
  <si>
    <t>facade</t>
  </si>
  <si>
    <t>roof</t>
  </si>
  <si>
    <t>windows</t>
  </si>
  <si>
    <t>infiltration</t>
  </si>
  <si>
    <t>Unit</t>
  </si>
  <si>
    <t>Type</t>
  </si>
  <si>
    <t>costs</t>
  </si>
  <si>
    <t>material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</si>
  <si>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</t>
    </r>
  </si>
  <si>
    <t>W/m2K</t>
  </si>
  <si>
    <t>m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</si>
  <si>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</si>
  <si>
    <t>Ins. thickness added</t>
  </si>
  <si>
    <t>Name</t>
  </si>
  <si>
    <t>Component</t>
  </si>
  <si>
    <t>Maint</t>
  </si>
  <si>
    <t>Labour</t>
  </si>
  <si>
    <r>
      <t>€/m</t>
    </r>
    <r>
      <rPr>
        <vertAlign val="superscript"/>
        <sz val="9"/>
        <color theme="1"/>
        <rFont val="Georgia"/>
        <family val="1"/>
      </rPr>
      <t>2</t>
    </r>
  </si>
  <si>
    <r>
      <t>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</t>
    </r>
  </si>
  <si>
    <t>Input Variable</t>
  </si>
  <si>
    <t>Value</t>
  </si>
  <si>
    <t>CAPEX</t>
  </si>
  <si>
    <t>OPEX fix</t>
  </si>
  <si>
    <t>EUR/a</t>
  </si>
  <si>
    <t>OPEX var</t>
  </si>
  <si>
    <t>EUR/kWh</t>
  </si>
  <si>
    <t>%</t>
  </si>
  <si>
    <t>PR</t>
  </si>
  <si>
    <t>GCR flat</t>
  </si>
  <si>
    <t>GCR tilt roof</t>
  </si>
  <si>
    <t>EUR/kWp</t>
  </si>
  <si>
    <t>ηpv</t>
  </si>
  <si>
    <t>panel width</t>
  </si>
  <si>
    <t>panel length</t>
  </si>
  <si>
    <t>Comment</t>
  </si>
  <si>
    <t>KW</t>
  </si>
  <si>
    <t>Price</t>
  </si>
  <si>
    <t>Source</t>
  </si>
  <si>
    <t>https://autosolar.es/kits-solares-conexion-red/kit-autoconsumo-fotovoltaico-4200w-8300kwhano-growatt</t>
  </si>
  <si>
    <t>PV system including inverter, cabling and installation</t>
  </si>
  <si>
    <t>https://autosolar.es/kits-solares-conexion-red/kit-instalacion-solar-autoconsumo-fotovoltaico-5000w-25000whdia-fronius-monofasico</t>
  </si>
  <si>
    <t>https://atersa.shop/cuanto-cuesta-instalar-placas-solares/?srsltid=AfmBOopVU_WsJKhTg1v8ueKbiVVy4yrGien99wiczN7N9cecooVQ2UBM</t>
  </si>
  <si>
    <t>https://autosolar.es/kits-solares</t>
  </si>
  <si>
    <t>https://www.monsolar.com/kit-solar-huawei-2-3kwp.html</t>
  </si>
  <si>
    <t>€/kWp</t>
  </si>
  <si>
    <t>kW</t>
  </si>
  <si>
    <t>€</t>
  </si>
  <si>
    <t xml:space="preserve">Invertor, </t>
  </si>
  <si>
    <t>Thriphase</t>
  </si>
  <si>
    <t>https://generadordeprecios.info/obra_nueva/Instalaciones/Electricas/Solar_fotovoltaica/Inversor_fotovoltaico_0_0_0_1_0_0_0.html</t>
  </si>
  <si>
    <t>Componente</t>
  </si>
  <si>
    <t>Porcentaje precio instalación placas solares</t>
  </si>
  <si>
    <t>Módulos fotovoltaicos</t>
  </si>
  <si>
    <t>Inversor solar</t>
  </si>
  <si>
    <t>Mano de obra</t>
  </si>
  <si>
    <t>Trámites</t>
  </si>
  <si>
    <t>Cableado, estructuras y protecciones</t>
  </si>
  <si>
    <t>Precio instalación placas solares sin baterías</t>
  </si>
  <si>
    <t>Precio instalación placas solares con baterías</t>
  </si>
  <si>
    <t>Porcentaje precio instalación placas solares con baterías</t>
  </si>
  <si>
    <t>Baterías</t>
  </si>
  <si>
    <t>https://autosolar.es/mi-experiencia-placas-solares/cuanto-cuesta-una-instalacion-fotovoltaica?utm_source=chatgpt.com</t>
  </si>
  <si>
    <t>PV monocrist, W</t>
  </si>
  <si>
    <t>De 166x83 mm (Potencias máximas de 365 a 450 W)</t>
  </si>
  <si>
    <t>De 210x105 mm (Potencias máximas de 540 a 665 W)</t>
  </si>
  <si>
    <t>De 156x78 mm (Potencias máximas de 310 a 385 W)</t>
  </si>
  <si>
    <t>Eff, %</t>
  </si>
  <si>
    <t>Cost of rooftop PV system including inverter, cabling and installation in Spain</t>
  </si>
  <si>
    <t>Structures, supports, and cabling</t>
  </si>
  <si>
    <t>% of total cost</t>
  </si>
  <si>
    <t>Cost Ratio Inverter/Panel</t>
  </si>
  <si>
    <t>Total, €</t>
  </si>
  <si>
    <t>% Structures, support, cabling</t>
  </si>
  <si>
    <t>Monophase</t>
  </si>
  <si>
    <t>Generador de Precios. España</t>
  </si>
  <si>
    <t>Units</t>
  </si>
  <si>
    <t>Total PV, €</t>
  </si>
  <si>
    <t>not included (cause it is included in price generation as Mano de obra per panel)</t>
  </si>
  <si>
    <t>FIXED</t>
  </si>
  <si>
    <t>kWp</t>
  </si>
  <si>
    <t>PV+Invertor, €</t>
  </si>
  <si>
    <t>Cost of rooftop PV system including inverter, cabling and installation, without battery, in Spain</t>
  </si>
  <si>
    <t>S1</t>
  </si>
  <si>
    <t>S2</t>
  </si>
  <si>
    <t>S3</t>
  </si>
  <si>
    <t>S4</t>
  </si>
  <si>
    <t>lifespan</t>
  </si>
  <si>
    <t>passive_actions</t>
  </si>
  <si>
    <t>self-cons</t>
  </si>
  <si>
    <t>Electricity Sell</t>
  </si>
  <si>
    <t>Electricity Buy</t>
  </si>
  <si>
    <t>pv_degradation_rate</t>
  </si>
  <si>
    <t>discount_rate</t>
  </si>
  <si>
    <t>M_C</t>
  </si>
  <si>
    <t>HDemReduction</t>
  </si>
  <si>
    <t>envelope</t>
  </si>
  <si>
    <t>Pais_Vasco</t>
  </si>
  <si>
    <t>total</t>
  </si>
  <si>
    <t>Region</t>
  </si>
  <si>
    <t>scenario</t>
  </si>
  <si>
    <t>combination</t>
  </si>
  <si>
    <t>filter</t>
  </si>
  <si>
    <t>NRPE factors</t>
  </si>
  <si>
    <t>PE factors</t>
  </si>
  <si>
    <t>Electricity</t>
  </si>
  <si>
    <t>Pellet</t>
  </si>
  <si>
    <t>Natural gas</t>
  </si>
  <si>
    <t>CO2 Emissiomn factors</t>
  </si>
  <si>
    <t>s_panel_m2</t>
  </si>
  <si>
    <t>k_eff</t>
  </si>
  <si>
    <t>heating_energy_price_euro_per_kWh</t>
  </si>
  <si>
    <t>energy_price_growth_rate</t>
  </si>
  <si>
    <t>general</t>
  </si>
  <si>
    <t>EC Electricity Buy</t>
  </si>
  <si>
    <t>EC Electricity Sell</t>
  </si>
  <si>
    <t>pv</t>
  </si>
  <si>
    <t>Otxarkoaga</t>
  </si>
  <si>
    <t>heat</t>
  </si>
  <si>
    <t>Altitude (m)</t>
  </si>
  <si>
    <t>Efficiency</t>
  </si>
  <si>
    <t>s_panel</t>
  </si>
  <si>
    <t>Panel area (m²)</t>
  </si>
  <si>
    <t>kWp_limit</t>
  </si>
  <si>
    <t>kWp limit</t>
  </si>
  <si>
    <t>s_panel_limit</t>
  </si>
  <si>
    <t>Panel area limit (m²)</t>
  </si>
  <si>
    <t>lon</t>
  </si>
  <si>
    <t>Longitude</t>
  </si>
  <si>
    <t>lat</t>
  </si>
  <si>
    <t>Latitude</t>
  </si>
  <si>
    <t>altitude</t>
  </si>
  <si>
    <t>name</t>
  </si>
  <si>
    <t>Location name</t>
  </si>
  <si>
    <t>description</t>
  </si>
  <si>
    <t>variable</t>
  </si>
  <si>
    <t>nominal_power</t>
  </si>
  <si>
    <t>nominal output in kWp</t>
  </si>
  <si>
    <t>plain</t>
  </si>
  <si>
    <t>slopy</t>
  </si>
  <si>
    <t>k_panel_density_plain</t>
  </si>
  <si>
    <t>k_panel_density_slopy</t>
  </si>
  <si>
    <t>Variable_name</t>
  </si>
  <si>
    <t>PATH</t>
  </si>
  <si>
    <t>BASE_DIR</t>
  </si>
  <si>
    <t>spacer-hb-framework</t>
  </si>
  <si>
    <t>LIDAR_FILE</t>
  </si>
  <si>
    <t>otxarkoaga_lidar_cliped.las</t>
  </si>
  <si>
    <t>BUILDING_FOOTPRINT_FILE</t>
  </si>
  <si>
    <t>STATISTICAL_CENSUS_FILE</t>
  </si>
  <si>
    <t>Otxarkoaga.shp</t>
  </si>
  <si>
    <t>BUILDING_HEIGHT_RASTER</t>
  </si>
  <si>
    <t>NDSM-EDIFICIOS-H30-0061-COB2_cliped.tif</t>
  </si>
  <si>
    <t>HEATMAPS_HDEM_RASTER</t>
  </si>
  <si>
    <t>heat_res_curr_density_clip.tif</t>
  </si>
  <si>
    <t>WHITEBOX_RT_ANALYSIS_FILE</t>
  </si>
  <si>
    <t>wb_rt_analysis_bilbao_otxarkoaga_segments.shp</t>
  </si>
  <si>
    <t>Bilbao</t>
  </si>
  <si>
    <t>LPG_FILES_DIR</t>
  </si>
  <si>
    <t>ROOFTOP_FILE</t>
  </si>
  <si>
    <t>SEGMENT_FILE</t>
  </si>
  <si>
    <t>01_segments_s_area_wb_rooftop_analysis.xlsx</t>
  </si>
  <si>
    <t>buildings_inspire_clip_oxarkoaga+census.shp</t>
  </si>
  <si>
    <t>01_footprint_r_area_wb_rooftop_analysis.xlsx</t>
  </si>
  <si>
    <t>data</t>
  </si>
  <si>
    <t>PV_WORK_DIR</t>
  </si>
  <si>
    <t>price diff</t>
  </si>
  <si>
    <t>%delta of sell/buy tarriffs within the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</si>
</sst>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vertAlign val="superscript"/>
      <sz val="9"/>
      <color theme="1"/>
      <name val="Georgia"/>
      <family val="1"/>
    </font>
    <font>
      <b/>
      <sz val="9"/>
      <color rgb="FF000000"/>
      <name val="Georgia"/>
      <family val="1"/>
    </font>
    <font>
      <b/>
      <vertAlign val="subscript"/>
      <sz val="9"/>
      <color rgb="FF000000"/>
      <name val="Georgia"/>
      <family val="1"/>
    </font>
    <font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6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0" fillId="0" borderId="9" xfId="0" applyBorder="1"/>
    <xf numFmtId="0" fontId="2" fillId="0" borderId="10" xfId="0" applyFon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17" xfId="0" applyBorder="1"/>
    <xf numFmtId="0" fontId="3" fillId="0" borderId="18" xfId="0" applyFont="1" applyBorder="1" applyAlignment="1">
      <alignment horizontal="right" vertical="center" wrapText="1"/>
    </xf>
    <xf numFmtId="0" fontId="0" fillId="0" borderId="19" xfId="0" applyBorder="1"/>
    <xf numFmtId="0" fontId="3" fillId="0" borderId="20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left" wrapText="1"/>
    </xf>
    <xf numFmtId="0" fontId="0" fillId="0" borderId="15" xfId="0" applyBorder="1"/>
    <xf numFmtId="0" fontId="3" fillId="0" borderId="1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0" fontId="8" fillId="2" borderId="0" xfId="0" applyNumberFormat="1" applyFont="1" applyFill="1" applyAlignment="1">
      <alignment vertical="center" wrapText="1"/>
    </xf>
    <xf numFmtId="9" fontId="8" fillId="2" borderId="0" xfId="0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0" borderId="0" xfId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0" borderId="13" xfId="0" applyFont="1" applyBorder="1"/>
    <xf numFmtId="0" fontId="0" fillId="0" borderId="13" xfId="0" applyBorder="1"/>
    <xf numFmtId="0" fontId="0" fillId="0" borderId="16" xfId="0" applyBorder="1"/>
    <xf numFmtId="0" fontId="1" fillId="0" borderId="26" xfId="0" applyFont="1" applyBorder="1"/>
    <xf numFmtId="0" fontId="0" fillId="0" borderId="27" xfId="0" applyBorder="1"/>
    <xf numFmtId="0" fontId="0" fillId="0" borderId="25" xfId="0" applyBorder="1"/>
    <xf numFmtId="0" fontId="7" fillId="0" borderId="0" xfId="0" applyFont="1"/>
    <xf numFmtId="0" fontId="1" fillId="0" borderId="0" xfId="0" applyFont="1" applyAlignment="1">
      <alignment horizontal="centerContinuous" wrapText="1"/>
    </xf>
    <xf numFmtId="0" fontId="1" fillId="3" borderId="4" xfId="0" applyFont="1" applyFill="1" applyBorder="1"/>
    <xf numFmtId="0" fontId="3" fillId="3" borderId="2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24" xfId="0" applyFont="1" applyFill="1" applyBorder="1" applyAlignment="1">
      <alignment horizontal="right" vertical="center" wrapText="1"/>
    </xf>
    <xf numFmtId="0" fontId="0" fillId="3" borderId="0" xfId="0" applyFill="1"/>
    <xf numFmtId="0" fontId="3" fillId="0" borderId="1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1" fillId="3" borderId="5" xfId="0" applyFont="1" applyFill="1" applyBorder="1"/>
    <xf numFmtId="0" fontId="3" fillId="3" borderId="2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15" fillId="4" borderId="0" xfId="0" applyFont="1" applyFill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  <xf numFmtId="9" fontId="1" fillId="0" borderId="0" xfId="0" applyNumberFormat="1" applyFont="1"/>
    <xf numFmtId="0" fontId="1" fillId="3" borderId="0" xfId="0" applyFont="1" applyFill="1"/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66.157591854803016</c:v>
                </c:pt>
                <c:pt idx="1">
                  <c:v>34.206989247311824</c:v>
                </c:pt>
                <c:pt idx="2">
                  <c:v>55.483288166214997</c:v>
                </c:pt>
                <c:pt idx="3">
                  <c:v>63.00707278120008</c:v>
                </c:pt>
                <c:pt idx="4">
                  <c:v>64.499769479022589</c:v>
                </c:pt>
                <c:pt idx="5">
                  <c:v>60.853029068187993</c:v>
                </c:pt>
                <c:pt idx="6">
                  <c:v>55.06535947712419</c:v>
                </c:pt>
                <c:pt idx="7">
                  <c:v>39.379844961240309</c:v>
                </c:pt>
                <c:pt idx="8">
                  <c:v>48.540750201031166</c:v>
                </c:pt>
                <c:pt idx="9">
                  <c:v>45.208926875593548</c:v>
                </c:pt>
                <c:pt idx="10">
                  <c:v>43.621749408983447</c:v>
                </c:pt>
                <c:pt idx="11">
                  <c:v>46.10140605027695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D17-9EB2-8C842B8C91FF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Sheet1!$D$16:$D$27</c:f>
              <c:numCache>
                <c:formatCode>General</c:formatCode>
                <c:ptCount val="12"/>
                <c:pt idx="0">
                  <c:v>53.851261620185923</c:v>
                </c:pt>
                <c:pt idx="1">
                  <c:v>10.282258064516125</c:v>
                </c:pt>
                <c:pt idx="2">
                  <c:v>39.295392953929543</c:v>
                </c:pt>
                <c:pt idx="3">
                  <c:v>49.555099247091029</c:v>
                </c:pt>
                <c:pt idx="4">
                  <c:v>51.590594744121709</c:v>
                </c:pt>
                <c:pt idx="5">
                  <c:v>46.61776691116544</c:v>
                </c:pt>
                <c:pt idx="6">
                  <c:v>38.725490196078425</c:v>
                </c:pt>
                <c:pt idx="7">
                  <c:v>17.336152219873146</c:v>
                </c:pt>
                <c:pt idx="8">
                  <c:v>29.828295728678867</c:v>
                </c:pt>
                <c:pt idx="9">
                  <c:v>25.284900284900303</c:v>
                </c:pt>
                <c:pt idx="10">
                  <c:v>23.120567375886512</c:v>
                </c:pt>
                <c:pt idx="11">
                  <c:v>26.501917341286752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4-4D17-9EB2-8C842B8C91FF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Sheet1!$E$16:$E$27</c:f>
              <c:numCache>
                <c:formatCode>General</c:formatCode>
                <c:ptCount val="12"/>
                <c:pt idx="0">
                  <c:v>16.932270916334659</c:v>
                </c:pt>
                <c:pt idx="1">
                  <c:v>-61.491935483870975</c:v>
                </c:pt>
                <c:pt idx="2">
                  <c:v>-9.2682926829268162</c:v>
                </c:pt>
                <c:pt idx="3">
                  <c:v>9.1991786447638511</c:v>
                </c:pt>
                <c:pt idx="4">
                  <c:v>12.863070539419075</c:v>
                </c:pt>
                <c:pt idx="5">
                  <c:v>3.9119804400977953</c:v>
                </c:pt>
                <c:pt idx="6">
                  <c:v>-10.294117647058808</c:v>
                </c:pt>
                <c:pt idx="7">
                  <c:v>-48.794926004228323</c:v>
                </c:pt>
                <c:pt idx="8">
                  <c:v>-26.30906768837804</c:v>
                </c:pt>
                <c:pt idx="9">
                  <c:v>-34.487179487179475</c:v>
                </c:pt>
                <c:pt idx="10">
                  <c:v>-38.382978723404257</c:v>
                </c:pt>
                <c:pt idx="11">
                  <c:v>-32.296548785683868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4-4D17-9EB2-8C842B8C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48511"/>
        <c:axId val="778150431"/>
      </c:barChart>
      <c:catAx>
        <c:axId val="77814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50431"/>
        <c:crosses val="autoZero"/>
        <c:auto val="1"/>
        <c:lblAlgn val="ctr"/>
        <c:lblOffset val="100"/>
        <c:noMultiLvlLbl val="0"/>
      </c:catAx>
      <c:valAx>
        <c:axId val="7781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delta of sell/buy tarriff</a:t>
                </a:r>
                <a:r>
                  <a:rPr lang="en-US" baseline="0"/>
                  <a:t> relation (i.e. income within 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4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cost_pv!$A$2</c:f>
          <c:strCache>
            <c:ptCount val="1"/>
            <c:pt idx="0">
              <c:v>Cost of rooftop PV system including inverter, cabling and installation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cost_pv!$A$4:$A$9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2.8</c:v>
                </c:pt>
              </c:numCache>
            </c:numRef>
          </c:xVal>
          <c:yVal>
            <c:numRef>
              <c:f>cost_pv!$C$4:$C$9</c:f>
              <c:numCache>
                <c:formatCode>General</c:formatCode>
                <c:ptCount val="6"/>
                <c:pt idx="0">
                  <c:v>799.04761904761904</c:v>
                </c:pt>
                <c:pt idx="1">
                  <c:v>843.66666666666663</c:v>
                </c:pt>
                <c:pt idx="2">
                  <c:v>680</c:v>
                </c:pt>
                <c:pt idx="3">
                  <c:v>1018.6</c:v>
                </c:pt>
                <c:pt idx="4">
                  <c:v>700</c:v>
                </c:pt>
                <c:pt idx="5">
                  <c:v>740.35714285714289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4DB1-9888-42BDB196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1935"/>
        <c:axId val="1758098239"/>
      </c:scatterChart>
      <c:valAx>
        <c:axId val="17589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8239"/>
        <c:crosses val="autoZero"/>
        <c:crossBetween val="midCat"/>
      </c:valAx>
      <c:valAx>
        <c:axId val="1758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cost_pv!$K$13</c:f>
          <c:strCache>
            <c:ptCount val="1"/>
            <c:pt idx="0">
              <c:v>Cost of rooftop PV system including inverter, cabling and installation, without battery,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cost_pv!$Q$15:$Q$25</c:f>
              <c:numCache>
                <c:formatCode>General</c:formatCode>
                <c:ptCount val="11"/>
                <c:pt idx="0">
                  <c:v>1573.65</c:v>
                </c:pt>
                <c:pt idx="1">
                  <c:v>1925.82</c:v>
                </c:pt>
                <c:pt idx="2">
                  <c:v>2233.5299999999997</c:v>
                </c:pt>
                <c:pt idx="3">
                  <c:v>2687.49</c:v>
                </c:pt>
                <c:pt idx="4">
                  <c:v>3060.7200000000003</c:v>
                </c:pt>
                <c:pt idx="5">
                  <c:v>3450.33</c:v>
                </c:pt>
                <c:pt idx="6">
                  <c:v>3900.7799999999997</c:v>
                </c:pt>
                <c:pt idx="7">
                  <c:v>4768.92</c:v>
                </c:pt>
                <c:pt idx="8">
                  <c:v>6494.67</c:v>
                </c:pt>
                <c:pt idx="9">
                  <c:v>7605</c:v>
                </c:pt>
                <c:pt idx="10">
                  <c:v>30631.77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AAF-ADD3-6372D643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58947188213583E-3"/>
                  <c:y val="-9.97231575063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cost_pv!$R$15:$R$25</c:f>
              <c:numCache>
                <c:formatCode>General</c:formatCode>
                <c:ptCount val="11"/>
                <c:pt idx="0">
                  <c:v>1077.8424657534247</c:v>
                </c:pt>
                <c:pt idx="1">
                  <c:v>1040.9837837837838</c:v>
                </c:pt>
                <c:pt idx="2">
                  <c:v>1003.8337078651684</c:v>
                </c:pt>
                <c:pt idx="3">
                  <c:v>995.36666666666656</c:v>
                </c:pt>
                <c:pt idx="4">
                  <c:v>936.00000000000011</c:v>
                </c:pt>
                <c:pt idx="5">
                  <c:v>871.2954545454545</c:v>
                </c:pt>
                <c:pt idx="6">
                  <c:v>837.97636949516641</c:v>
                </c:pt>
                <c:pt idx="7">
                  <c:v>809.66383701188465</c:v>
                </c:pt>
                <c:pt idx="8">
                  <c:v>824.72</c:v>
                </c:pt>
                <c:pt idx="9">
                  <c:v>782.40740740740739</c:v>
                </c:pt>
                <c:pt idx="10">
                  <c:v>617.63826998689387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8-43D8-8EAD-928C787B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91440</xdr:rowOff>
    </xdr:from>
    <xdr:to>
      <xdr:col>19</xdr:col>
      <xdr:colOff>457200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9FA0D-E6DD-46B5-A5DB-DE21677EB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309954</xdr:colOff>
      <xdr:row>0</xdr:row>
      <xdr:rowOff>0</xdr:rowOff>
    </xdr:from>
    <xdr:to>
      <xdr:col>17</xdr:col>
      <xdr:colOff>358588</xdr:colOff>
      <xdr:row>11</xdr:row>
      <xdr:rowOff>48633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E45B-5507-4FD0-B646-BDF6F319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22253</xdr:colOff>
      <xdr:row>9</xdr:row>
      <xdr:rowOff>131445</xdr:rowOff>
    </xdr:from>
    <xdr:to>
      <xdr:col>27</xdr:col>
      <xdr:colOff>145676</xdr:colOff>
      <xdr:row>25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66BF-D276-438B-9E03-1EB2847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18911</xdr:colOff>
      <xdr:row>25</xdr:row>
      <xdr:rowOff>56236</xdr:rowOff>
    </xdr:from>
    <xdr:to>
      <xdr:col>27</xdr:col>
      <xdr:colOff>133694</xdr:colOff>
      <xdr:row>34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75EBE-1CB2-45CB-A339-F5A5354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autosolar.es/kits-solares-conexion-red/kit-autoconsumo-fotovoltaico-4200w-8300kwhano-growatt" TargetMode="External"/><Relationship Id="rId1" Type="http://schemas.openxmlformats.org/officeDocument/2006/relationships/hyperlink" Target="https://autosolar.es/kits-solares" TargetMode="External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AD79-7D9C-48B5-8A2A-918396B0173F}">
  <dimension ref="A1:B13"/>
  <sheetViews>
    <sheetView workbookViewId="0">
      <selection activeCell="B1" sqref="B1"/>
    </sheetView>
  </sheetViews>
  <sheetFormatPr defaultRowHeight="14.4"/>
  <cols>
    <col min="1" max="1" width="27.44140625" customWidth="1"/>
    <col min="2" max="2" width="50.21875" customWidth="1"/>
  </cols>
  <sheetData>
    <row r="1" spans="1:2">
      <c r="A1" s="2" t="s">
        <v>159</v>
      </c>
      <c r="B1" s="2" t="s">
        <v>31</v>
      </c>
    </row>
    <row r="2" spans="1:2">
      <c r="A2" t="s">
        <v>160</v>
      </c>
    </row>
    <row r="3" spans="1:2">
      <c r="A3" t="s">
        <v>161</v>
      </c>
      <c r="B3" t="s">
        <v>162</v>
      </c>
    </row>
    <row r="4" spans="1:2">
      <c r="A4" t="s">
        <v>182</v>
      </c>
      <c r="B4" t="s">
        <v>181</v>
      </c>
    </row>
    <row r="5" spans="1:2">
      <c r="A5" t="s">
        <v>163</v>
      </c>
      <c r="B5" t="s">
        <v>164</v>
      </c>
    </row>
    <row r="6" spans="1:2">
      <c r="A6" t="s">
        <v>165</v>
      </c>
      <c r="B6" t="s">
        <v>179</v>
      </c>
    </row>
    <row r="7" spans="1:2">
      <c r="A7" t="s">
        <v>166</v>
      </c>
      <c r="B7" t="s">
        <v>167</v>
      </c>
    </row>
    <row r="8" spans="1:2">
      <c r="A8" t="s">
        <v>168</v>
      </c>
      <c r="B8" t="s">
        <v>169</v>
      </c>
    </row>
    <row r="9" spans="1:2">
      <c r="A9" t="s">
        <v>170</v>
      </c>
      <c r="B9" t="s">
        <v>171</v>
      </c>
    </row>
    <row r="10" spans="1:2">
      <c r="A10" s="55" t="s">
        <v>172</v>
      </c>
      <c r="B10" s="55" t="s">
        <v>173</v>
      </c>
    </row>
    <row r="11" spans="1:2">
      <c r="A11" t="s">
        <v>175</v>
      </c>
      <c r="B11" t="s">
        <v>174</v>
      </c>
    </row>
    <row r="12" spans="1:2">
      <c r="A12" t="s">
        <v>176</v>
      </c>
      <c r="B12" t="s">
        <v>180</v>
      </c>
    </row>
    <row r="13" spans="1:2">
      <c r="A13" t="s">
        <v>177</v>
      </c>
      <c r="B13" t="s">
        <v>178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A38D-4253-4996-BBA9-2B9E7CE00944}">
  <dimension ref="A1:L27"/>
  <sheetViews>
    <sheetView tabSelected="1" workbookViewId="0">
      <selection activeCell="H28" sqref="H28"/>
    </sheetView>
  </sheetViews>
  <sheetFormatPr defaultRowHeight="14.4"/>
  <cols>
    <col min="1" max="1" width="5.6640625" customWidth="1"/>
    <col min="2" max="2" width="13.33203125" customWidth="1"/>
    <col min="8" max="8" width="18.21875" customWidth="1"/>
  </cols>
  <sheetData>
    <row r="1" spans="1:12" ht="43.2">
      <c r="A1" s="3" t="s">
        <v>15</v>
      </c>
      <c r="B1" s="3" t="s">
        <v>0</v>
      </c>
      <c r="C1" s="3" t="s">
        <v>22</v>
      </c>
      <c r="D1" s="3" t="s">
        <v>108</v>
      </c>
      <c r="E1" s="3" t="s">
        <v>107</v>
      </c>
      <c r="F1" s="69" t="s">
        <v>131</v>
      </c>
      <c r="G1" s="69" t="s">
        <v>132</v>
      </c>
      <c r="H1" s="74" t="s">
        <v>184</v>
      </c>
      <c r="I1" s="73" t="s">
        <v>183</v>
      </c>
    </row>
    <row r="2" spans="1:12">
      <c r="A2">
        <v>1</v>
      </c>
      <c r="B2" s="4" t="s">
        <v>1</v>
      </c>
      <c r="C2" t="s">
        <v>16</v>
      </c>
      <c r="D2" s="4">
        <v>0.251</v>
      </c>
      <c r="E2" s="4">
        <v>6.9500000000000006E-2</v>
      </c>
      <c r="F2">
        <f>D2*(1-$I$2)</f>
        <v>0.1255</v>
      </c>
      <c r="G2">
        <f>E2*(1+$I$2)</f>
        <v>0.10425000000000001</v>
      </c>
      <c r="H2" s="38">
        <f>(1-G2/F2)*100</f>
        <v>16.932270916334659</v>
      </c>
      <c r="I2" s="73">
        <v>0.5</v>
      </c>
    </row>
    <row r="3" spans="1:12">
      <c r="A3">
        <v>2</v>
      </c>
      <c r="B3" s="4" t="s">
        <v>2</v>
      </c>
      <c r="C3" t="s">
        <v>16</v>
      </c>
      <c r="D3" s="4">
        <v>0.248</v>
      </c>
      <c r="E3" s="4">
        <v>0.13350000000000001</v>
      </c>
      <c r="F3">
        <f t="shared" ref="F3:F13" si="0">D3*(1-$I$2)</f>
        <v>0.124</v>
      </c>
      <c r="G3">
        <f t="shared" ref="G3:G13" si="1">E3*(1+$I$2)</f>
        <v>0.20025000000000001</v>
      </c>
      <c r="H3" s="38">
        <f t="shared" ref="H3:H13" si="2">(1-G3/F3)*100</f>
        <v>-61.491935483870975</v>
      </c>
    </row>
    <row r="4" spans="1:12">
      <c r="A4">
        <v>3</v>
      </c>
      <c r="B4" s="4" t="s">
        <v>3</v>
      </c>
      <c r="C4" t="s">
        <v>16</v>
      </c>
      <c r="D4" s="4">
        <v>0.246</v>
      </c>
      <c r="E4" s="4">
        <v>8.9599999999999999E-2</v>
      </c>
      <c r="F4">
        <f t="shared" si="0"/>
        <v>0.123</v>
      </c>
      <c r="G4">
        <f t="shared" si="1"/>
        <v>0.13439999999999999</v>
      </c>
      <c r="H4" s="38">
        <f t="shared" si="2"/>
        <v>-9.2682926829268162</v>
      </c>
    </row>
    <row r="5" spans="1:12">
      <c r="A5">
        <v>4</v>
      </c>
      <c r="B5" s="4" t="s">
        <v>4</v>
      </c>
      <c r="C5" t="s">
        <v>16</v>
      </c>
      <c r="D5" s="4">
        <v>0.24349999999999999</v>
      </c>
      <c r="E5" s="4">
        <v>7.3700000000000002E-2</v>
      </c>
      <c r="F5">
        <f t="shared" si="0"/>
        <v>0.12175</v>
      </c>
      <c r="G5">
        <f t="shared" si="1"/>
        <v>0.11055000000000001</v>
      </c>
      <c r="H5" s="38">
        <f t="shared" si="2"/>
        <v>9.1991786447638511</v>
      </c>
    </row>
    <row r="6" spans="1:12">
      <c r="A6">
        <v>5</v>
      </c>
      <c r="B6" s="4" t="s">
        <v>5</v>
      </c>
      <c r="C6" t="s">
        <v>16</v>
      </c>
      <c r="D6" s="4">
        <v>0.24099999999999999</v>
      </c>
      <c r="E6" s="4">
        <v>7.0000000000000007E-2</v>
      </c>
      <c r="F6">
        <f t="shared" si="0"/>
        <v>0.1205</v>
      </c>
      <c r="G6">
        <f t="shared" si="1"/>
        <v>0.10500000000000001</v>
      </c>
      <c r="H6" s="38">
        <f t="shared" si="2"/>
        <v>12.863070539419075</v>
      </c>
    </row>
    <row r="7" spans="1:12">
      <c r="A7">
        <v>6</v>
      </c>
      <c r="B7" s="4" t="s">
        <v>6</v>
      </c>
      <c r="C7" t="s">
        <v>16</v>
      </c>
      <c r="D7" s="4">
        <v>0.24540000000000001</v>
      </c>
      <c r="E7" s="4">
        <v>7.8600000000000003E-2</v>
      </c>
      <c r="F7">
        <f t="shared" si="0"/>
        <v>0.1227</v>
      </c>
      <c r="G7">
        <f t="shared" si="1"/>
        <v>0.1179</v>
      </c>
      <c r="H7" s="38">
        <f t="shared" si="2"/>
        <v>3.9119804400977953</v>
      </c>
    </row>
    <row r="8" spans="1:12">
      <c r="A8">
        <v>7</v>
      </c>
      <c r="B8" s="4" t="s">
        <v>7</v>
      </c>
      <c r="C8" t="s">
        <v>16</v>
      </c>
      <c r="D8" s="4">
        <v>0.23799999999999999</v>
      </c>
      <c r="E8" s="4">
        <v>8.7499999999999994E-2</v>
      </c>
      <c r="F8">
        <f t="shared" si="0"/>
        <v>0.11899999999999999</v>
      </c>
      <c r="G8">
        <f t="shared" si="1"/>
        <v>0.13124999999999998</v>
      </c>
      <c r="H8" s="38">
        <f t="shared" si="2"/>
        <v>-10.294117647058808</v>
      </c>
    </row>
    <row r="9" spans="1:12">
      <c r="A9">
        <v>8</v>
      </c>
      <c r="B9" s="4" t="s">
        <v>8</v>
      </c>
      <c r="C9" t="s">
        <v>16</v>
      </c>
      <c r="D9" s="4">
        <v>0.23649999999999999</v>
      </c>
      <c r="E9" s="4">
        <v>0.1173</v>
      </c>
      <c r="F9">
        <f t="shared" si="0"/>
        <v>0.11824999999999999</v>
      </c>
      <c r="G9">
        <f t="shared" si="1"/>
        <v>0.17595</v>
      </c>
      <c r="H9" s="38">
        <f t="shared" si="2"/>
        <v>-48.794926004228323</v>
      </c>
    </row>
    <row r="10" spans="1:12">
      <c r="A10">
        <v>9</v>
      </c>
      <c r="B10" s="4" t="s">
        <v>9</v>
      </c>
      <c r="C10" t="s">
        <v>16</v>
      </c>
      <c r="D10" s="4">
        <v>0.2349</v>
      </c>
      <c r="E10" s="4">
        <v>9.8900000000000002E-2</v>
      </c>
      <c r="F10">
        <f t="shared" si="0"/>
        <v>0.11745</v>
      </c>
      <c r="G10">
        <f t="shared" si="1"/>
        <v>0.14835000000000001</v>
      </c>
      <c r="H10" s="38">
        <f t="shared" si="2"/>
        <v>-26.30906768837804</v>
      </c>
    </row>
    <row r="11" spans="1:12">
      <c r="A11">
        <v>10</v>
      </c>
      <c r="B11" s="4" t="s">
        <v>10</v>
      </c>
      <c r="C11" t="s">
        <v>16</v>
      </c>
      <c r="D11" s="4">
        <v>0.23400000000000001</v>
      </c>
      <c r="E11" s="4">
        <v>0.10489999999999999</v>
      </c>
      <c r="F11">
        <f t="shared" si="0"/>
        <v>0.11700000000000001</v>
      </c>
      <c r="G11">
        <f t="shared" si="1"/>
        <v>0.15734999999999999</v>
      </c>
      <c r="H11" s="38">
        <f t="shared" si="2"/>
        <v>-34.487179487179475</v>
      </c>
    </row>
    <row r="12" spans="1:12">
      <c r="A12">
        <v>11</v>
      </c>
      <c r="B12" s="4" t="s">
        <v>11</v>
      </c>
      <c r="C12" t="s">
        <v>16</v>
      </c>
      <c r="D12" s="4">
        <v>0.23499999999999999</v>
      </c>
      <c r="E12" s="4">
        <v>0.1084</v>
      </c>
      <c r="F12">
        <f t="shared" si="0"/>
        <v>0.11749999999999999</v>
      </c>
      <c r="G12">
        <f t="shared" si="1"/>
        <v>0.16259999999999999</v>
      </c>
      <c r="H12" s="38">
        <f t="shared" si="2"/>
        <v>-38.382978723404257</v>
      </c>
    </row>
    <row r="13" spans="1:12">
      <c r="A13">
        <v>12</v>
      </c>
      <c r="B13" s="4" t="s">
        <v>12</v>
      </c>
      <c r="C13" t="s">
        <v>16</v>
      </c>
      <c r="D13" s="4">
        <v>0.23469999999999999</v>
      </c>
      <c r="E13" s="4">
        <v>0.10349999999999999</v>
      </c>
      <c r="F13">
        <f t="shared" si="0"/>
        <v>0.11735</v>
      </c>
      <c r="G13">
        <f t="shared" si="1"/>
        <v>0.15525</v>
      </c>
      <c r="H13" s="38">
        <f t="shared" si="2"/>
        <v>-32.296548785683868</v>
      </c>
    </row>
    <row r="15" spans="1:12">
      <c r="A15" s="3" t="s">
        <v>15</v>
      </c>
      <c r="B15" s="3" t="s">
        <v>0</v>
      </c>
      <c r="C15" s="72">
        <v>0.1</v>
      </c>
      <c r="D15" s="72">
        <v>0.25</v>
      </c>
      <c r="E15" s="72">
        <v>0.5</v>
      </c>
      <c r="F15" s="2">
        <v>0.4</v>
      </c>
      <c r="J15" s="2"/>
      <c r="K15" s="2"/>
      <c r="L15" s="2"/>
    </row>
    <row r="16" spans="1:12">
      <c r="A16">
        <v>1</v>
      </c>
      <c r="B16" s="4" t="s">
        <v>1</v>
      </c>
      <c r="C16">
        <v>66.157591854803016</v>
      </c>
      <c r="D16">
        <v>53.851261620185923</v>
      </c>
      <c r="E16">
        <v>16.932270916334659</v>
      </c>
      <c r="F16">
        <v>35.391766268260291</v>
      </c>
      <c r="J16" s="38"/>
      <c r="K16" s="38"/>
      <c r="L16" s="38"/>
    </row>
    <row r="17" spans="1:12">
      <c r="A17">
        <v>2</v>
      </c>
      <c r="B17" s="4" t="s">
        <v>2</v>
      </c>
      <c r="C17">
        <v>34.206989247311824</v>
      </c>
      <c r="D17">
        <v>10.282258064516125</v>
      </c>
      <c r="E17">
        <v>-61.491935483870975</v>
      </c>
      <c r="F17">
        <v>-25.604838709677445</v>
      </c>
      <c r="J17" s="38"/>
      <c r="K17" s="38"/>
      <c r="L17" s="38"/>
    </row>
    <row r="18" spans="1:12">
      <c r="A18">
        <v>3</v>
      </c>
      <c r="B18" s="4" t="s">
        <v>3</v>
      </c>
      <c r="C18">
        <v>55.483288166214997</v>
      </c>
      <c r="D18">
        <v>39.295392953929543</v>
      </c>
      <c r="E18">
        <v>-9.2682926829268162</v>
      </c>
      <c r="F18">
        <v>15.013550135501363</v>
      </c>
      <c r="J18" s="38"/>
      <c r="K18" s="38"/>
      <c r="L18" s="38"/>
    </row>
    <row r="19" spans="1:12">
      <c r="A19">
        <v>4</v>
      </c>
      <c r="B19" s="4" t="s">
        <v>4</v>
      </c>
      <c r="C19">
        <v>63.00707278120008</v>
      </c>
      <c r="D19">
        <v>49.555099247091029</v>
      </c>
      <c r="E19">
        <v>9.1991786447638511</v>
      </c>
      <c r="F19">
        <v>29.377138945927449</v>
      </c>
      <c r="J19" s="38"/>
      <c r="K19" s="38"/>
      <c r="L19" s="38"/>
    </row>
    <row r="20" spans="1:12">
      <c r="A20">
        <v>5</v>
      </c>
      <c r="B20" s="4" t="s">
        <v>5</v>
      </c>
      <c r="C20">
        <v>64.499769479022589</v>
      </c>
      <c r="D20">
        <v>51.590594744121709</v>
      </c>
      <c r="E20">
        <v>12.863070539419075</v>
      </c>
      <c r="F20">
        <v>32.2268326417704</v>
      </c>
      <c r="J20" s="38"/>
      <c r="K20" s="38"/>
      <c r="L20" s="38"/>
    </row>
    <row r="21" spans="1:12">
      <c r="A21">
        <v>6</v>
      </c>
      <c r="B21" s="4" t="s">
        <v>6</v>
      </c>
      <c r="C21">
        <v>60.853029068187993</v>
      </c>
      <c r="D21">
        <v>46.61776691116544</v>
      </c>
      <c r="E21">
        <v>3.9119804400977953</v>
      </c>
      <c r="F21">
        <v>25.264873675631616</v>
      </c>
      <c r="J21" s="38"/>
      <c r="K21" s="38"/>
      <c r="L21" s="38"/>
    </row>
    <row r="22" spans="1:12">
      <c r="A22">
        <v>7</v>
      </c>
      <c r="B22" s="4" t="s">
        <v>7</v>
      </c>
      <c r="C22">
        <v>55.06535947712419</v>
      </c>
      <c r="D22">
        <v>38.725490196078425</v>
      </c>
      <c r="E22">
        <v>-10.294117647058808</v>
      </c>
      <c r="F22">
        <v>14.215686274509798</v>
      </c>
      <c r="J22" s="38"/>
      <c r="K22" s="38"/>
      <c r="L22" s="38"/>
    </row>
    <row r="23" spans="1:12">
      <c r="A23">
        <v>8</v>
      </c>
      <c r="B23" s="4" t="s">
        <v>8</v>
      </c>
      <c r="C23">
        <v>39.379844961240309</v>
      </c>
      <c r="D23">
        <v>17.336152219873146</v>
      </c>
      <c r="E23">
        <v>-48.794926004228323</v>
      </c>
      <c r="F23">
        <v>-15.729386892177622</v>
      </c>
      <c r="J23" s="38"/>
      <c r="K23" s="38"/>
      <c r="L23" s="38"/>
    </row>
    <row r="24" spans="1:12">
      <c r="A24">
        <v>9</v>
      </c>
      <c r="B24" s="4" t="s">
        <v>9</v>
      </c>
      <c r="C24">
        <v>48.540750201031166</v>
      </c>
      <c r="D24">
        <v>29.828295728678867</v>
      </c>
      <c r="E24">
        <v>-26.30906768837804</v>
      </c>
      <c r="F24">
        <v>1.759614020150424</v>
      </c>
      <c r="J24" s="38"/>
      <c r="K24" s="38"/>
      <c r="L24" s="38"/>
    </row>
    <row r="25" spans="1:12">
      <c r="A25">
        <v>10</v>
      </c>
      <c r="B25" s="4" t="s">
        <v>10</v>
      </c>
      <c r="C25">
        <v>45.208926875593548</v>
      </c>
      <c r="D25">
        <v>25.284900284900303</v>
      </c>
      <c r="E25">
        <v>-34.487179487179475</v>
      </c>
      <c r="F25">
        <v>-4.6011396011395922</v>
      </c>
      <c r="J25" s="38"/>
      <c r="K25" s="38"/>
      <c r="L25" s="38"/>
    </row>
    <row r="26" spans="1:12">
      <c r="A26">
        <v>11</v>
      </c>
      <c r="B26" s="4" t="s">
        <v>11</v>
      </c>
      <c r="C26">
        <v>43.621749408983447</v>
      </c>
      <c r="D26">
        <v>23.120567375886512</v>
      </c>
      <c r="E26">
        <v>-38.382978723404257</v>
      </c>
      <c r="F26">
        <v>-7.6312056737588785</v>
      </c>
      <c r="J26" s="38"/>
      <c r="K26" s="38"/>
      <c r="L26" s="38"/>
    </row>
    <row r="27" spans="1:12">
      <c r="A27">
        <v>12</v>
      </c>
      <c r="B27" s="4" t="s">
        <v>12</v>
      </c>
      <c r="C27">
        <v>46.10140605027695</v>
      </c>
      <c r="D27">
        <v>26.501917341286752</v>
      </c>
      <c r="E27">
        <v>-32.296548785683868</v>
      </c>
      <c r="F27">
        <v>-2.8973157221985568</v>
      </c>
      <c r="J27" s="38"/>
      <c r="K27" s="38"/>
      <c r="L27" s="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6-5708-4D94-8A03-BFCF481ED672}">
  <dimension ref="A2:R54"/>
  <sheetViews>
    <sheetView zoomScale="70" zoomScaleNormal="70" workbookViewId="0">
      <selection activeCell="N30" sqref="N30"/>
    </sheetView>
  </sheetViews>
  <sheetFormatPr defaultRowHeight="14.4"/>
  <cols>
    <col min="1" max="1" width="11.33203125" customWidth="1"/>
    <col min="4" max="4" width="15.5546875" customWidth="1"/>
    <col min="12" max="12" width="6.21875" customWidth="1"/>
    <col min="14" max="14" width="12" customWidth="1"/>
    <col min="15" max="15" width="14.33203125" customWidth="1"/>
    <col min="17" max="17" width="10" bestFit="1" customWidth="1"/>
  </cols>
  <sheetData>
    <row r="2" spans="1:18">
      <c r="A2" t="s">
        <v>85</v>
      </c>
    </row>
    <row r="3" spans="1:18">
      <c r="A3" t="s">
        <v>53</v>
      </c>
      <c r="B3" t="s">
        <v>54</v>
      </c>
      <c r="C3" t="s">
        <v>62</v>
      </c>
      <c r="D3" t="s">
        <v>55</v>
      </c>
    </row>
    <row r="4" spans="1:18">
      <c r="A4">
        <v>4.2</v>
      </c>
      <c r="B4">
        <v>3356</v>
      </c>
      <c r="C4">
        <f>B4/A4</f>
        <v>799.04761904761904</v>
      </c>
      <c r="D4" s="36" t="s">
        <v>56</v>
      </c>
      <c r="E4" t="s">
        <v>57</v>
      </c>
    </row>
    <row r="5" spans="1:18">
      <c r="A5">
        <v>3</v>
      </c>
      <c r="B5">
        <v>2531</v>
      </c>
      <c r="C5">
        <f>B5/A5</f>
        <v>843.66666666666663</v>
      </c>
      <c r="D5" t="s">
        <v>60</v>
      </c>
    </row>
    <row r="6" spans="1:18">
      <c r="A6">
        <v>6</v>
      </c>
      <c r="B6">
        <v>4080</v>
      </c>
      <c r="C6">
        <f>B6/A6</f>
        <v>680</v>
      </c>
      <c r="D6" s="36" t="s">
        <v>60</v>
      </c>
    </row>
    <row r="7" spans="1:18">
      <c r="A7">
        <v>5</v>
      </c>
      <c r="B7">
        <v>5093</v>
      </c>
      <c r="C7">
        <f t="shared" ref="C7:C9" si="0">B7/A7</f>
        <v>1018.6</v>
      </c>
      <c r="D7" t="s">
        <v>58</v>
      </c>
    </row>
    <row r="8" spans="1:18">
      <c r="A8">
        <v>10</v>
      </c>
      <c r="B8">
        <v>7000</v>
      </c>
      <c r="C8">
        <f t="shared" si="0"/>
        <v>700</v>
      </c>
      <c r="D8" t="s">
        <v>59</v>
      </c>
    </row>
    <row r="9" spans="1:18">
      <c r="A9">
        <v>2.8</v>
      </c>
      <c r="B9">
        <v>2073</v>
      </c>
      <c r="C9">
        <f t="shared" si="0"/>
        <v>740.35714285714289</v>
      </c>
      <c r="D9" t="s">
        <v>61</v>
      </c>
    </row>
    <row r="10" spans="1:18">
      <c r="C10">
        <f>AVERAGE(C4:C9)</f>
        <v>796.9452380952381</v>
      </c>
    </row>
    <row r="11" spans="1:18" ht="15" thickBot="1"/>
    <row r="12" spans="1:18" ht="15" thickBot="1">
      <c r="A12" s="44" t="s">
        <v>92</v>
      </c>
      <c r="B12" s="45"/>
      <c r="C12" s="45" t="s">
        <v>67</v>
      </c>
      <c r="D12" s="45"/>
      <c r="E12" s="45" t="s">
        <v>13</v>
      </c>
      <c r="F12" s="45"/>
      <c r="G12" s="45"/>
      <c r="H12" s="45"/>
      <c r="I12" s="46"/>
    </row>
    <row r="13" spans="1:18">
      <c r="A13" s="17" t="s">
        <v>65</v>
      </c>
      <c r="B13" t="s">
        <v>91</v>
      </c>
      <c r="C13" t="s">
        <v>66</v>
      </c>
      <c r="I13" s="42"/>
      <c r="K13" t="s">
        <v>99</v>
      </c>
    </row>
    <row r="14" spans="1:18">
      <c r="A14" s="17" t="s">
        <v>63</v>
      </c>
      <c r="B14" t="s">
        <v>64</v>
      </c>
      <c r="C14" t="s">
        <v>64</v>
      </c>
      <c r="E14" s="2" t="s">
        <v>80</v>
      </c>
      <c r="F14" s="39" t="s">
        <v>64</v>
      </c>
      <c r="G14" s="2"/>
      <c r="H14" s="2"/>
      <c r="I14" s="41" t="s">
        <v>84</v>
      </c>
      <c r="K14" s="2" t="s">
        <v>93</v>
      </c>
      <c r="L14" s="2" t="s">
        <v>97</v>
      </c>
      <c r="M14" s="2" t="s">
        <v>94</v>
      </c>
      <c r="N14" s="2" t="s">
        <v>88</v>
      </c>
      <c r="O14" s="2" t="s">
        <v>98</v>
      </c>
      <c r="P14" s="2" t="s">
        <v>90</v>
      </c>
      <c r="Q14" s="2" t="s">
        <v>89</v>
      </c>
      <c r="R14" s="2" t="s">
        <v>62</v>
      </c>
    </row>
    <row r="15" spans="1:18">
      <c r="A15" s="17">
        <v>1.5</v>
      </c>
      <c r="B15">
        <v>701</v>
      </c>
      <c r="E15">
        <v>365</v>
      </c>
      <c r="F15">
        <v>161</v>
      </c>
      <c r="G15" s="40" t="s">
        <v>81</v>
      </c>
      <c r="I15" s="42">
        <v>19</v>
      </c>
      <c r="K15">
        <f t="shared" ref="K15:K23" si="1">ROUNDDOWN(A15*1000/E15,0)</f>
        <v>4</v>
      </c>
      <c r="L15" s="38">
        <f t="shared" ref="L15:L23" si="2">ROUNDDOWN(A15*1000/E15,0)*E15/1000</f>
        <v>1.46</v>
      </c>
      <c r="M15">
        <f t="shared" ref="M15:M23" si="3">K15*F15</f>
        <v>644</v>
      </c>
      <c r="N15">
        <f t="shared" ref="N15:N22" si="4">B15/M15</f>
        <v>1.0885093167701863</v>
      </c>
      <c r="O15">
        <f>M15+M15*N15</f>
        <v>1345</v>
      </c>
      <c r="P15">
        <f>O15*$E$31/100</f>
        <v>228.65</v>
      </c>
      <c r="Q15">
        <f>O46+P15+O15</f>
        <v>1573.65</v>
      </c>
      <c r="R15">
        <f>Q15/L15</f>
        <v>1077.8424657534247</v>
      </c>
    </row>
    <row r="16" spans="1:18">
      <c r="A16" s="17">
        <v>2</v>
      </c>
      <c r="B16">
        <v>826</v>
      </c>
      <c r="E16">
        <v>370</v>
      </c>
      <c r="F16">
        <v>164</v>
      </c>
      <c r="G16" s="40" t="s">
        <v>81</v>
      </c>
      <c r="I16" s="42">
        <v>19</v>
      </c>
      <c r="K16">
        <f t="shared" si="1"/>
        <v>5</v>
      </c>
      <c r="L16" s="37">
        <f t="shared" si="2"/>
        <v>1.85</v>
      </c>
      <c r="M16">
        <f t="shared" si="3"/>
        <v>820</v>
      </c>
      <c r="N16">
        <f t="shared" si="4"/>
        <v>1.0073170731707317</v>
      </c>
      <c r="O16">
        <f t="shared" ref="O16:O25" si="5">M16+M16*N16</f>
        <v>1646</v>
      </c>
      <c r="P16">
        <f t="shared" ref="P16:P24" si="6">O16*$E$31/100</f>
        <v>279.82</v>
      </c>
      <c r="Q16">
        <f t="shared" ref="Q16:Q25" si="7">O47+P16+O16</f>
        <v>1925.82</v>
      </c>
      <c r="R16">
        <f t="shared" ref="R16:R25" si="8">Q16/L16</f>
        <v>1040.9837837837838</v>
      </c>
    </row>
    <row r="17" spans="1:18">
      <c r="A17" s="17">
        <v>2.5</v>
      </c>
      <c r="B17">
        <v>939</v>
      </c>
      <c r="E17">
        <v>445</v>
      </c>
      <c r="F17">
        <v>194</v>
      </c>
      <c r="G17" s="40" t="s">
        <v>81</v>
      </c>
      <c r="I17" s="42">
        <v>19</v>
      </c>
      <c r="K17">
        <f t="shared" si="1"/>
        <v>5</v>
      </c>
      <c r="L17" s="37">
        <f t="shared" si="2"/>
        <v>2.2250000000000001</v>
      </c>
      <c r="M17">
        <f t="shared" si="3"/>
        <v>970</v>
      </c>
      <c r="N17">
        <f t="shared" si="4"/>
        <v>0.96804123711340206</v>
      </c>
      <c r="O17">
        <f t="shared" si="5"/>
        <v>1909</v>
      </c>
      <c r="P17">
        <f t="shared" si="6"/>
        <v>324.52999999999997</v>
      </c>
      <c r="Q17">
        <f t="shared" si="7"/>
        <v>2233.5299999999997</v>
      </c>
      <c r="R17">
        <f t="shared" si="8"/>
        <v>1003.8337078651684</v>
      </c>
    </row>
    <row r="18" spans="1:18">
      <c r="A18" s="17">
        <v>3</v>
      </c>
      <c r="B18">
        <v>1132</v>
      </c>
      <c r="C18">
        <v>1352</v>
      </c>
      <c r="E18">
        <v>540</v>
      </c>
      <c r="F18">
        <v>233</v>
      </c>
      <c r="G18" s="40" t="s">
        <v>82</v>
      </c>
      <c r="I18" s="42">
        <v>19</v>
      </c>
      <c r="K18">
        <f t="shared" si="1"/>
        <v>5</v>
      </c>
      <c r="L18" s="37">
        <f t="shared" si="2"/>
        <v>2.7</v>
      </c>
      <c r="M18">
        <f t="shared" si="3"/>
        <v>1165</v>
      </c>
      <c r="N18">
        <f t="shared" si="4"/>
        <v>0.97167381974248923</v>
      </c>
      <c r="O18">
        <f t="shared" si="5"/>
        <v>2297</v>
      </c>
      <c r="P18">
        <f t="shared" si="6"/>
        <v>390.49</v>
      </c>
      <c r="Q18">
        <f t="shared" si="7"/>
        <v>2687.49</v>
      </c>
      <c r="R18">
        <f t="shared" si="8"/>
        <v>995.36666666666656</v>
      </c>
    </row>
    <row r="19" spans="1:18">
      <c r="A19" s="17">
        <v>3.6</v>
      </c>
      <c r="B19">
        <v>1206</v>
      </c>
      <c r="E19">
        <v>545</v>
      </c>
      <c r="F19">
        <v>235</v>
      </c>
      <c r="G19" s="40" t="s">
        <v>82</v>
      </c>
      <c r="I19" s="42">
        <v>21</v>
      </c>
      <c r="K19">
        <f t="shared" si="1"/>
        <v>6</v>
      </c>
      <c r="L19" s="37">
        <f t="shared" si="2"/>
        <v>3.27</v>
      </c>
      <c r="M19">
        <f t="shared" si="3"/>
        <v>1410</v>
      </c>
      <c r="N19">
        <f t="shared" si="4"/>
        <v>0.85531914893617023</v>
      </c>
      <c r="O19">
        <f t="shared" si="5"/>
        <v>2616</v>
      </c>
      <c r="P19">
        <f t="shared" si="6"/>
        <v>444.72</v>
      </c>
      <c r="Q19">
        <f t="shared" si="7"/>
        <v>3060.7200000000003</v>
      </c>
      <c r="R19">
        <f t="shared" si="8"/>
        <v>936.00000000000011</v>
      </c>
    </row>
    <row r="20" spans="1:18">
      <c r="A20" s="17">
        <v>4</v>
      </c>
      <c r="B20">
        <v>1263</v>
      </c>
      <c r="C20">
        <v>1454</v>
      </c>
      <c r="E20">
        <v>660</v>
      </c>
      <c r="F20">
        <v>281</v>
      </c>
      <c r="G20" s="40" t="s">
        <v>82</v>
      </c>
      <c r="I20" s="42">
        <v>21</v>
      </c>
      <c r="K20">
        <f t="shared" si="1"/>
        <v>6</v>
      </c>
      <c r="L20" s="37">
        <f t="shared" si="2"/>
        <v>3.96</v>
      </c>
      <c r="M20">
        <f t="shared" si="3"/>
        <v>1686</v>
      </c>
      <c r="N20">
        <f t="shared" si="4"/>
        <v>0.74911032028469748</v>
      </c>
      <c r="O20">
        <f t="shared" si="5"/>
        <v>2949</v>
      </c>
      <c r="P20">
        <f t="shared" si="6"/>
        <v>501.33</v>
      </c>
      <c r="Q20">
        <f t="shared" si="7"/>
        <v>3450.33</v>
      </c>
      <c r="R20">
        <f t="shared" si="8"/>
        <v>871.2954545454545</v>
      </c>
    </row>
    <row r="21" spans="1:18">
      <c r="A21" s="17">
        <v>5</v>
      </c>
      <c r="B21">
        <v>1353</v>
      </c>
      <c r="C21">
        <v>1544</v>
      </c>
      <c r="E21">
        <v>665</v>
      </c>
      <c r="F21">
        <v>283</v>
      </c>
      <c r="G21" s="40" t="s">
        <v>82</v>
      </c>
      <c r="I21" s="42">
        <v>21</v>
      </c>
      <c r="K21">
        <f t="shared" si="1"/>
        <v>7</v>
      </c>
      <c r="L21" s="37">
        <f t="shared" si="2"/>
        <v>4.6550000000000002</v>
      </c>
      <c r="M21">
        <f t="shared" si="3"/>
        <v>1981</v>
      </c>
      <c r="N21">
        <f t="shared" si="4"/>
        <v>0.68298838970217057</v>
      </c>
      <c r="O21">
        <f t="shared" si="5"/>
        <v>3334</v>
      </c>
      <c r="P21">
        <f t="shared" si="6"/>
        <v>566.78</v>
      </c>
      <c r="Q21">
        <f t="shared" si="7"/>
        <v>3900.7799999999997</v>
      </c>
      <c r="R21">
        <f t="shared" si="8"/>
        <v>837.97636949516641</v>
      </c>
    </row>
    <row r="22" spans="1:18">
      <c r="A22" s="17">
        <v>6</v>
      </c>
      <c r="B22">
        <v>1454</v>
      </c>
      <c r="C22">
        <v>1727</v>
      </c>
      <c r="E22">
        <v>310</v>
      </c>
      <c r="F22">
        <v>138</v>
      </c>
      <c r="G22" s="40" t="s">
        <v>83</v>
      </c>
      <c r="I22" s="42">
        <v>19</v>
      </c>
      <c r="K22">
        <f t="shared" si="1"/>
        <v>19</v>
      </c>
      <c r="L22" s="37">
        <f t="shared" si="2"/>
        <v>5.89</v>
      </c>
      <c r="M22">
        <f t="shared" si="3"/>
        <v>2622</v>
      </c>
      <c r="N22">
        <f t="shared" si="4"/>
        <v>0.55453852021357741</v>
      </c>
      <c r="O22">
        <f t="shared" si="5"/>
        <v>4076</v>
      </c>
      <c r="P22">
        <f t="shared" si="6"/>
        <v>692.92</v>
      </c>
      <c r="Q22">
        <f t="shared" si="7"/>
        <v>4768.92</v>
      </c>
      <c r="R22">
        <f t="shared" si="8"/>
        <v>809.66383701188465</v>
      </c>
    </row>
    <row r="23" spans="1:18">
      <c r="A23" s="17">
        <v>8</v>
      </c>
      <c r="C23">
        <v>2051</v>
      </c>
      <c r="E23">
        <v>315</v>
      </c>
      <c r="F23">
        <v>140</v>
      </c>
      <c r="G23" s="40" t="s">
        <v>83</v>
      </c>
      <c r="I23" s="42">
        <v>19</v>
      </c>
      <c r="K23">
        <f t="shared" si="1"/>
        <v>25</v>
      </c>
      <c r="L23" s="37">
        <f t="shared" si="2"/>
        <v>7.875</v>
      </c>
      <c r="M23">
        <f t="shared" si="3"/>
        <v>3500</v>
      </c>
      <c r="N23">
        <f>C23/M23</f>
        <v>0.58599999999999997</v>
      </c>
      <c r="O23">
        <f t="shared" si="5"/>
        <v>5551</v>
      </c>
      <c r="P23">
        <f t="shared" si="6"/>
        <v>943.67</v>
      </c>
      <c r="Q23">
        <f t="shared" si="7"/>
        <v>6494.67</v>
      </c>
      <c r="R23">
        <f t="shared" si="8"/>
        <v>824.72</v>
      </c>
    </row>
    <row r="24" spans="1:18">
      <c r="A24" s="17">
        <v>10</v>
      </c>
      <c r="C24">
        <v>2306</v>
      </c>
      <c r="I24" s="42"/>
      <c r="K24">
        <f>ROUNDDOWN(A24*1000/$E18,0)</f>
        <v>18</v>
      </c>
      <c r="L24" s="37">
        <f>ROUNDDOWN(A24*1000/E18,0)*E18/1000</f>
        <v>9.7200000000000006</v>
      </c>
      <c r="M24">
        <f>K24*F18</f>
        <v>4194</v>
      </c>
      <c r="N24">
        <f>C24/M24</f>
        <v>0.54983309489747256</v>
      </c>
      <c r="O24">
        <f t="shared" si="5"/>
        <v>6500</v>
      </c>
      <c r="P24">
        <f t="shared" si="6"/>
        <v>1105</v>
      </c>
      <c r="Q24">
        <f t="shared" si="7"/>
        <v>7605</v>
      </c>
      <c r="R24">
        <f t="shared" si="8"/>
        <v>782.40740740740739</v>
      </c>
    </row>
    <row r="25" spans="1:18" ht="15" thickBot="1">
      <c r="A25" s="18">
        <v>50</v>
      </c>
      <c r="B25" s="26"/>
      <c r="C25" s="26">
        <v>4796</v>
      </c>
      <c r="D25" s="26"/>
      <c r="E25" s="26"/>
      <c r="F25" s="26"/>
      <c r="G25" s="26"/>
      <c r="H25" s="26"/>
      <c r="I25" s="43"/>
      <c r="K25">
        <f>ROUNDDOWN(A25*1000/$E19,0)</f>
        <v>91</v>
      </c>
      <c r="L25" s="37">
        <f>ROUNDDOWN(A25*1000/$E19,0)*E19/1000</f>
        <v>49.594999999999999</v>
      </c>
      <c r="M25">
        <f>K25*F19</f>
        <v>21385</v>
      </c>
      <c r="N25">
        <f>C25/M25</f>
        <v>0.22426934767360299</v>
      </c>
      <c r="O25">
        <f t="shared" si="5"/>
        <v>26181</v>
      </c>
      <c r="P25">
        <f>O25*$E$31/100</f>
        <v>4450.7700000000004</v>
      </c>
      <c r="Q25">
        <f t="shared" si="7"/>
        <v>30631.77</v>
      </c>
      <c r="R25">
        <f t="shared" si="8"/>
        <v>617.63826998689387</v>
      </c>
    </row>
    <row r="28" spans="1:18">
      <c r="A28" s="35" t="s">
        <v>75</v>
      </c>
      <c r="D28" t="s">
        <v>79</v>
      </c>
    </row>
    <row r="29" spans="1:18" ht="51">
      <c r="A29" s="31" t="s">
        <v>68</v>
      </c>
      <c r="B29" s="31" t="s">
        <v>69</v>
      </c>
    </row>
    <row r="30" spans="1:18" ht="20.399999999999999">
      <c r="A30" s="32" t="s">
        <v>70</v>
      </c>
      <c r="B30" s="33">
        <v>0.315</v>
      </c>
      <c r="D30" s="2" t="s">
        <v>96</v>
      </c>
      <c r="E30" s="2" t="s">
        <v>87</v>
      </c>
    </row>
    <row r="31" spans="1:18" ht="41.4" customHeight="1">
      <c r="A31" s="32" t="s">
        <v>71</v>
      </c>
      <c r="B31" s="34">
        <v>0.17</v>
      </c>
      <c r="C31" s="1"/>
      <c r="D31" s="48" t="s">
        <v>86</v>
      </c>
      <c r="E31">
        <v>17</v>
      </c>
    </row>
    <row r="32" spans="1:18">
      <c r="A32" s="32" t="s">
        <v>72</v>
      </c>
      <c r="B32" s="33">
        <v>0.215</v>
      </c>
      <c r="D32" s="47" t="s">
        <v>34</v>
      </c>
      <c r="E32" s="47">
        <v>21</v>
      </c>
      <c r="F32" t="s">
        <v>95</v>
      </c>
    </row>
    <row r="33" spans="1:4">
      <c r="A33" s="32" t="s">
        <v>73</v>
      </c>
      <c r="B33" s="34">
        <v>0.13</v>
      </c>
    </row>
    <row r="34" spans="1:4" ht="30.6">
      <c r="A34" s="32" t="s">
        <v>74</v>
      </c>
      <c r="B34" s="34">
        <v>0.17</v>
      </c>
    </row>
    <row r="36" spans="1:4">
      <c r="A36" s="35" t="s">
        <v>76</v>
      </c>
    </row>
    <row r="37" spans="1:4" ht="61.2">
      <c r="A37" s="31" t="s">
        <v>68</v>
      </c>
      <c r="B37" s="31" t="s">
        <v>77</v>
      </c>
    </row>
    <row r="38" spans="1:4" ht="20.399999999999999">
      <c r="A38" s="32" t="s">
        <v>70</v>
      </c>
      <c r="B38" s="34">
        <v>0.18</v>
      </c>
    </row>
    <row r="39" spans="1:4">
      <c r="A39" s="32" t="s">
        <v>71</v>
      </c>
      <c r="B39" s="34">
        <v>0.1</v>
      </c>
    </row>
    <row r="40" spans="1:4">
      <c r="A40" s="32" t="s">
        <v>78</v>
      </c>
      <c r="B40" s="33">
        <v>0.35499999999999998</v>
      </c>
    </row>
    <row r="41" spans="1:4" ht="30.6">
      <c r="A41" s="32" t="s">
        <v>74</v>
      </c>
      <c r="B41" s="33">
        <v>0.108</v>
      </c>
    </row>
    <row r="42" spans="1:4">
      <c r="A42" s="32" t="s">
        <v>72</v>
      </c>
      <c r="B42" s="34">
        <v>0.18</v>
      </c>
    </row>
    <row r="43" spans="1:4">
      <c r="A43" s="32" t="s">
        <v>73</v>
      </c>
      <c r="B43" s="33">
        <v>7.6999999999999999E-2</v>
      </c>
    </row>
    <row r="45" spans="1:4">
      <c r="A45" t="s">
        <v>37</v>
      </c>
      <c r="B45" t="s">
        <v>38</v>
      </c>
      <c r="C45" t="s">
        <v>22</v>
      </c>
      <c r="D45" t="s">
        <v>52</v>
      </c>
    </row>
    <row r="46" spans="1:4">
      <c r="A46" t="s">
        <v>50</v>
      </c>
      <c r="C46" t="s">
        <v>28</v>
      </c>
    </row>
    <row r="47" spans="1:4">
      <c r="A47" t="s">
        <v>51</v>
      </c>
      <c r="C47" t="s">
        <v>28</v>
      </c>
    </row>
    <row r="48" spans="1:4">
      <c r="A48" t="s">
        <v>39</v>
      </c>
      <c r="B48">
        <v>1070</v>
      </c>
      <c r="C48" t="s">
        <v>48</v>
      </c>
    </row>
    <row r="49" spans="1:3">
      <c r="A49" t="s">
        <v>40</v>
      </c>
      <c r="B49">
        <v>12.8</v>
      </c>
      <c r="C49" t="s">
        <v>41</v>
      </c>
    </row>
    <row r="50" spans="1:3">
      <c r="A50" t="s">
        <v>42</v>
      </c>
      <c r="B50">
        <v>0</v>
      </c>
      <c r="C50" t="s">
        <v>43</v>
      </c>
    </row>
    <row r="51" spans="1:3">
      <c r="A51" t="s">
        <v>49</v>
      </c>
      <c r="B51">
        <v>19</v>
      </c>
      <c r="C51" t="s">
        <v>44</v>
      </c>
    </row>
    <row r="52" spans="1:3">
      <c r="A52" t="s">
        <v>45</v>
      </c>
      <c r="B52">
        <v>0.84</v>
      </c>
      <c r="C52" t="s">
        <v>14</v>
      </c>
    </row>
    <row r="53" spans="1:3">
      <c r="A53" t="s">
        <v>46</v>
      </c>
      <c r="B53">
        <v>0.8</v>
      </c>
      <c r="C53" t="s">
        <v>14</v>
      </c>
    </row>
    <row r="54" spans="1:3">
      <c r="A54" t="s">
        <v>47</v>
      </c>
      <c r="B54">
        <v>1</v>
      </c>
      <c r="C54" t="s">
        <v>14</v>
      </c>
    </row>
  </sheetData>
  <hyperlinks>
    <hyperlink ref="D6" r:id="rId1" xr:uid="{A4A917A5-55DB-4BBA-90AE-646E9FEBE99F}"/>
    <hyperlink ref="D4" r:id="rId2" xr:uid="{70DE1282-61DD-440B-B43C-B158C12B1F5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EF2B-215E-4E51-B67B-DA89072556EA}">
  <dimension ref="A1:I12"/>
  <sheetViews>
    <sheetView workbookViewId="0">
      <selection activeCell="H12" sqref="H12"/>
    </sheetView>
  </sheetViews>
  <sheetFormatPr defaultRowHeight="14.4"/>
  <cols>
    <col min="1" max="1" width="14.88671875" customWidth="1"/>
    <col min="2" max="2" width="21.109375" customWidth="1"/>
    <col min="3" max="3" width="16" customWidth="1"/>
    <col min="4" max="4" width="13" customWidth="1"/>
    <col min="5" max="5" width="8.6640625" bestFit="1" customWidth="1"/>
    <col min="6" max="6" width="9.21875" bestFit="1" customWidth="1"/>
    <col min="7" max="7" width="9.5546875" bestFit="1" customWidth="1"/>
    <col min="8" max="8" width="6.6640625" bestFit="1" customWidth="1"/>
    <col min="9" max="9" width="8.5546875" bestFit="1" customWidth="1"/>
  </cols>
  <sheetData>
    <row r="1" spans="1:9">
      <c r="A1" s="3" t="s">
        <v>152</v>
      </c>
      <c r="B1" s="3" t="s">
        <v>151</v>
      </c>
      <c r="C1" s="3" t="s">
        <v>133</v>
      </c>
      <c r="D1" s="3" t="s">
        <v>135</v>
      </c>
      <c r="E1" s="3"/>
      <c r="F1" s="3"/>
      <c r="G1" s="3"/>
      <c r="H1" s="3"/>
      <c r="I1" s="3"/>
    </row>
    <row r="2" spans="1:9">
      <c r="A2" s="70" t="s">
        <v>127</v>
      </c>
      <c r="B2" s="4" t="s">
        <v>137</v>
      </c>
      <c r="C2" s="4">
        <v>0.15</v>
      </c>
      <c r="D2" s="4">
        <v>0.7</v>
      </c>
      <c r="E2" s="4"/>
      <c r="F2" s="4"/>
      <c r="G2" s="4"/>
      <c r="H2" s="4"/>
      <c r="I2" s="4"/>
    </row>
    <row r="3" spans="1:9">
      <c r="A3" s="70" t="s">
        <v>138</v>
      </c>
      <c r="B3" s="4" t="s">
        <v>139</v>
      </c>
      <c r="C3" s="4">
        <v>1.9305000000000001</v>
      </c>
      <c r="D3" s="4">
        <v>4.0500999999999996</v>
      </c>
      <c r="E3" s="4"/>
      <c r="F3" s="4"/>
      <c r="G3" s="4"/>
      <c r="H3" s="4"/>
      <c r="I3" s="4"/>
    </row>
    <row r="4" spans="1:9">
      <c r="A4" s="70" t="s">
        <v>153</v>
      </c>
      <c r="B4" s="4" t="s">
        <v>154</v>
      </c>
      <c r="C4" s="4">
        <v>0.3</v>
      </c>
      <c r="D4" s="4"/>
      <c r="E4" s="4"/>
      <c r="F4" s="4"/>
      <c r="G4" s="4"/>
      <c r="H4" s="4"/>
      <c r="I4" s="4"/>
    </row>
    <row r="5" spans="1:9">
      <c r="A5" s="70" t="s">
        <v>140</v>
      </c>
      <c r="B5" s="4" t="s">
        <v>141</v>
      </c>
      <c r="C5" s="4"/>
      <c r="D5" s="4"/>
    </row>
    <row r="6" spans="1:9">
      <c r="A6" s="70" t="s">
        <v>142</v>
      </c>
      <c r="B6" s="4" t="s">
        <v>143</v>
      </c>
      <c r="C6" s="4"/>
      <c r="D6" s="4"/>
    </row>
    <row r="7" spans="1:9">
      <c r="A7" s="70" t="s">
        <v>144</v>
      </c>
      <c r="B7" s="4" t="s">
        <v>145</v>
      </c>
      <c r="C7" s="4">
        <v>-2.8977909999999998</v>
      </c>
      <c r="D7" s="4">
        <v>-2.8977909999999998</v>
      </c>
    </row>
    <row r="8" spans="1:9">
      <c r="A8" s="70" t="s">
        <v>146</v>
      </c>
      <c r="B8" s="4" t="s">
        <v>147</v>
      </c>
      <c r="C8" s="4">
        <v>43.257928</v>
      </c>
      <c r="D8" s="4">
        <v>43.257928</v>
      </c>
    </row>
    <row r="9" spans="1:9">
      <c r="A9" s="70" t="s">
        <v>148</v>
      </c>
      <c r="B9" s="4" t="s">
        <v>136</v>
      </c>
      <c r="C9" s="4">
        <v>79</v>
      </c>
      <c r="D9" s="4">
        <v>79</v>
      </c>
    </row>
    <row r="10" spans="1:9">
      <c r="A10" s="70" t="s">
        <v>149</v>
      </c>
      <c r="B10" s="4" t="s">
        <v>150</v>
      </c>
      <c r="C10" s="4" t="s">
        <v>134</v>
      </c>
      <c r="D10" s="4" t="s">
        <v>134</v>
      </c>
    </row>
    <row r="11" spans="1:9" ht="28.8">
      <c r="A11" s="4" t="s">
        <v>157</v>
      </c>
      <c r="B11" s="4" t="s">
        <v>155</v>
      </c>
      <c r="C11" s="4">
        <v>0.75</v>
      </c>
      <c r="D11" s="71">
        <f>C11</f>
        <v>0.75</v>
      </c>
    </row>
    <row r="12" spans="1:9" ht="28.8">
      <c r="A12" s="4" t="s">
        <v>158</v>
      </c>
      <c r="B12" s="4" t="s">
        <v>156</v>
      </c>
      <c r="C12" s="4">
        <v>0.65</v>
      </c>
      <c r="D12" s="71">
        <f>C12</f>
        <v>0.65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A86-396E-4FFE-B50B-503D46922B61}">
  <dimension ref="A1:D9"/>
  <sheetViews>
    <sheetView workbookViewId="0">
      <selection activeCell="A2" sqref="A2"/>
    </sheetView>
  </sheetViews>
  <sheetFormatPr defaultRowHeight="14.4"/>
  <cols>
    <col min="1" max="1" width="33.33203125" customWidth="1"/>
    <col min="2" max="2" width="16.21875" customWidth="1"/>
    <col min="4" max="4" width="16.109375" customWidth="1"/>
  </cols>
  <sheetData>
    <row r="1" spans="1:4">
      <c r="B1" s="2" t="s">
        <v>130</v>
      </c>
      <c r="C1" s="2" t="s">
        <v>17</v>
      </c>
      <c r="D1" s="2" t="s">
        <v>105</v>
      </c>
    </row>
    <row r="2" spans="1:4">
      <c r="A2" t="s">
        <v>129</v>
      </c>
      <c r="B2">
        <v>0.01</v>
      </c>
      <c r="C2" s="68"/>
      <c r="D2" s="68"/>
    </row>
    <row r="3" spans="1:4">
      <c r="A3" t="s">
        <v>128</v>
      </c>
      <c r="B3">
        <v>0.1</v>
      </c>
      <c r="C3" s="68"/>
      <c r="D3" s="68"/>
    </row>
    <row r="4" spans="1:4">
      <c r="A4" t="s">
        <v>110</v>
      </c>
      <c r="B4">
        <v>0.03</v>
      </c>
      <c r="C4" s="68"/>
      <c r="D4" s="68"/>
    </row>
    <row r="5" spans="1:4">
      <c r="A5" t="s">
        <v>109</v>
      </c>
      <c r="B5" s="67"/>
      <c r="C5">
        <v>0.01</v>
      </c>
      <c r="D5" s="68"/>
    </row>
    <row r="6" spans="1:4">
      <c r="A6" t="s">
        <v>104</v>
      </c>
      <c r="B6" s="67"/>
      <c r="C6">
        <v>20</v>
      </c>
      <c r="D6">
        <v>30</v>
      </c>
    </row>
    <row r="7" spans="1:4">
      <c r="A7" t="s">
        <v>111</v>
      </c>
      <c r="B7" s="67"/>
      <c r="C7">
        <v>2.5000000000000001E-2</v>
      </c>
      <c r="D7" s="68"/>
    </row>
    <row r="8" spans="1:4">
      <c r="A8" t="s">
        <v>126</v>
      </c>
      <c r="B8" s="67"/>
      <c r="C8">
        <f>0.99*1.95</f>
        <v>1.9304999999999999</v>
      </c>
      <c r="D8" s="68"/>
    </row>
    <row r="9" spans="1:4">
      <c r="A9" t="s">
        <v>127</v>
      </c>
      <c r="B9" s="67"/>
      <c r="C9">
        <v>0.15</v>
      </c>
      <c r="D9" s="6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2ABA-2170-4D67-BEC4-709B1DE51019}">
  <dimension ref="A1:D4"/>
  <sheetViews>
    <sheetView workbookViewId="0">
      <selection activeCell="I9" sqref="I9"/>
    </sheetView>
  </sheetViews>
  <sheetFormatPr defaultRowHeight="14.4"/>
  <cols>
    <col min="1" max="1" width="12.33203125" customWidth="1"/>
    <col min="2" max="2" width="11.6640625" bestFit="1" customWidth="1"/>
    <col min="3" max="3" width="9.21875" bestFit="1" customWidth="1"/>
  </cols>
  <sheetData>
    <row r="1" spans="1:4">
      <c r="B1" t="s">
        <v>120</v>
      </c>
      <c r="C1" t="s">
        <v>121</v>
      </c>
      <c r="D1" t="s">
        <v>125</v>
      </c>
    </row>
    <row r="2" spans="1:4">
      <c r="A2" t="s">
        <v>122</v>
      </c>
      <c r="B2">
        <v>2.0070000000000001</v>
      </c>
      <c r="C2">
        <v>2.403</v>
      </c>
      <c r="D2">
        <v>0.35699999999999998</v>
      </c>
    </row>
    <row r="3" spans="1:4">
      <c r="A3" t="s">
        <v>123</v>
      </c>
      <c r="B3">
        <v>8.5000000000000006E-2</v>
      </c>
      <c r="C3">
        <v>1.113</v>
      </c>
      <c r="D3">
        <v>0.02</v>
      </c>
    </row>
    <row r="4" spans="1:4">
      <c r="A4" t="s">
        <v>124</v>
      </c>
      <c r="B4">
        <v>1.19</v>
      </c>
      <c r="C4">
        <v>1.1950000000000001</v>
      </c>
      <c r="D4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9FC4-4FBA-46FD-B003-AC89AA1F34D6}">
  <dimension ref="A1:G13"/>
  <sheetViews>
    <sheetView zoomScale="120" zoomScaleNormal="175" workbookViewId="0">
      <selection activeCell="H15" sqref="H15"/>
    </sheetView>
  </sheetViews>
  <sheetFormatPr defaultRowHeight="14.4"/>
  <cols>
    <col min="1" max="1" width="6.5546875" customWidth="1"/>
    <col min="2" max="2" width="14.21875" customWidth="1"/>
    <col min="4" max="4" width="10.109375" customWidth="1"/>
  </cols>
  <sheetData>
    <row r="1" spans="1:7">
      <c r="A1" s="66" t="s">
        <v>119</v>
      </c>
      <c r="B1" s="66" t="s">
        <v>118</v>
      </c>
      <c r="C1" s="66" t="s">
        <v>117</v>
      </c>
      <c r="D1" s="66" t="s">
        <v>18</v>
      </c>
      <c r="E1" s="66" t="s">
        <v>19</v>
      </c>
      <c r="F1" s="66" t="s">
        <v>20</v>
      </c>
      <c r="G1" s="66" t="s">
        <v>17</v>
      </c>
    </row>
    <row r="2" spans="1:7">
      <c r="B2" s="2">
        <v>1</v>
      </c>
      <c r="C2" t="s">
        <v>100</v>
      </c>
      <c r="D2" s="2">
        <v>1</v>
      </c>
      <c r="E2" s="2"/>
      <c r="F2" s="2"/>
      <c r="G2" s="2"/>
    </row>
    <row r="3" spans="1:7">
      <c r="B3" s="2">
        <v>2</v>
      </c>
      <c r="C3" t="s">
        <v>101</v>
      </c>
      <c r="D3" s="2">
        <v>1</v>
      </c>
      <c r="E3" s="2"/>
      <c r="F3" s="2"/>
      <c r="G3" s="2"/>
    </row>
    <row r="4" spans="1:7">
      <c r="B4" s="2">
        <v>3</v>
      </c>
      <c r="C4" t="s">
        <v>102</v>
      </c>
      <c r="D4" s="2"/>
      <c r="E4" s="2"/>
      <c r="F4" s="2"/>
      <c r="G4" s="2"/>
    </row>
    <row r="5" spans="1:7">
      <c r="B5" s="2">
        <v>4</v>
      </c>
      <c r="C5" t="s">
        <v>103</v>
      </c>
      <c r="D5" s="2"/>
      <c r="E5" s="2"/>
      <c r="F5" s="2"/>
      <c r="G5" s="2"/>
    </row>
    <row r="6" spans="1:7">
      <c r="A6">
        <v>1</v>
      </c>
      <c r="B6" s="2">
        <v>5</v>
      </c>
      <c r="C6" t="s">
        <v>100</v>
      </c>
      <c r="D6">
        <v>1</v>
      </c>
      <c r="E6">
        <v>1</v>
      </c>
      <c r="G6">
        <v>1</v>
      </c>
    </row>
    <row r="7" spans="1:7">
      <c r="A7">
        <v>1</v>
      </c>
      <c r="B7" s="2">
        <v>6</v>
      </c>
      <c r="C7" t="s">
        <v>101</v>
      </c>
      <c r="D7">
        <v>1</v>
      </c>
      <c r="E7">
        <v>1</v>
      </c>
      <c r="G7">
        <v>1</v>
      </c>
    </row>
    <row r="8" spans="1:7">
      <c r="B8" s="2">
        <v>7</v>
      </c>
      <c r="C8" t="s">
        <v>102</v>
      </c>
    </row>
    <row r="9" spans="1:7">
      <c r="B9" s="2">
        <v>8</v>
      </c>
      <c r="C9" t="s">
        <v>103</v>
      </c>
    </row>
    <row r="10" spans="1:7">
      <c r="A10">
        <v>1</v>
      </c>
      <c r="B10" s="2">
        <v>9</v>
      </c>
      <c r="C10" t="s">
        <v>100</v>
      </c>
      <c r="D10">
        <v>1</v>
      </c>
      <c r="E10">
        <v>1</v>
      </c>
      <c r="F10">
        <v>1</v>
      </c>
      <c r="G10">
        <v>1</v>
      </c>
    </row>
    <row r="11" spans="1:7">
      <c r="A11">
        <v>1</v>
      </c>
      <c r="B11" s="2">
        <v>10</v>
      </c>
      <c r="C11" t="s">
        <v>101</v>
      </c>
      <c r="D11">
        <v>1</v>
      </c>
      <c r="E11">
        <v>1</v>
      </c>
      <c r="F11">
        <v>1</v>
      </c>
      <c r="G11">
        <v>1</v>
      </c>
    </row>
    <row r="12" spans="1:7">
      <c r="B12" s="2">
        <v>11</v>
      </c>
      <c r="C12" t="s">
        <v>102</v>
      </c>
    </row>
    <row r="13" spans="1:7">
      <c r="B13" s="2">
        <v>12</v>
      </c>
      <c r="C13" t="s">
        <v>103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22B-0812-4BF4-BB80-EA936E9C5D69}">
  <dimension ref="A1:J13"/>
  <sheetViews>
    <sheetView workbookViewId="0">
      <selection activeCell="L11" sqref="L11"/>
    </sheetView>
  </sheetViews>
  <sheetFormatPr defaultRowHeight="14.4"/>
  <cols>
    <col min="1" max="1" width="11.5546875" customWidth="1"/>
    <col min="2" max="2" width="18.21875" customWidth="1"/>
    <col min="3" max="3" width="12.77734375" customWidth="1"/>
    <col min="4" max="4" width="4.109375" customWidth="1"/>
    <col min="5" max="5" width="11.109375" customWidth="1"/>
  </cols>
  <sheetData>
    <row r="1" spans="1:10">
      <c r="A1" s="2" t="s">
        <v>116</v>
      </c>
      <c r="B1" s="2" t="s">
        <v>23</v>
      </c>
      <c r="C1" s="2" t="s">
        <v>32</v>
      </c>
      <c r="D1" s="2" t="s">
        <v>15</v>
      </c>
      <c r="E1" s="2" t="s">
        <v>31</v>
      </c>
      <c r="F1" s="2" t="s">
        <v>22</v>
      </c>
      <c r="G1" s="49" t="s">
        <v>100</v>
      </c>
      <c r="H1" s="60" t="s">
        <v>101</v>
      </c>
      <c r="I1" s="2" t="s">
        <v>102</v>
      </c>
      <c r="J1" s="2" t="s">
        <v>103</v>
      </c>
    </row>
    <row r="2" spans="1:10">
      <c r="A2" t="s">
        <v>114</v>
      </c>
      <c r="B2" t="s">
        <v>112</v>
      </c>
      <c r="C2" t="s">
        <v>113</v>
      </c>
      <c r="D2">
        <v>1</v>
      </c>
      <c r="E2" s="66" t="s">
        <v>18</v>
      </c>
      <c r="F2" s="66" t="s">
        <v>44</v>
      </c>
      <c r="G2" s="66">
        <v>0.2</v>
      </c>
      <c r="H2" s="66">
        <v>0.27</v>
      </c>
      <c r="I2" s="66"/>
    </row>
    <row r="3" spans="1:10">
      <c r="A3" t="s">
        <v>114</v>
      </c>
      <c r="B3" t="s">
        <v>112</v>
      </c>
      <c r="C3" t="s">
        <v>113</v>
      </c>
      <c r="D3">
        <v>2</v>
      </c>
      <c r="E3" s="66" t="s">
        <v>19</v>
      </c>
      <c r="F3" s="66" t="s">
        <v>44</v>
      </c>
      <c r="G3" s="66">
        <v>0.09</v>
      </c>
      <c r="H3" s="66">
        <v>0.11</v>
      </c>
      <c r="I3" s="66"/>
    </row>
    <row r="4" spans="1:10">
      <c r="A4" t="s">
        <v>114</v>
      </c>
      <c r="B4" t="s">
        <v>112</v>
      </c>
      <c r="C4" t="s">
        <v>113</v>
      </c>
      <c r="D4">
        <v>3</v>
      </c>
      <c r="E4" s="66" t="s">
        <v>20</v>
      </c>
      <c r="F4" s="66" t="s">
        <v>44</v>
      </c>
      <c r="G4" s="66">
        <v>0.33</v>
      </c>
      <c r="H4" s="66">
        <v>0.36</v>
      </c>
      <c r="I4" s="66"/>
    </row>
    <row r="5" spans="1:10">
      <c r="A5" t="s">
        <v>114</v>
      </c>
      <c r="B5" t="s">
        <v>112</v>
      </c>
      <c r="C5" t="s">
        <v>113</v>
      </c>
      <c r="D5">
        <v>0</v>
      </c>
      <c r="E5" s="66" t="s">
        <v>115</v>
      </c>
      <c r="F5" s="66" t="s">
        <v>44</v>
      </c>
      <c r="G5" s="66">
        <f>SUM(G2:G4)</f>
        <v>0.62000000000000011</v>
      </c>
      <c r="H5" s="66">
        <f>SUM(H2:H4)</f>
        <v>0.74</v>
      </c>
      <c r="I5" s="66"/>
    </row>
    <row r="6" spans="1:10">
      <c r="E6" s="66"/>
      <c r="F6" s="66"/>
      <c r="G6" s="66"/>
      <c r="H6" s="66"/>
      <c r="I6" s="66"/>
    </row>
    <row r="7" spans="1:10">
      <c r="E7" s="66"/>
    </row>
    <row r="8" spans="1:10">
      <c r="E8" s="66"/>
    </row>
    <row r="9" spans="1:10">
      <c r="E9" s="66"/>
    </row>
    <row r="10" spans="1:10">
      <c r="E10" s="66"/>
    </row>
    <row r="11" spans="1:10">
      <c r="E11" s="66"/>
    </row>
    <row r="12" spans="1:10">
      <c r="E12" s="66"/>
    </row>
    <row r="13" spans="1:10">
      <c r="E13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E614-8D71-4658-B00A-F3A8CCFE38F1}">
  <dimension ref="A1:E13"/>
  <sheetViews>
    <sheetView workbookViewId="0">
      <selection activeCell="G14" sqref="G14"/>
    </sheetView>
  </sheetViews>
  <sheetFormatPr defaultRowHeight="14.4"/>
  <cols>
    <col min="1" max="1" width="4.44140625" customWidth="1"/>
    <col min="2" max="2" width="10.109375" customWidth="1"/>
  </cols>
  <sheetData>
    <row r="1" spans="1:5">
      <c r="A1" s="3" t="s">
        <v>15</v>
      </c>
      <c r="B1" s="3" t="s">
        <v>0</v>
      </c>
      <c r="C1" s="3" t="s">
        <v>22</v>
      </c>
      <c r="D1" s="3" t="s">
        <v>106</v>
      </c>
      <c r="E1" s="3"/>
    </row>
    <row r="2" spans="1:5">
      <c r="A2">
        <v>1</v>
      </c>
      <c r="B2" s="4" t="s">
        <v>1</v>
      </c>
      <c r="C2" t="s">
        <v>44</v>
      </c>
      <c r="D2" s="4">
        <v>0.25</v>
      </c>
      <c r="E2" s="4"/>
    </row>
    <row r="3" spans="1:5">
      <c r="A3">
        <v>2</v>
      </c>
      <c r="B3" s="4" t="s">
        <v>2</v>
      </c>
      <c r="C3" t="s">
        <v>44</v>
      </c>
      <c r="D3" s="4">
        <v>0.25</v>
      </c>
      <c r="E3" s="4"/>
    </row>
    <row r="4" spans="1:5">
      <c r="A4">
        <v>3</v>
      </c>
      <c r="B4" s="4" t="s">
        <v>3</v>
      </c>
      <c r="C4" t="s">
        <v>44</v>
      </c>
      <c r="D4" s="4">
        <v>0.25</v>
      </c>
      <c r="E4" s="4"/>
    </row>
    <row r="5" spans="1:5">
      <c r="A5">
        <v>4</v>
      </c>
      <c r="B5" s="4" t="s">
        <v>4</v>
      </c>
      <c r="C5" t="s">
        <v>44</v>
      </c>
      <c r="D5" s="4">
        <v>0.25</v>
      </c>
      <c r="E5" s="4"/>
    </row>
    <row r="6" spans="1:5">
      <c r="A6">
        <v>5</v>
      </c>
      <c r="B6" s="4" t="s">
        <v>5</v>
      </c>
      <c r="C6" t="s">
        <v>44</v>
      </c>
      <c r="D6" s="4">
        <v>0.25</v>
      </c>
      <c r="E6" s="4"/>
    </row>
    <row r="7" spans="1:5">
      <c r="A7">
        <v>6</v>
      </c>
      <c r="B7" s="4" t="s">
        <v>6</v>
      </c>
      <c r="C7" t="s">
        <v>44</v>
      </c>
      <c r="D7" s="4">
        <v>0.25</v>
      </c>
      <c r="E7" s="4"/>
    </row>
    <row r="8" spans="1:5">
      <c r="A8">
        <v>7</v>
      </c>
      <c r="B8" s="4" t="s">
        <v>7</v>
      </c>
      <c r="C8" t="s">
        <v>44</v>
      </c>
      <c r="D8" s="4">
        <v>0.25</v>
      </c>
      <c r="E8" s="4"/>
    </row>
    <row r="9" spans="1:5">
      <c r="A9">
        <v>8</v>
      </c>
      <c r="B9" s="4" t="s">
        <v>8</v>
      </c>
      <c r="C9" t="s">
        <v>44</v>
      </c>
      <c r="D9" s="4">
        <v>0.25</v>
      </c>
      <c r="E9" s="4"/>
    </row>
    <row r="10" spans="1:5">
      <c r="A10">
        <v>9</v>
      </c>
      <c r="B10" s="4" t="s">
        <v>9</v>
      </c>
      <c r="C10" t="s">
        <v>44</v>
      </c>
      <c r="D10" s="4">
        <v>0.25</v>
      </c>
      <c r="E10" s="4"/>
    </row>
    <row r="11" spans="1:5">
      <c r="A11">
        <v>10</v>
      </c>
      <c r="B11" s="4" t="s">
        <v>10</v>
      </c>
      <c r="C11" t="s">
        <v>44</v>
      </c>
      <c r="D11" s="4">
        <v>0.25</v>
      </c>
      <c r="E11" s="4"/>
    </row>
    <row r="12" spans="1:5">
      <c r="A12">
        <v>11</v>
      </c>
      <c r="B12" s="4" t="s">
        <v>11</v>
      </c>
      <c r="C12" t="s">
        <v>44</v>
      </c>
      <c r="D12" s="4">
        <v>0.25</v>
      </c>
      <c r="E12" s="4"/>
    </row>
    <row r="13" spans="1:5">
      <c r="A13">
        <v>12</v>
      </c>
      <c r="B13" s="4" t="s">
        <v>12</v>
      </c>
      <c r="C13" t="s">
        <v>44</v>
      </c>
      <c r="D13" s="4">
        <v>0.25</v>
      </c>
      <c r="E13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D-8E22-4611-A7BB-3E1D2EBCE4BB}">
  <dimension ref="A1:H22"/>
  <sheetViews>
    <sheetView zoomScaleNormal="100" workbookViewId="0">
      <selection activeCell="M22" sqref="M22"/>
    </sheetView>
  </sheetViews>
  <sheetFormatPr defaultRowHeight="14.4"/>
  <cols>
    <col min="2" max="2" width="11.5546875" customWidth="1"/>
    <col min="3" max="3" width="17.6640625" customWidth="1"/>
    <col min="4" max="4" width="12.88671875" customWidth="1"/>
    <col min="5" max="5" width="9.21875" style="55" customWidth="1"/>
    <col min="6" max="6" width="10" style="55" customWidth="1"/>
    <col min="7" max="7" width="10.109375" customWidth="1"/>
  </cols>
  <sheetData>
    <row r="1" spans="1:8" ht="15" thickBot="1">
      <c r="A1" s="2" t="s">
        <v>23</v>
      </c>
      <c r="B1" s="2" t="s">
        <v>32</v>
      </c>
      <c r="C1" s="2" t="s">
        <v>31</v>
      </c>
      <c r="D1" s="2" t="s">
        <v>22</v>
      </c>
      <c r="E1" s="49" t="s">
        <v>100</v>
      </c>
      <c r="F1" s="60" t="s">
        <v>101</v>
      </c>
      <c r="G1" s="2" t="s">
        <v>102</v>
      </c>
      <c r="H1" s="2" t="s">
        <v>103</v>
      </c>
    </row>
    <row r="2" spans="1:8">
      <c r="A2" s="15" t="s">
        <v>24</v>
      </c>
      <c r="B2" s="27" t="s">
        <v>18</v>
      </c>
      <c r="C2" s="16" t="s">
        <v>22</v>
      </c>
      <c r="D2" s="9" t="s">
        <v>35</v>
      </c>
      <c r="E2" s="50">
        <v>5.88</v>
      </c>
      <c r="F2" s="61">
        <v>10.7</v>
      </c>
      <c r="G2" s="56">
        <v>15.54</v>
      </c>
      <c r="H2" s="10">
        <v>20.36</v>
      </c>
    </row>
    <row r="3" spans="1:8">
      <c r="A3" s="17" t="s">
        <v>24</v>
      </c>
      <c r="B3" s="28" t="s">
        <v>18</v>
      </c>
      <c r="C3" s="14" t="s">
        <v>34</v>
      </c>
      <c r="D3" s="5" t="s">
        <v>35</v>
      </c>
      <c r="E3" s="51">
        <v>5.95</v>
      </c>
      <c r="F3" s="62">
        <v>5.95</v>
      </c>
      <c r="G3" s="6">
        <v>5.95</v>
      </c>
      <c r="H3" s="11">
        <v>5.95</v>
      </c>
    </row>
    <row r="4" spans="1:8">
      <c r="A4" s="21" t="s">
        <v>24</v>
      </c>
      <c r="B4" s="29" t="s">
        <v>18</v>
      </c>
      <c r="C4" s="20" t="s">
        <v>33</v>
      </c>
      <c r="D4" s="8" t="s">
        <v>36</v>
      </c>
      <c r="E4" s="52">
        <v>2.4E-2</v>
      </c>
      <c r="F4" s="63">
        <v>0.03</v>
      </c>
      <c r="G4" s="57">
        <v>4.3999999999999997E-2</v>
      </c>
      <c r="H4" s="22">
        <v>5.2999999999999999E-2</v>
      </c>
    </row>
    <row r="5" spans="1:8" ht="15">
      <c r="A5" s="23" t="s">
        <v>25</v>
      </c>
      <c r="B5" s="23" t="s">
        <v>18</v>
      </c>
      <c r="C5" s="19" t="s">
        <v>26</v>
      </c>
      <c r="D5" s="7" t="s">
        <v>27</v>
      </c>
      <c r="E5" s="53">
        <v>0.49</v>
      </c>
      <c r="F5" s="64">
        <v>0.28999999999999998</v>
      </c>
      <c r="G5" s="58"/>
      <c r="H5" s="24"/>
    </row>
    <row r="6" spans="1:8" ht="24">
      <c r="A6" s="17" t="s">
        <v>25</v>
      </c>
      <c r="B6" s="28" t="s">
        <v>18</v>
      </c>
      <c r="C6" s="14" t="s">
        <v>30</v>
      </c>
      <c r="D6" s="5" t="s">
        <v>28</v>
      </c>
      <c r="E6" s="51">
        <v>0.04</v>
      </c>
      <c r="F6" s="62">
        <v>0.08</v>
      </c>
      <c r="G6" s="6">
        <v>0.12</v>
      </c>
      <c r="H6" s="11">
        <v>0.16</v>
      </c>
    </row>
    <row r="7" spans="1:8" ht="15.6" thickBot="1">
      <c r="A7" s="18" t="s">
        <v>25</v>
      </c>
      <c r="B7" s="29" t="s">
        <v>18</v>
      </c>
      <c r="C7" s="25" t="s">
        <v>29</v>
      </c>
      <c r="D7" s="12" t="s">
        <v>27</v>
      </c>
      <c r="E7" s="54">
        <v>0.43</v>
      </c>
      <c r="F7" s="65">
        <v>0.28999999999999998</v>
      </c>
      <c r="G7" s="59">
        <v>0.23</v>
      </c>
      <c r="H7" s="13">
        <v>0.19</v>
      </c>
    </row>
    <row r="8" spans="1:8">
      <c r="A8" s="15" t="s">
        <v>24</v>
      </c>
      <c r="B8" s="27" t="s">
        <v>19</v>
      </c>
      <c r="C8" s="16" t="s">
        <v>22</v>
      </c>
      <c r="D8" s="9" t="s">
        <v>35</v>
      </c>
      <c r="E8" s="50">
        <v>13.6</v>
      </c>
      <c r="F8" s="61">
        <v>21.4</v>
      </c>
      <c r="G8" s="56">
        <v>23.96</v>
      </c>
      <c r="H8" s="10">
        <v>26.54</v>
      </c>
    </row>
    <row r="9" spans="1:8">
      <c r="A9" s="17" t="s">
        <v>24</v>
      </c>
      <c r="B9" s="28" t="s">
        <v>19</v>
      </c>
      <c r="C9" s="14" t="s">
        <v>34</v>
      </c>
      <c r="D9" s="5" t="s">
        <v>35</v>
      </c>
      <c r="E9" s="51">
        <v>4.8</v>
      </c>
      <c r="F9" s="62">
        <v>4.5</v>
      </c>
      <c r="G9" s="6">
        <v>4.4800000000000004</v>
      </c>
      <c r="H9" s="11">
        <v>4.4800000000000004</v>
      </c>
    </row>
    <row r="10" spans="1:8">
      <c r="A10" s="21" t="s">
        <v>24</v>
      </c>
      <c r="B10" s="29" t="s">
        <v>19</v>
      </c>
      <c r="C10" s="20" t="s">
        <v>33</v>
      </c>
      <c r="D10" s="8" t="s">
        <v>36</v>
      </c>
      <c r="E10" s="52">
        <v>0.04</v>
      </c>
      <c r="F10" s="63">
        <v>0.05</v>
      </c>
      <c r="G10" s="57">
        <v>5.8000000000000003E-2</v>
      </c>
      <c r="H10" s="22">
        <v>6.3E-2</v>
      </c>
    </row>
    <row r="11" spans="1:8" ht="15">
      <c r="A11" s="23" t="s">
        <v>25</v>
      </c>
      <c r="B11" s="23" t="s">
        <v>19</v>
      </c>
      <c r="C11" s="19" t="s">
        <v>26</v>
      </c>
      <c r="D11" s="7" t="s">
        <v>27</v>
      </c>
      <c r="E11" s="53">
        <v>0.4</v>
      </c>
      <c r="F11" s="64">
        <v>0.23</v>
      </c>
      <c r="G11" s="58"/>
      <c r="H11" s="24"/>
    </row>
    <row r="12" spans="1:8" ht="24">
      <c r="A12" s="17" t="s">
        <v>25</v>
      </c>
      <c r="B12" s="28" t="s">
        <v>19</v>
      </c>
      <c r="C12" s="14" t="s">
        <v>30</v>
      </c>
      <c r="D12" s="5" t="s">
        <v>28</v>
      </c>
      <c r="E12" s="51">
        <v>0.1</v>
      </c>
      <c r="F12" s="62">
        <v>0.16</v>
      </c>
      <c r="G12" s="6">
        <v>0.18</v>
      </c>
      <c r="H12" s="11">
        <v>0.2</v>
      </c>
    </row>
    <row r="13" spans="1:8" ht="15.6" thickBot="1">
      <c r="A13" s="18" t="s">
        <v>25</v>
      </c>
      <c r="B13" s="29" t="s">
        <v>19</v>
      </c>
      <c r="C13" s="25" t="s">
        <v>29</v>
      </c>
      <c r="D13" s="12" t="s">
        <v>27</v>
      </c>
      <c r="E13" s="54">
        <v>0.35</v>
      </c>
      <c r="F13" s="65">
        <v>0.23</v>
      </c>
      <c r="G13" s="59">
        <v>0.21</v>
      </c>
      <c r="H13" s="13">
        <v>0.19</v>
      </c>
    </row>
    <row r="14" spans="1:8">
      <c r="A14" s="15" t="s">
        <v>24</v>
      </c>
      <c r="B14" s="27" t="s">
        <v>20</v>
      </c>
      <c r="C14" s="16" t="s">
        <v>22</v>
      </c>
      <c r="D14" s="9" t="s">
        <v>35</v>
      </c>
      <c r="E14" s="50">
        <v>502.2</v>
      </c>
      <c r="F14" s="61">
        <v>502.6</v>
      </c>
      <c r="G14" s="56">
        <v>507.2</v>
      </c>
      <c r="H14" s="10">
        <v>533.6</v>
      </c>
    </row>
    <row r="15" spans="1:8">
      <c r="A15" s="17" t="s">
        <v>24</v>
      </c>
      <c r="B15" s="28" t="s">
        <v>20</v>
      </c>
      <c r="C15" s="14" t="s">
        <v>34</v>
      </c>
      <c r="D15" s="5" t="s">
        <v>35</v>
      </c>
      <c r="E15" s="51">
        <v>89</v>
      </c>
      <c r="F15" s="62">
        <v>89</v>
      </c>
      <c r="G15" s="6">
        <v>89</v>
      </c>
      <c r="H15" s="11">
        <v>89</v>
      </c>
    </row>
    <row r="16" spans="1:8">
      <c r="A16" s="21" t="s">
        <v>24</v>
      </c>
      <c r="B16" s="29" t="s">
        <v>20</v>
      </c>
      <c r="C16" s="20" t="s">
        <v>33</v>
      </c>
      <c r="D16" s="8" t="s">
        <v>36</v>
      </c>
      <c r="E16" s="52">
        <v>6.2</v>
      </c>
      <c r="F16" s="63">
        <v>6.3</v>
      </c>
      <c r="G16" s="57">
        <v>6.4</v>
      </c>
      <c r="H16" s="22">
        <v>6.9</v>
      </c>
    </row>
    <row r="17" spans="1:8" ht="15">
      <c r="A17" s="23" t="s">
        <v>25</v>
      </c>
      <c r="B17" s="23" t="s">
        <v>20</v>
      </c>
      <c r="C17" s="19" t="s">
        <v>26</v>
      </c>
      <c r="D17" s="7" t="s">
        <v>27</v>
      </c>
      <c r="E17" s="53">
        <v>2.1</v>
      </c>
      <c r="F17" s="64">
        <v>2</v>
      </c>
      <c r="G17" s="58"/>
      <c r="H17" s="24"/>
    </row>
    <row r="18" spans="1:8" ht="24">
      <c r="A18" s="17" t="s">
        <v>25</v>
      </c>
      <c r="B18" s="28" t="s">
        <v>20</v>
      </c>
      <c r="C18" s="14" t="s">
        <v>30</v>
      </c>
      <c r="D18" s="5" t="s">
        <v>28</v>
      </c>
      <c r="E18" s="51"/>
      <c r="F18" s="62"/>
      <c r="G18" s="6"/>
      <c r="H18" s="11"/>
    </row>
    <row r="19" spans="1:8" ht="15.6" thickBot="1">
      <c r="A19" s="18" t="s">
        <v>25</v>
      </c>
      <c r="B19" s="29" t="s">
        <v>20</v>
      </c>
      <c r="C19" s="25" t="s">
        <v>29</v>
      </c>
      <c r="D19" s="12" t="s">
        <v>27</v>
      </c>
      <c r="E19" s="54">
        <v>2.1</v>
      </c>
      <c r="F19" s="65">
        <v>1.8</v>
      </c>
      <c r="G19" s="59">
        <v>1.57</v>
      </c>
      <c r="H19" s="13">
        <v>1.05</v>
      </c>
    </row>
    <row r="20" spans="1:8">
      <c r="A20" s="15" t="s">
        <v>24</v>
      </c>
      <c r="B20" s="27" t="s">
        <v>21</v>
      </c>
      <c r="C20" s="16" t="s">
        <v>22</v>
      </c>
      <c r="D20" s="9" t="s">
        <v>35</v>
      </c>
      <c r="E20" s="50"/>
      <c r="F20" s="61"/>
      <c r="G20" s="56">
        <v>11.21</v>
      </c>
      <c r="H20" s="10">
        <v>11.21</v>
      </c>
    </row>
    <row r="21" spans="1:8">
      <c r="A21" s="17" t="s">
        <v>24</v>
      </c>
      <c r="B21" s="28" t="s">
        <v>21</v>
      </c>
      <c r="C21" s="14" t="s">
        <v>34</v>
      </c>
      <c r="D21" s="5" t="s">
        <v>35</v>
      </c>
      <c r="E21" s="51"/>
      <c r="F21" s="62"/>
      <c r="G21" s="6">
        <v>13.88</v>
      </c>
      <c r="H21" s="11">
        <v>13.88</v>
      </c>
    </row>
    <row r="22" spans="1:8" ht="15" thickBot="1">
      <c r="A22" s="18" t="s">
        <v>24</v>
      </c>
      <c r="B22" s="30" t="s">
        <v>21</v>
      </c>
      <c r="C22" s="25" t="s">
        <v>33</v>
      </c>
      <c r="D22" s="12" t="s">
        <v>36</v>
      </c>
      <c r="E22" s="54"/>
      <c r="F22" s="65"/>
      <c r="G22" s="59">
        <v>0.28100000000000003</v>
      </c>
      <c r="H22" s="13">
        <v>0.28100000000000003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A59-91FA-4347-ADC4-C89B842010F0}">
  <dimension ref="A1:N27"/>
  <sheetViews>
    <sheetView workbookViewId="0">
      <selection activeCell="K12" sqref="K12"/>
    </sheetView>
  </sheetViews>
  <sheetFormatPr defaultRowHeight="14.4"/>
  <cols>
    <col min="1" max="1" width="5.6640625" customWidth="1"/>
    <col min="2" max="2" width="12" customWidth="1"/>
    <col min="12" max="13" width="9" bestFit="1" customWidth="1"/>
    <col min="14" max="14" width="9.21875" bestFit="1" customWidth="1"/>
  </cols>
  <sheetData>
    <row r="1" spans="1:14" ht="43.2">
      <c r="A1" s="3" t="s">
        <v>15</v>
      </c>
      <c r="B1" s="3" t="s">
        <v>0</v>
      </c>
      <c r="C1" s="3" t="s">
        <v>22</v>
      </c>
      <c r="D1" s="3" t="s">
        <v>108</v>
      </c>
      <c r="E1" s="3" t="s">
        <v>107</v>
      </c>
      <c r="F1" s="69" t="s">
        <v>131</v>
      </c>
      <c r="G1" s="69" t="s">
        <v>132</v>
      </c>
    </row>
    <row r="2" spans="1:14">
      <c r="A2">
        <v>1</v>
      </c>
      <c r="B2" s="4" t="s">
        <v>1</v>
      </c>
      <c r="C2" t="s">
        <v>16</v>
      </c>
      <c r="D2" s="4">
        <v>0.251</v>
      </c>
      <c r="E2" s="4">
        <v>6.9500000000000006E-2</v>
      </c>
    </row>
    <row r="3" spans="1:14">
      <c r="A3">
        <v>2</v>
      </c>
      <c r="B3" s="4" t="s">
        <v>2</v>
      </c>
      <c r="C3" t="s">
        <v>16</v>
      </c>
      <c r="D3" s="4">
        <v>0.248</v>
      </c>
      <c r="E3" s="4">
        <v>0.13350000000000001</v>
      </c>
    </row>
    <row r="4" spans="1:14">
      <c r="A4">
        <v>3</v>
      </c>
      <c r="B4" s="4" t="s">
        <v>3</v>
      </c>
      <c r="C4" t="s">
        <v>16</v>
      </c>
      <c r="D4" s="4">
        <v>0.246</v>
      </c>
      <c r="E4" s="4">
        <v>8.9599999999999999E-2</v>
      </c>
    </row>
    <row r="5" spans="1:14">
      <c r="A5">
        <v>4</v>
      </c>
      <c r="B5" s="4" t="s">
        <v>4</v>
      </c>
      <c r="C5" t="s">
        <v>16</v>
      </c>
      <c r="D5" s="4">
        <v>0.24349999999999999</v>
      </c>
      <c r="E5" s="4">
        <v>7.3700000000000002E-2</v>
      </c>
    </row>
    <row r="6" spans="1:14">
      <c r="A6">
        <v>5</v>
      </c>
      <c r="B6" s="4" t="s">
        <v>5</v>
      </c>
      <c r="C6" t="s">
        <v>16</v>
      </c>
      <c r="D6" s="4">
        <v>0.24099999999999999</v>
      </c>
      <c r="E6" s="4">
        <v>7.0000000000000007E-2</v>
      </c>
    </row>
    <row r="7" spans="1:14">
      <c r="A7">
        <v>6</v>
      </c>
      <c r="B7" s="4" t="s">
        <v>6</v>
      </c>
      <c r="C7" t="s">
        <v>16</v>
      </c>
      <c r="D7" s="4">
        <v>0.24540000000000001</v>
      </c>
      <c r="E7" s="4">
        <v>7.8600000000000003E-2</v>
      </c>
    </row>
    <row r="8" spans="1:14">
      <c r="A8">
        <v>7</v>
      </c>
      <c r="B8" s="4" t="s">
        <v>7</v>
      </c>
      <c r="C8" t="s">
        <v>16</v>
      </c>
      <c r="D8" s="4">
        <v>0.23799999999999999</v>
      </c>
      <c r="E8" s="4">
        <v>8.7499999999999994E-2</v>
      </c>
    </row>
    <row r="9" spans="1:14">
      <c r="A9">
        <v>8</v>
      </c>
      <c r="B9" s="4" t="s">
        <v>8</v>
      </c>
      <c r="C9" t="s">
        <v>16</v>
      </c>
      <c r="D9" s="4">
        <v>0.23649999999999999</v>
      </c>
      <c r="E9" s="4">
        <v>0.1173</v>
      </c>
    </row>
    <row r="10" spans="1:14">
      <c r="A10">
        <v>9</v>
      </c>
      <c r="B10" s="4" t="s">
        <v>9</v>
      </c>
      <c r="C10" t="s">
        <v>16</v>
      </c>
      <c r="D10" s="4">
        <v>0.2349</v>
      </c>
      <c r="E10" s="4">
        <v>9.8900000000000002E-2</v>
      </c>
    </row>
    <row r="11" spans="1:14">
      <c r="A11">
        <v>10</v>
      </c>
      <c r="B11" s="4" t="s">
        <v>10</v>
      </c>
      <c r="C11" t="s">
        <v>16</v>
      </c>
      <c r="D11" s="4">
        <v>0.23400000000000001</v>
      </c>
      <c r="E11" s="4">
        <v>0.10489999999999999</v>
      </c>
    </row>
    <row r="12" spans="1:14">
      <c r="A12">
        <v>11</v>
      </c>
      <c r="B12" s="4" t="s">
        <v>11</v>
      </c>
      <c r="C12" t="s">
        <v>16</v>
      </c>
      <c r="D12" s="4">
        <v>0.23499999999999999</v>
      </c>
      <c r="E12" s="4">
        <v>0.1084</v>
      </c>
    </row>
    <row r="13" spans="1:14">
      <c r="A13">
        <v>12</v>
      </c>
      <c r="B13" s="4" t="s">
        <v>12</v>
      </c>
      <c r="C13" t="s">
        <v>16</v>
      </c>
      <c r="D13" s="4">
        <v>0.23469999999999999</v>
      </c>
      <c r="E13" s="4">
        <v>0.10349999999999999</v>
      </c>
    </row>
    <row r="15" spans="1:14">
      <c r="A15" s="3"/>
      <c r="B15" s="3"/>
      <c r="C15" s="2"/>
      <c r="D15" s="2"/>
      <c r="E15" s="2"/>
      <c r="L15" s="2"/>
      <c r="M15" s="2"/>
      <c r="N15" s="2"/>
    </row>
    <row r="16" spans="1:14">
      <c r="B16" s="4"/>
      <c r="L16" s="38"/>
      <c r="M16" s="38"/>
      <c r="N16" s="38"/>
    </row>
    <row r="17" spans="2:14">
      <c r="B17" s="4"/>
      <c r="L17" s="38"/>
      <c r="M17" s="38"/>
      <c r="N17" s="38"/>
    </row>
    <row r="18" spans="2:14">
      <c r="B18" s="4"/>
      <c r="L18" s="38"/>
      <c r="M18" s="38"/>
      <c r="N18" s="38"/>
    </row>
    <row r="19" spans="2:14">
      <c r="B19" s="4"/>
      <c r="L19" s="38"/>
      <c r="M19" s="38"/>
      <c r="N19" s="38"/>
    </row>
    <row r="20" spans="2:14">
      <c r="B20" s="4"/>
      <c r="L20" s="38"/>
      <c r="M20" s="38"/>
      <c r="N20" s="38"/>
    </row>
    <row r="21" spans="2:14">
      <c r="B21" s="4"/>
      <c r="L21" s="38"/>
      <c r="M21" s="38"/>
      <c r="N21" s="38"/>
    </row>
    <row r="22" spans="2:14">
      <c r="B22" s="4"/>
      <c r="L22" s="38"/>
      <c r="M22" s="38"/>
      <c r="N22" s="38"/>
    </row>
    <row r="23" spans="2:14">
      <c r="B23" s="4"/>
      <c r="L23" s="38"/>
      <c r="M23" s="38"/>
      <c r="N23" s="38"/>
    </row>
    <row r="24" spans="2:14">
      <c r="B24" s="4"/>
      <c r="L24" s="38"/>
      <c r="M24" s="38"/>
      <c r="N24" s="38"/>
    </row>
    <row r="25" spans="2:14">
      <c r="B25" s="4"/>
      <c r="L25" s="38"/>
      <c r="M25" s="38"/>
      <c r="N25" s="38"/>
    </row>
    <row r="26" spans="2:14">
      <c r="B26" s="4"/>
      <c r="L26" s="38"/>
      <c r="M26" s="38"/>
      <c r="N26" s="38"/>
    </row>
    <row r="27" spans="2:14">
      <c r="B27" s="4"/>
      <c r="L27" s="38"/>
      <c r="M27" s="38"/>
      <c r="N27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2 Y u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L 2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m L l p U u m X r w Q E A A C E N A A A T A B w A R m 9 y b X V s Y X M v U 2 V j d G l v b j E u b S C i G A A o o B Q A A A A A A A A A A A A A A A A A A A A A A A A A A A D t k 1 1 r 2 z A U h u 8 D + Q / C v X H A m D i J m 3 X D s O F 0 d D d b R 3 J X F y H L J 7 G o L B k d O S y E / v c p H 6 x h V I M y d j G w b 2 y d R 0 h H r / U g c C u 0 I s v T O / k w H A w H W D M D F b k K x j O K I N e U a 4 V d 0 1 r a c k v L H W 2 0 s n V A M i L B D g f E P U v d G Q 6 u k u M 2 X m j e N a B s + F l I i H M 3 2 Q 0 w D B b v C y 3 h C Z m q T F x 3 K G D 7 s Y I O r Y 4 B i 3 F C 7 + 8 W N P + 2 u C 1 4 z V o L h q Y F t k y o o h S y Z J p q + 4 O Z J 8 0 2 r K i Y Z Y X r D x S Y z e 5 X h + 4 M t D V 6 7 T b G 4 o / t x x y 3 w S h 6 W I A U j X C b Z U E U R C T X s m s U Z s k 0 I r e K 6 0 q o T Z Z M 0 k l E v n f a w t L u J G Q v n / F X r e B x F J 1 i u A r u j W 4 c q 8 g d s A o M H l J a s d J N P J N z P T w l F p G H c / 2 T l E v O J D O Y W d N d L p n X T G 3 c i q t d C y / L r Q x T u N a m O X V 8 g B i + s n + 0 3 w c c X A B I R e U O + E X Z 6 1 l 8 m P 4 c k X 1 w D K h J H L C u R F T X l G A u y M R L p l 4 y 8 5 L U S 6 6 9 Z O 4 l 7 7 z k x k u S s R / 5 U 0 h + j + F 5 N B w I 9 e o f e o N C J J y M e o 1 6 j X q N / l K j a a 9 R r 1 G v 0 Z s 0 O t 6 / 4 + W j Y z J P / y + B L p u P 5 2 m v T 6 / P v 9 H n J 1 B L A Q I t A B Q A A g A I A C 9 m L l p o 2 r t b p w A A A P c A A A A S A A A A A A A A A A A A A A A A A A A A A A B D b 2 5 m a W c v U G F j a 2 F n Z S 5 4 b W x Q S w E C L Q A U A A I A C A A v Z i 5 a D 8 r p q 6 Q A A A D p A A A A E w A A A A A A A A A A A A A A A A D z A A A A W 0 N v b n R l b n R f V H l w Z X N d L n h t b F B L A Q I t A B Q A A g A I A C 9 m L l p U u m X r w Q E A A C E N A A A T A A A A A A A A A A A A A A A A A O Q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E A A A A A A A A A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3 O D g 4 O G Q t Y z M w O C 0 0 N z k x L W E y O D A t M z g z Y m U 2 N m Q x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z U 6 M z A u N z M 0 M T Q 0 O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v Q X V 0 b 1 J l b W 9 2 Z W R D b 2 x 1 b W 5 z M S 5 7 Y 2 V u c 3 V z X 2 l k L D B 9 J n F 1 b 3 Q 7 L C Z x d W 9 0 O 1 N l Y 3 R p b 2 4 x L z A 0 X 3 N l b G Z f Y 2 9 u c 3 V t c H R f c G N 0 X 2 J 5 X 2 1 v b n R o L 0 F 1 d G 9 S Z W 1 v d m V k Q 2 9 s d W 1 u c z E u e 3 N l b G Z f b T E s M X 0 m c X V v d D s s J n F 1 b 3 Q 7 U 2 V j d G l v b j E v M D R f c 2 V s Z l 9 j b 2 5 z d W 1 w d F 9 w Y 3 R f Y n l f b W 9 u d G g v Q X V 0 b 1 J l b W 9 2 Z W R D b 2 x 1 b W 5 z M S 5 7 c 2 V s Z l 9 t M i w y f S Z x d W 9 0 O y w m c X V v d D t T Z W N 0 a W 9 u M S 8 w N F 9 z Z W x m X 2 N v b n N 1 b X B 0 X 3 B j d F 9 i e V 9 t b 2 5 0 a C 9 B d X R v U m V t b 3 Z l Z E N v b H V t b n M x L n t z Z W x m X 2 0 z L D N 9 J n F 1 b 3 Q 7 L C Z x d W 9 0 O 1 N l Y 3 R p b 2 4 x L z A 0 X 3 N l b G Z f Y 2 9 u c 3 V t c H R f c G N 0 X 2 J 5 X 2 1 v b n R o L 0 F 1 d G 9 S Z W 1 v d m V k Q 2 9 s d W 1 u c z E u e 3 N l b G Z f b T Q s N H 0 m c X V v d D s s J n F 1 b 3 Q 7 U 2 V j d G l v b j E v M D R f c 2 V s Z l 9 j b 2 5 z d W 1 w d F 9 w Y 3 R f Y n l f b W 9 u d G g v Q X V 0 b 1 J l b W 9 2 Z W R D b 2 x 1 b W 5 z M S 5 7 c 2 V s Z l 9 t N S w 1 f S Z x d W 9 0 O y w m c X V v d D t T Z W N 0 a W 9 u M S 8 w N F 9 z Z W x m X 2 N v b n N 1 b X B 0 X 3 B j d F 9 i e V 9 t b 2 5 0 a C 9 B d X R v U m V t b 3 Z l Z E N v b H V t b n M x L n t z Z W x m X 2 0 2 L D Z 9 J n F 1 b 3 Q 7 L C Z x d W 9 0 O 1 N l Y 3 R p b 2 4 x L z A 0 X 3 N l b G Z f Y 2 9 u c 3 V t c H R f c G N 0 X 2 J 5 X 2 1 v b n R o L 0 F 1 d G 9 S Z W 1 v d m V k Q 2 9 s d W 1 u c z E u e 3 N l b G Z f b T c s N 3 0 m c X V v d D s s J n F 1 b 3 Q 7 U 2 V j d G l v b j E v M D R f c 2 V s Z l 9 j b 2 5 z d W 1 w d F 9 w Y 3 R f Y n l f b W 9 u d G g v Q X V 0 b 1 J l b W 9 2 Z W R D b 2 x 1 b W 5 z M S 5 7 c 2 V s Z l 9 t O C w 4 f S Z x d W 9 0 O y w m c X V v d D t T Z W N 0 a W 9 u M S 8 w N F 9 z Z W x m X 2 N v b n N 1 b X B 0 X 3 B j d F 9 i e V 9 t b 2 5 0 a C 9 B d X R v U m V t b 3 Z l Z E N v b H V t b n M x L n t z Z W x m X 2 0 5 L D l 9 J n F 1 b 3 Q 7 L C Z x d W 9 0 O 1 N l Y 3 R p b 2 4 x L z A 0 X 3 N l b G Z f Y 2 9 u c 3 V t c H R f c G N 0 X 2 J 5 X 2 1 v b n R o L 0 F 1 d G 9 S Z W 1 v d m V k Q 2 9 s d W 1 u c z E u e 3 N l b G Z f b T E w L D E w f S Z x d W 9 0 O y w m c X V v d D t T Z W N 0 a W 9 u M S 8 w N F 9 z Z W x m X 2 N v b n N 1 b X B 0 X 3 B j d F 9 i e V 9 t b 2 5 0 a C 9 B d X R v U m V t b 3 Z l Z E N v b H V t b n M x L n t z Z W x m X 2 0 x M S w x M X 0 m c X V v d D s s J n F 1 b 3 Q 7 U 2 V j d G l v b j E v M D R f c 2 V s Z l 9 j b 2 5 z d W 1 w d F 9 w Y 3 R f Y n l f b W 9 u d G g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9 B d X R v U m V t b 3 Z l Z E N v b H V t b n M x L n t j Z W 5 z d X N f a W Q s M H 0 m c X V v d D s s J n F 1 b 3 Q 7 U 2 V j d G l v b j E v M D R f c 2 V s Z l 9 j b 2 5 z d W 1 w d F 9 w Y 3 R f Y n l f b W 9 u d G g v Q X V 0 b 1 J l b W 9 2 Z W R D b 2 x 1 b W 5 z M S 5 7 c 2 V s Z l 9 t M S w x f S Z x d W 9 0 O y w m c X V v d D t T Z W N 0 a W 9 u M S 8 w N F 9 z Z W x m X 2 N v b n N 1 b X B 0 X 3 B j d F 9 i e V 9 t b 2 5 0 a C 9 B d X R v U m V t b 3 Z l Z E N v b H V t b n M x L n t z Z W x m X 2 0 y L D J 9 J n F 1 b 3 Q 7 L C Z x d W 9 0 O 1 N l Y 3 R p b 2 4 x L z A 0 X 3 N l b G Z f Y 2 9 u c 3 V t c H R f c G N 0 X 2 J 5 X 2 1 v b n R o L 0 F 1 d G 9 S Z W 1 v d m V k Q 2 9 s d W 1 u c z E u e 3 N l b G Z f b T M s M 3 0 m c X V v d D s s J n F 1 b 3 Q 7 U 2 V j d G l v b j E v M D R f c 2 V s Z l 9 j b 2 5 z d W 1 w d F 9 w Y 3 R f Y n l f b W 9 u d G g v Q X V 0 b 1 J l b W 9 2 Z W R D b 2 x 1 b W 5 z M S 5 7 c 2 V s Z l 9 t N C w 0 f S Z x d W 9 0 O y w m c X V v d D t T Z W N 0 a W 9 u M S 8 w N F 9 z Z W x m X 2 N v b n N 1 b X B 0 X 3 B j d F 9 i e V 9 t b 2 5 0 a C 9 B d X R v U m V t b 3 Z l Z E N v b H V t b n M x L n t z Z W x m X 2 0 1 L D V 9 J n F 1 b 3 Q 7 L C Z x d W 9 0 O 1 N l Y 3 R p b 2 4 x L z A 0 X 3 N l b G Z f Y 2 9 u c 3 V t c H R f c G N 0 X 2 J 5 X 2 1 v b n R o L 0 F 1 d G 9 S Z W 1 v d m V k Q 2 9 s d W 1 u c z E u e 3 N l b G Z f b T Y s N n 0 m c X V v d D s s J n F 1 b 3 Q 7 U 2 V j d G l v b j E v M D R f c 2 V s Z l 9 j b 2 5 z d W 1 w d F 9 w Y 3 R f Y n l f b W 9 u d G g v Q X V 0 b 1 J l b W 9 2 Z W R D b 2 x 1 b W 5 z M S 5 7 c 2 V s Z l 9 t N y w 3 f S Z x d W 9 0 O y w m c X V v d D t T Z W N 0 a W 9 u M S 8 w N F 9 z Z W x m X 2 N v b n N 1 b X B 0 X 3 B j d F 9 i e V 9 t b 2 5 0 a C 9 B d X R v U m V t b 3 Z l Z E N v b H V t b n M x L n t z Z W x m X 2 0 4 L D h 9 J n F 1 b 3 Q 7 L C Z x d W 9 0 O 1 N l Y 3 R p b 2 4 x L z A 0 X 3 N l b G Z f Y 2 9 u c 3 V t c H R f c G N 0 X 2 J 5 X 2 1 v b n R o L 0 F 1 d G 9 S Z W 1 v d m V k Q 2 9 s d W 1 u c z E u e 3 N l b G Z f b T k s O X 0 m c X V v d D s s J n F 1 b 3 Q 7 U 2 V j d G l v b j E v M D R f c 2 V s Z l 9 j b 2 5 z d W 1 w d F 9 w Y 3 R f Y n l f b W 9 u d G g v Q X V 0 b 1 J l b W 9 2 Z W R D b 2 x 1 b W 5 z M S 5 7 c 2 V s Z l 9 t M T A s M T B 9 J n F 1 b 3 Q 7 L C Z x d W 9 0 O 1 N l Y 3 R p b 2 4 x L z A 0 X 3 N l b G Z f Y 2 9 u c 3 V t c H R f c G N 0 X 2 J 5 X 2 1 v b n R o L 0 F 1 d G 9 S Z W 1 v d m V k Q 2 9 s d W 1 u c z E u e 3 N l b G Z f b T E x L D E x f S Z x d W 9 0 O y w m c X V v d D t T Z W N 0 a W 9 u M S 8 w N F 9 z Z W x m X 2 N v b n N 1 b X B 0 X 3 B j d F 9 i e V 9 t b 2 5 0 a C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0 Y z A 5 M y 0 z M 2 J h L T Q x Y W U t O T Z k M C 1 k O T l h M m U y Z T R k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1 M j o x M y 4 5 N z k y M T E x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2 N l b n N 1 c 1 9 p Z C Z x d W 9 0 O y w m c X V v d D t z Z W x m X 2 0 x J n F 1 b 3 Q 7 L C Z x d W 9 0 O 3 N l b G Z f b T I m c X V v d D s s J n F 1 b 3 Q 7 c 2 V s Z l 9 t M y Z x d W 9 0 O y w m c X V v d D t z Z W x m X 2 0 0 J n F 1 b 3 Q 7 L C Z x d W 9 0 O 3 N l b G Z f b T U m c X V v d D s s J n F 1 b 3 Q 7 c 2 V s Z l 9 t N i Z x d W 9 0 O y w m c X V v d D t z Z W x m X 2 0 3 J n F 1 b 3 Q 7 L C Z x d W 9 0 O 3 N l b G Z f b T g m c X V v d D s s J n F 1 b 3 Q 7 c 2 V s Z l 9 t O S Z x d W 9 0 O y w m c X V v d D t z Z W x m X 2 0 x M C Z x d W 9 0 O y w m c X V v d D t z Z W x m X 2 0 x M S Z x d W 9 0 O y w m c X V v d D t z Z W x m X 2 0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w N T A w Y z I t M D V l O C 0 0 N T V j L W E w Y m Q t N j M 4 M z E 2 O D A 2 O T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M 6 M T Y u M T Q y M j M y M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f c G N 0 X 2 1 v b n R o X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G I x Y T c w L T E 3 Z j E t N G I w N C 0 5 Y z V k L W M 5 M 2 N j O D R k O T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4 O j E 4 O j M 3 L j Q 3 O D Y 1 N z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Y 2 V u c 3 V z X 2 l k J n F 1 b 3 Q 7 L C Z x d W 9 0 O 3 N l b G Z f b T E m c X V v d D s s J n F 1 b 3 Q 7 c 2 V s Z l 9 t M i Z x d W 9 0 O y w m c X V v d D t z Z W x m X 2 0 z J n F 1 b 3 Q 7 L C Z x d W 9 0 O 3 N l b G Z f b T Q m c X V v d D s s J n F 1 b 3 Q 7 c 2 V s Z l 9 t N S Z x d W 9 0 O y w m c X V v d D t z Z W x m X 2 0 2 J n F 1 b 3 Q 7 L C Z x d W 9 0 O 3 N l b G Z f b T c m c X V v d D s s J n F 1 b 3 Q 7 c 2 V s Z l 9 t O C Z x d W 9 0 O y w m c X V v d D t z Z W x m X 2 0 5 J n F 1 b 3 Q 7 L C Z x d W 9 0 O 3 N l b G Z f b T E w J n F 1 b 3 Q 7 L C Z x d W 9 0 O 3 N l b G Z f b T E x J n F 1 b 3 Q 7 L C Z x d W 9 0 O 3 N l b G Z f b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8 U S o N w x a B J v g i X S 0 J 7 k R U A A A A A A g A A A A A A A 2 Y A A M A A A A A Q A A A A G H Z Q 3 Y X Q z X j t H e 8 J 6 / b H y Q A A A A A E g A A A o A A A A B A A A A D X W v d S I T H V J U W y x n h o n V g T U A A A A C G w 3 y P J s 8 / v 3 C k Q x h X M 7 a R t v 4 3 H h A 5 B m m Q p 4 4 H N + V e K P K s 9 b D D / n X o 1 + 3 K I p 2 R x 0 T p A q X f w T z E 6 B M 1 3 4 B v 4 U k V q Q i a r 0 U P K s D j A w y l W S P i U F A A A A K 6 6 U v 9 9 g i h t / j d o 3 2 J w R g v V H g F 6 < / D a t a M a s h u p > 
</file>

<file path=customXml/itemProps1.xml><?xml version="1.0" encoding="utf-8"?>
<ds:datastoreItem xmlns:ds="http://schemas.openxmlformats.org/officeDocument/2006/customXml" ds:itemID="{72E89524-5420-4931-9B14-59FF684DA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file_names</vt:lpstr>
      <vt:lpstr>panel_pars</vt:lpstr>
      <vt:lpstr>economic_fixed</vt:lpstr>
      <vt:lpstr>factors</vt:lpstr>
      <vt:lpstr>scenario_combs</vt:lpstr>
      <vt:lpstr>HDemReductionCoeffs</vt:lpstr>
      <vt:lpstr>sel-cons_%_fixed</vt:lpstr>
      <vt:lpstr>cost_facade</vt:lpstr>
      <vt:lpstr>cost_electricity</vt:lpstr>
      <vt:lpstr>Sheet1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 Husiev</cp:lastModifiedBy>
  <dcterms:created xsi:type="dcterms:W3CDTF">2024-12-02T09:32:36Z</dcterms:created>
  <dcterms:modified xsi:type="dcterms:W3CDTF">2025-07-05T13:21:18Z</dcterms:modified>
</cp:coreProperties>
</file>