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ropbox (Personal)\BannerPrintFiles\Arduino\"/>
    </mc:Choice>
  </mc:AlternateContent>
  <xr:revisionPtr revIDLastSave="0" documentId="13_ncr:1_{715A6BCB-DB71-434D-8A2C-B6E22B4CB5C4}" xr6:coauthVersionLast="47" xr6:coauthVersionMax="47" xr10:uidLastSave="{00000000-0000-0000-0000-000000000000}"/>
  <bookViews>
    <workbookView xWindow="10" yWindow="10" windowWidth="25580" windowHeight="15260" xr2:uid="{AA7D1287-CC71-449A-9503-E2DCBFCF1F8A}"/>
  </bookViews>
  <sheets>
    <sheet name="Analog Circuits Reference" sheetId="2" r:id="rId1"/>
    <sheet name="Calibrations" sheetId="1" r:id="rId2"/>
    <sheet name="BOM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E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3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G54" i="2" s="1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K55" i="3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6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<sst xmlns="http://schemas.openxmlformats.org/spreadsheetml/2006/main" count="405" uniqueCount="261">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</sst>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6" fillId="0" borderId="0" xfId="4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0" fontId="0" fillId="2" borderId="9" xfId="0" applyFont="1" applyFill="1" applyBorder="1"/>
    <xf numFmtId="0" fontId="0" fillId="2" borderId="0" xfId="0" applyFont="1" applyFill="1" applyAlignment="1">
      <alignment wrapText="1"/>
    </xf>
    <xf numFmtId="8" fontId="0" fillId="2" borderId="0" xfId="2" applyNumberFormat="1" applyFont="1" applyFill="1"/>
    <xf numFmtId="44" fontId="0" fillId="2" borderId="0" xfId="2" applyNumberFormat="1" applyFont="1" applyFill="1"/>
    <xf numFmtId="0" fontId="0" fillId="0" borderId="0" xfId="0" applyFont="1" applyAlignment="1">
      <alignment wrapText="1"/>
    </xf>
    <xf numFmtId="44" fontId="0" fillId="0" borderId="0" xfId="2" applyNumberFormat="1" applyFont="1"/>
    <xf numFmtId="0" fontId="0" fillId="2" borderId="9" xfId="0" applyFont="1" applyFill="1" applyBorder="1" applyAlignment="1">
      <alignment wrapText="1"/>
    </xf>
    <xf numFmtId="44" fontId="0" fillId="2" borderId="9" xfId="2" applyNumberFormat="1" applyFont="1" applyFill="1" applyBorder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0" xfId="2" applyNumberFormat="1" applyFont="1"/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3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8"/>
    <tableColumn id="8" xr3:uid="{9C8BB37C-C19E-4E26-9F8E-90B9F913B7AD}" name="Function" dataDxfId="7"/>
    <tableColumn id="9" xr3:uid="{775B051F-40A1-4EF8-947C-8B73B649F287}" name="Purchase Link"/>
    <tableColumn id="10" xr3:uid="{B9BBEBB7-78B1-46DB-8422-ED127E3B15E2}" name="Cost " dataDxfId="6" dataCellStyle="Currency"/>
    <tableColumn id="11" xr3:uid="{38477E8E-9034-4597-8EB9-23EE541B3E96}" name="Qty2"/>
    <tableColumn id="12" xr3:uid="{161B492C-27E0-41C6-8A4B-F71EC65AAC28}" name="Cost each" dataDxfId="5" dataCellStyle="Currency">
      <calculatedColumnFormula>K3/L3</calculatedColumnFormula>
    </tableColumn>
    <tableColumn id="13" xr3:uid="{86FE0A09-CD2A-4CEF-A252-4872B68E7831}" name="Cost / DMM" dataDxfId="4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54"/>
  <sheetViews>
    <sheetView tabSelected="1" workbookViewId="0">
      <selection activeCell="G54" sqref="G54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32" t="s">
        <v>33</v>
      </c>
      <c r="I1" s="32"/>
      <c r="J1" s="32"/>
      <c r="K1" s="32"/>
      <c r="L1" s="32"/>
      <c r="M1" s="32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8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8" x14ac:dyDescent="0.35">
      <c r="B51" s="15">
        <v>50</v>
      </c>
      <c r="C51" s="15">
        <f>C48</f>
        <v>500000</v>
      </c>
      <c r="D51" s="15">
        <f>B51*((E51+G51)/(C51+E51+G51))</f>
        <v>26.053639846743295</v>
      </c>
      <c r="E51" s="15">
        <f>E48</f>
        <v>44000</v>
      </c>
      <c r="F51" s="15">
        <f>B51*((G51)/(C51+E51+G51))</f>
        <v>23.946360153256705</v>
      </c>
      <c r="G51" s="15">
        <f>C48</f>
        <v>500000</v>
      </c>
      <c r="H51" s="15">
        <v>0</v>
      </c>
    </row>
    <row r="53" spans="2:8" x14ac:dyDescent="0.35">
      <c r="G53" s="15" t="s">
        <v>260</v>
      </c>
    </row>
    <row r="54" spans="2:8" x14ac:dyDescent="0.35">
      <c r="G54" s="15">
        <f>D51-F51</f>
        <v>2.1072796934865892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X23"/>
  <sheetViews>
    <sheetView zoomScaleNormal="100" workbookViewId="0">
      <selection activeCell="X23" sqref="X23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4" x14ac:dyDescent="0.35">
      <c r="B2" t="s">
        <v>0</v>
      </c>
    </row>
    <row r="3" spans="2:24" ht="19" thickBot="1" x14ac:dyDescent="0.5">
      <c r="B3" s="40" t="s">
        <v>29</v>
      </c>
      <c r="C3" s="40"/>
      <c r="D3" s="40"/>
      <c r="E3" s="40"/>
      <c r="F3" s="40"/>
      <c r="G3" s="39" t="s">
        <v>21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2:24" ht="29" customHeight="1" x14ac:dyDescent="0.35">
      <c r="B4" s="40"/>
      <c r="C4" s="40"/>
      <c r="D4" s="40"/>
      <c r="E4" s="40"/>
      <c r="F4" s="40"/>
      <c r="G4" s="36" t="s">
        <v>28</v>
      </c>
      <c r="H4" s="37"/>
      <c r="I4" s="38"/>
      <c r="J4" s="36" t="s">
        <v>26</v>
      </c>
      <c r="K4" s="37"/>
      <c r="L4" s="38"/>
      <c r="M4" s="36" t="s">
        <v>22</v>
      </c>
      <c r="N4" s="37"/>
      <c r="O4" s="38"/>
      <c r="P4" s="36" t="s">
        <v>27</v>
      </c>
      <c r="Q4" s="37"/>
      <c r="R4" s="38"/>
      <c r="S4" s="36" t="s">
        <v>249</v>
      </c>
      <c r="T4" s="37"/>
      <c r="U4" s="38"/>
      <c r="V4" s="36" t="s">
        <v>249</v>
      </c>
      <c r="W4" s="37"/>
      <c r="X4" s="38"/>
    </row>
    <row r="5" spans="2:24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</row>
    <row r="6" spans="2:24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 s="13">
        <v>0.48799999999999999</v>
      </c>
      <c r="N6">
        <f>ROUND($E6/M6,4)</f>
        <v>1.0061</v>
      </c>
      <c r="O6" s="9" t="str">
        <f>_xlfn.TEXTJOIN("",TRUE,,"CF_",$B6," = ",N6,";")</f>
        <v>CF_A = 1.0061;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</row>
    <row r="7" spans="2:24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 s="13">
        <v>0.98843999999999999</v>
      </c>
      <c r="N7">
        <f t="shared" ref="N7:N20" si="5">ROUND($E7/M7,4)</f>
        <v>1.0086999999999999</v>
      </c>
      <c r="O7" s="9" t="str">
        <f t="shared" ref="O7:O20" si="6">_xlfn.TEXTJOIN("",TRUE,,"CF_",$B7," = ",N7,";")</f>
        <v>CF_B = 1.0087;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</row>
    <row r="8" spans="2:24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 s="13">
        <v>4.6307700000000001</v>
      </c>
      <c r="N8">
        <f t="shared" si="5"/>
        <v>1.0044</v>
      </c>
      <c r="O8" s="9" t="str">
        <f t="shared" si="6"/>
        <v>CF_C = 1.0044;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</row>
    <row r="9" spans="2:24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 s="13">
        <v>10.0025</v>
      </c>
      <c r="N9">
        <f t="shared" si="5"/>
        <v>1.0018</v>
      </c>
      <c r="O9" s="9" t="str">
        <f t="shared" si="6"/>
        <v>CF_D = 1.0018;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</row>
    <row r="10" spans="2:24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 s="13">
        <v>32.620100000000001</v>
      </c>
      <c r="N10">
        <f t="shared" si="5"/>
        <v>1.0088999999999999</v>
      </c>
      <c r="O10" s="9" t="str">
        <f t="shared" si="6"/>
        <v>CF_E = 1.0089;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</row>
    <row r="11" spans="2:24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 s="13">
        <v>97.731999999999999</v>
      </c>
      <c r="N11">
        <f t="shared" si="5"/>
        <v>1.018</v>
      </c>
      <c r="O11" s="9" t="str">
        <f t="shared" si="6"/>
        <v>CF_F = 1.018;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</row>
    <row r="12" spans="2:24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 s="13">
        <v>328.89</v>
      </c>
      <c r="N12">
        <f t="shared" si="5"/>
        <v>1.0079</v>
      </c>
      <c r="O12" s="9" t="str">
        <f t="shared" si="6"/>
        <v>CF_G = 1.0079;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</row>
    <row r="13" spans="2:24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 s="13">
        <v>995.08579999999995</v>
      </c>
      <c r="N13">
        <f t="shared" si="5"/>
        <v>1.0049999999999999</v>
      </c>
      <c r="O13" s="9" t="str">
        <f t="shared" si="6"/>
        <v>CF_H = 1.005;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</row>
    <row r="14" spans="2:24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 s="13">
        <v>2992.9265</v>
      </c>
      <c r="N14">
        <f t="shared" si="5"/>
        <v>1.0029999999999999</v>
      </c>
      <c r="O14" s="9" t="str">
        <f t="shared" si="6"/>
        <v>CF_I = 1.003;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</row>
    <row r="15" spans="2:24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 s="13">
        <v>9884.3086000000003</v>
      </c>
      <c r="N15">
        <f t="shared" si="5"/>
        <v>1.0044</v>
      </c>
      <c r="O15" s="9" t="str">
        <f t="shared" si="6"/>
        <v>CF_J = 1.0044;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</row>
    <row r="16" spans="2:24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 s="13">
        <v>32739.656200000001</v>
      </c>
      <c r="N16">
        <f t="shared" si="5"/>
        <v>1.0069999999999999</v>
      </c>
      <c r="O16" s="9" t="str">
        <f t="shared" si="6"/>
        <v>CF_K = 1.007;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</row>
    <row r="17" spans="2:24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 s="13">
        <v>98448.616999999998</v>
      </c>
      <c r="N17">
        <f t="shared" si="5"/>
        <v>1.0166999999999999</v>
      </c>
      <c r="O17" s="9" t="str">
        <f t="shared" si="6"/>
        <v>CF_L = 1.0167;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</row>
    <row r="18" spans="2:24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 s="13">
        <v>311396.18800000002</v>
      </c>
      <c r="N18">
        <f t="shared" si="5"/>
        <v>1.0482</v>
      </c>
      <c r="O18" s="9" t="str">
        <f t="shared" si="6"/>
        <v>CF_M = 1.0482;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</row>
    <row r="19" spans="2:24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 s="13">
        <v>917167</v>
      </c>
      <c r="N19">
        <f t="shared" si="5"/>
        <v>1.1323000000000001</v>
      </c>
      <c r="O19" s="9" t="str">
        <f t="shared" si="6"/>
        <v>CF_N = 1.1323;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</row>
    <row r="20" spans="2:24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 s="14">
        <v>3054930.5</v>
      </c>
      <c r="N20" s="11">
        <f t="shared" si="5"/>
        <v>1.5401</v>
      </c>
      <c r="O20" s="9" t="str">
        <f t="shared" si="6"/>
        <v>CF_O = 1.5401;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</row>
    <row r="21" spans="2:24" x14ac:dyDescent="0.35">
      <c r="G21" s="33" t="s">
        <v>30</v>
      </c>
      <c r="H21" s="34"/>
      <c r="I21" s="35"/>
      <c r="J21" s="33" t="s">
        <v>30</v>
      </c>
      <c r="K21" s="34"/>
      <c r="L21" s="35"/>
      <c r="M21" s="33" t="s">
        <v>30</v>
      </c>
      <c r="N21" s="34"/>
      <c r="O21" s="35"/>
      <c r="P21" s="33" t="s">
        <v>30</v>
      </c>
      <c r="Q21" s="34"/>
      <c r="R21" s="35"/>
      <c r="S21" s="33" t="s">
        <v>30</v>
      </c>
      <c r="T21" s="34"/>
      <c r="U21" s="35"/>
      <c r="V21" s="33" t="s">
        <v>30</v>
      </c>
      <c r="W21" s="34"/>
      <c r="X21" s="35"/>
    </row>
    <row r="22" spans="2:24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</row>
    <row r="23" spans="2:24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10.087</v>
      </c>
      <c r="W23" s="11">
        <v>9.3640000000000008</v>
      </c>
      <c r="X23" s="12">
        <f>50*(W23/V23)</f>
        <v>46.416179240606724</v>
      </c>
    </row>
  </sheetData>
  <mergeCells count="14"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51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9" si="0">K3/L3</f>
        <v>7.6999999999999999E-2</v>
      </c>
      <c r="N3" s="27">
        <f t="shared" ref="N3:N39" si="1">M3*F3</f>
        <v>7.6999999999999999E-2</v>
      </c>
      <c r="O3" s="55">
        <v>10</v>
      </c>
      <c r="P3" s="55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51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55">
        <v>19</v>
      </c>
      <c r="P4" s="55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51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55">
        <v>100</v>
      </c>
      <c r="P5" s="55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51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55">
        <v>20</v>
      </c>
      <c r="P6" s="55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51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55">
        <v>0</v>
      </c>
      <c r="P7" s="55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51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55">
        <v>15</v>
      </c>
      <c r="P8" s="55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51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55">
        <v>15</v>
      </c>
      <c r="P9" s="55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51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55">
        <v>90</v>
      </c>
      <c r="P10" s="55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51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55"/>
      <c r="P11" s="55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51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55"/>
      <c r="P12" s="55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51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55"/>
      <c r="P13" s="55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51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55"/>
      <c r="P14" s="55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51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55"/>
      <c r="P15" s="55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51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55"/>
      <c r="P16" s="55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51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55">
        <v>13</v>
      </c>
      <c r="P17" s="55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51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55">
        <v>20</v>
      </c>
      <c r="P18" s="55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51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55">
        <v>16</v>
      </c>
      <c r="P19" s="55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51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55">
        <v>10</v>
      </c>
      <c r="P20" s="55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51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55"/>
      <c r="P21" s="55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51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55">
        <v>4</v>
      </c>
      <c r="P22" s="55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51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55">
        <v>50</v>
      </c>
      <c r="P23" s="55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51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55">
        <v>40</v>
      </c>
      <c r="P24" s="55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51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55">
        <v>30</v>
      </c>
      <c r="P25" s="55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51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55"/>
      <c r="P26" s="55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51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55">
        <v>70</v>
      </c>
      <c r="P27" s="55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51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55"/>
      <c r="P28" s="55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51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55">
        <v>6</v>
      </c>
      <c r="P29" s="55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51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55">
        <v>20</v>
      </c>
      <c r="P30" s="55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51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55">
        <v>5</v>
      </c>
      <c r="P31" s="55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51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55">
        <v>20</v>
      </c>
      <c r="P32" s="55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51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55">
        <v>20</v>
      </c>
      <c r="P33" s="55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51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55">
        <v>1</v>
      </c>
      <c r="P34" s="55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51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55">
        <v>2</v>
      </c>
      <c r="P35" s="55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51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55">
        <v>20</v>
      </c>
      <c r="P36" s="55">
        <f>ROUNDDOWN(Table1[[#This Row],[QTY On Hand]]/Table1[[#This Row],[Qty]],0)</f>
        <v>20</v>
      </c>
    </row>
    <row r="37" spans="1:16" ht="14.5" customHeight="1" x14ac:dyDescent="0.35">
      <c r="B37" s="51"/>
      <c r="H37" s="5"/>
      <c r="K37" s="27"/>
      <c r="M37" s="27"/>
      <c r="N37" s="27"/>
      <c r="O37" s="27"/>
      <c r="P37" s="27"/>
    </row>
    <row r="38" spans="1:16" ht="14.5" customHeight="1" x14ac:dyDescent="0.35">
      <c r="B38" s="51"/>
      <c r="H38" s="5"/>
      <c r="K38" s="27"/>
      <c r="M38" s="27"/>
      <c r="N38" s="27"/>
    </row>
    <row r="39" spans="1:16" ht="14.5" customHeight="1" x14ac:dyDescent="0.35">
      <c r="B39" s="51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51"/>
      <c r="H40" s="5"/>
      <c r="K40" s="27"/>
      <c r="M40" s="27"/>
      <c r="N40" s="27"/>
    </row>
    <row r="41" spans="1:16" ht="14.5" customHeight="1" x14ac:dyDescent="0.35">
      <c r="A41" s="41" t="s">
        <v>230</v>
      </c>
      <c r="B41" s="52" t="s">
        <v>231</v>
      </c>
      <c r="C41" s="41"/>
      <c r="D41" s="41"/>
      <c r="E41" s="41"/>
      <c r="F41" s="41">
        <v>1</v>
      </c>
      <c r="G41" s="41"/>
      <c r="H41" s="44"/>
      <c r="I41" s="44"/>
      <c r="J41" s="41"/>
      <c r="K41" s="45">
        <v>12.59</v>
      </c>
      <c r="L41" s="41">
        <v>3</v>
      </c>
      <c r="M41" s="46">
        <f>K41/L41</f>
        <v>4.1966666666666663</v>
      </c>
      <c r="N41" s="46">
        <f>M41*F41</f>
        <v>4.1966666666666663</v>
      </c>
    </row>
    <row r="42" spans="1:16" ht="14.5" customHeight="1" x14ac:dyDescent="0.35">
      <c r="A42" s="42" t="s">
        <v>232</v>
      </c>
      <c r="B42" s="53"/>
      <c r="C42" s="42"/>
      <c r="D42" s="42"/>
      <c r="E42" s="42"/>
      <c r="F42" s="42">
        <v>1</v>
      </c>
      <c r="G42" s="42"/>
      <c r="H42" s="47"/>
      <c r="I42" s="47"/>
      <c r="J42" s="42" t="s">
        <v>233</v>
      </c>
      <c r="K42" s="48">
        <v>18.989999999999998</v>
      </c>
      <c r="L42" s="42">
        <v>4</v>
      </c>
      <c r="M42" s="48">
        <f>K42/L42</f>
        <v>4.7474999999999996</v>
      </c>
      <c r="N42" s="48">
        <f>M42*F42</f>
        <v>4.7474999999999996</v>
      </c>
    </row>
    <row r="43" spans="1:16" ht="14.5" customHeight="1" x14ac:dyDescent="0.35">
      <c r="A43" s="43" t="s">
        <v>234</v>
      </c>
      <c r="B43" s="54"/>
      <c r="C43" s="43"/>
      <c r="D43" s="43"/>
      <c r="E43" s="43"/>
      <c r="F43" s="43">
        <v>1</v>
      </c>
      <c r="G43" s="43"/>
      <c r="H43" s="49"/>
      <c r="I43" s="49"/>
      <c r="J43" s="43" t="s">
        <v>235</v>
      </c>
      <c r="K43" s="50">
        <v>12.88</v>
      </c>
      <c r="L43" s="43">
        <v>5</v>
      </c>
      <c r="M43" s="50">
        <f>K43/L43</f>
        <v>2.5760000000000001</v>
      </c>
      <c r="N43" s="50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>K49/L49</f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>K50/L50</f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>K51/L51</f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>K52/L52</f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>K53/L53</f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 t="shared" ref="M55" si="2"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0" verticalDpi="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A1"/>
  <sheetViews>
    <sheetView workbookViewId="0">
      <selection activeCell="E33" sqref="E3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2025-06-22T12:12:36Z</dcterms:modified>
</cp:coreProperties>
</file>