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\Documents\GitHub\Micro-DMM\"/>
    </mc:Choice>
  </mc:AlternateContent>
  <xr:revisionPtr revIDLastSave="0" documentId="13_ncr:1_{776E5225-6953-4530-86D1-D04E29F32FBA}" xr6:coauthVersionLast="47" xr6:coauthVersionMax="47" xr10:uidLastSave="{00000000-0000-0000-0000-000000000000}"/>
  <bookViews>
    <workbookView xWindow="1850" yWindow="220" windowWidth="21430" windowHeight="14650" activeTab="1" xr2:uid="{AA7D1287-CC71-449A-9503-E2DCBFCF1F8A}"/>
  </bookViews>
  <sheets>
    <sheet name="Analog Circuits Reference" sheetId="2" r:id="rId1"/>
    <sheet name="Calibrations" sheetId="1" r:id="rId2"/>
    <sheet name="BOM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1" l="1"/>
  <c r="Z20" i="1"/>
  <c r="AA20" i="1" s="1"/>
  <c r="Z19" i="1"/>
  <c r="AA19" i="1" s="1"/>
  <c r="Z18" i="1"/>
  <c r="AA18" i="1" s="1"/>
  <c r="AA17" i="1"/>
  <c r="Z17" i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J54" i="2"/>
  <c r="G51" i="2"/>
  <c r="C51" i="2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X23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K59" i="3"/>
  <c r="N45" i="3"/>
  <c r="K60" i="3" s="1"/>
  <c r="U23" i="1"/>
  <c r="M51" i="3"/>
  <c r="M50" i="3"/>
  <c r="M49" i="3"/>
  <c r="M48" i="3"/>
  <c r="M42" i="3"/>
  <c r="N42" i="3" s="1"/>
  <c r="K52" i="3" s="1"/>
  <c r="M52" i="3" s="1"/>
  <c r="M43" i="3"/>
  <c r="N43" i="3" s="1"/>
  <c r="M41" i="3"/>
  <c r="N41" i="3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M26" i="3"/>
  <c r="N26" i="3" s="1"/>
  <c r="M20" i="3"/>
  <c r="N20" i="3" s="1"/>
  <c r="M21" i="3"/>
  <c r="N21" i="3" s="1"/>
  <c r="M14" i="3"/>
  <c r="N14" i="3" s="1"/>
  <c r="M28" i="3"/>
  <c r="N28" i="3" s="1"/>
  <c r="M25" i="3"/>
  <c r="N25" i="3" s="1"/>
  <c r="M24" i="3"/>
  <c r="N24" i="3" s="1"/>
  <c r="M3" i="3"/>
  <c r="N3" i="3" s="1"/>
  <c r="M12" i="3"/>
  <c r="N12" i="3" s="1"/>
  <c r="M13" i="3"/>
  <c r="N13" i="3" s="1"/>
  <c r="M15" i="3"/>
  <c r="N15" i="3" s="1"/>
  <c r="M16" i="3"/>
  <c r="N16" i="3" s="1"/>
  <c r="M11" i="3"/>
  <c r="N11" i="3" s="1"/>
  <c r="M18" i="3"/>
  <c r="N18" i="3" s="1"/>
  <c r="M7" i="3"/>
  <c r="N7" i="3" s="1"/>
  <c r="M8" i="3"/>
  <c r="N8" i="3" s="1"/>
  <c r="M4" i="3"/>
  <c r="N4" i="3" s="1"/>
  <c r="M5" i="3"/>
  <c r="N5" i="3" s="1"/>
  <c r="M9" i="3"/>
  <c r="N9" i="3" s="1"/>
  <c r="M10" i="3"/>
  <c r="N10" i="3" s="1"/>
  <c r="M17" i="3"/>
  <c r="N17" i="3" s="1"/>
  <c r="M19" i="3"/>
  <c r="N19" i="3" s="1"/>
  <c r="M23" i="3"/>
  <c r="N23" i="3" s="1"/>
  <c r="M27" i="3"/>
  <c r="N27" i="3" s="1"/>
  <c r="M22" i="3"/>
  <c r="N22" i="3" s="1"/>
  <c r="M30" i="3"/>
  <c r="N30" i="3" s="1"/>
  <c r="M29" i="3"/>
  <c r="N29" i="3" s="1"/>
  <c r="M31" i="3"/>
  <c r="N31" i="3" s="1"/>
  <c r="M34" i="3"/>
  <c r="N34" i="3" s="1"/>
  <c r="M35" i="3"/>
  <c r="N35" i="3" s="1"/>
  <c r="M36" i="3"/>
  <c r="N36" i="3" s="1"/>
  <c r="M32" i="3"/>
  <c r="N32" i="3" s="1"/>
  <c r="M33" i="3"/>
  <c r="N33" i="3" s="1"/>
  <c r="M6" i="3"/>
  <c r="N6" i="3" s="1"/>
  <c r="Q7" i="1"/>
  <c r="R7" i="1"/>
  <c r="Q8" i="1"/>
  <c r="R8" i="1"/>
  <c r="Q9" i="1"/>
  <c r="R9" i="1"/>
  <c r="Q10" i="1"/>
  <c r="R10" i="1"/>
  <c r="Q11" i="1"/>
  <c r="R11" i="1"/>
  <c r="Q12" i="1"/>
  <c r="R12" i="1" s="1"/>
  <c r="Q13" i="1"/>
  <c r="R13" i="1"/>
  <c r="Q14" i="1"/>
  <c r="R14" i="1"/>
  <c r="Q15" i="1"/>
  <c r="R15" i="1" s="1"/>
  <c r="Q16" i="1"/>
  <c r="R16" i="1" s="1"/>
  <c r="Q17" i="1"/>
  <c r="R17" i="1" s="1"/>
  <c r="Q18" i="1"/>
  <c r="R18" i="1" s="1"/>
  <c r="Q19" i="1"/>
  <c r="R19" i="1"/>
  <c r="Q20" i="1"/>
  <c r="R20" i="1" s="1"/>
  <c r="Q6" i="1"/>
  <c r="R6" i="1" s="1"/>
  <c r="I24" i="2"/>
  <c r="J24" i="2" s="1"/>
  <c r="I23" i="2"/>
  <c r="J23" i="2" s="1"/>
  <c r="P22" i="2"/>
  <c r="Q22" i="2" s="1"/>
  <c r="I22" i="2"/>
  <c r="J22" i="2" s="1"/>
  <c r="I21" i="2"/>
  <c r="J21" i="2" s="1"/>
  <c r="P20" i="2"/>
  <c r="Q20" i="2" s="1"/>
  <c r="J20" i="2"/>
  <c r="K20" i="2" s="1"/>
  <c r="L20" i="2" s="1"/>
  <c r="M20" i="2" s="1"/>
  <c r="I20" i="2"/>
  <c r="P19" i="2"/>
  <c r="Q19" i="2" s="1"/>
  <c r="I19" i="2"/>
  <c r="J19" i="2" s="1"/>
  <c r="P18" i="2"/>
  <c r="Q18" i="2" s="1"/>
  <c r="I18" i="2"/>
  <c r="J18" i="2" s="1"/>
  <c r="P17" i="2"/>
  <c r="Q17" i="2" s="1"/>
  <c r="I17" i="2"/>
  <c r="J17" i="2" s="1"/>
  <c r="P16" i="2"/>
  <c r="Q16" i="2" s="1"/>
  <c r="I16" i="2"/>
  <c r="J16" i="2" s="1"/>
  <c r="Q15" i="2"/>
  <c r="P15" i="2"/>
  <c r="I15" i="2"/>
  <c r="J15" i="2" s="1"/>
  <c r="P14" i="2"/>
  <c r="Q14" i="2" s="1"/>
  <c r="I14" i="2"/>
  <c r="J14" i="2" s="1"/>
  <c r="P13" i="2"/>
  <c r="Q13" i="2" s="1"/>
  <c r="I13" i="2"/>
  <c r="J13" i="2" s="1"/>
  <c r="P12" i="2"/>
  <c r="Q12" i="2" s="1"/>
  <c r="J12" i="2"/>
  <c r="K12" i="2" s="1"/>
  <c r="L12" i="2" s="1"/>
  <c r="M12" i="2" s="1"/>
  <c r="I12" i="2"/>
  <c r="P11" i="2"/>
  <c r="Q11" i="2" s="1"/>
  <c r="I11" i="2"/>
  <c r="J11" i="2" s="1"/>
  <c r="P10" i="2"/>
  <c r="Q10" i="2" s="1"/>
  <c r="I10" i="2"/>
  <c r="J10" i="2" s="1"/>
  <c r="P9" i="2"/>
  <c r="Q9" i="2" s="1"/>
  <c r="J9" i="2"/>
  <c r="K9" i="2" s="1"/>
  <c r="L9" i="2" s="1"/>
  <c r="I9" i="2"/>
  <c r="P8" i="2"/>
  <c r="Q8" i="2" s="1"/>
  <c r="I8" i="2"/>
  <c r="J8" i="2" s="1"/>
  <c r="F8" i="2"/>
  <c r="E8" i="2"/>
  <c r="D8" i="2"/>
  <c r="C8" i="2"/>
  <c r="B8" i="2"/>
  <c r="P7" i="2"/>
  <c r="Q7" i="2" s="1"/>
  <c r="I7" i="2"/>
  <c r="J7" i="2" s="1"/>
  <c r="F7" i="2"/>
  <c r="E7" i="2"/>
  <c r="D7" i="2"/>
  <c r="C7" i="2"/>
  <c r="B7" i="2"/>
  <c r="P6" i="2"/>
  <c r="Q6" i="2" s="1"/>
  <c r="I6" i="2"/>
  <c r="J6" i="2" s="1"/>
  <c r="F6" i="2"/>
  <c r="E6" i="2"/>
  <c r="D6" i="2"/>
  <c r="C6" i="2"/>
  <c r="B6" i="2"/>
  <c r="F51" i="2" l="1"/>
  <c r="D51" i="2"/>
  <c r="G54" i="2" s="1"/>
  <c r="M60" i="3"/>
  <c r="M62" i="3" s="1"/>
  <c r="K62" i="3"/>
  <c r="N39" i="3"/>
  <c r="K53" i="3" s="1"/>
  <c r="M53" i="3" s="1"/>
  <c r="M55" i="3" s="1"/>
  <c r="K17" i="2"/>
  <c r="L17" i="2" s="1"/>
  <c r="M17" i="2" s="1"/>
  <c r="S17" i="2"/>
  <c r="R17" i="2"/>
  <c r="T17" i="2" s="1"/>
  <c r="R18" i="2"/>
  <c r="S18" i="2"/>
  <c r="T18" i="2"/>
  <c r="K13" i="2"/>
  <c r="L13" i="2" s="1"/>
  <c r="M13" i="2" s="1"/>
  <c r="S16" i="2"/>
  <c r="R16" i="2"/>
  <c r="T16" i="2" s="1"/>
  <c r="K10" i="2"/>
  <c r="L10" i="2" s="1"/>
  <c r="M10" i="2" s="1"/>
  <c r="K11" i="2"/>
  <c r="L11" i="2" s="1"/>
  <c r="M11" i="2" s="1"/>
  <c r="K7" i="2"/>
  <c r="L7" i="2" s="1"/>
  <c r="M7" i="2" s="1"/>
  <c r="S19" i="2"/>
  <c r="R19" i="2"/>
  <c r="T19" i="2" s="1"/>
  <c r="K14" i="2"/>
  <c r="L14" i="2" s="1"/>
  <c r="M14" i="2" s="1"/>
  <c r="K23" i="2"/>
  <c r="L23" i="2" s="1"/>
  <c r="M23" i="2" s="1"/>
  <c r="K18" i="2"/>
  <c r="L18" i="2" s="1"/>
  <c r="M18" i="2" s="1"/>
  <c r="K19" i="2"/>
  <c r="L19" i="2" s="1"/>
  <c r="M19" i="2" s="1"/>
  <c r="S20" i="2"/>
  <c r="R20" i="2"/>
  <c r="T20" i="2" s="1"/>
  <c r="R14" i="2"/>
  <c r="T14" i="2"/>
  <c r="S14" i="2"/>
  <c r="K15" i="2"/>
  <c r="L15" i="2" s="1"/>
  <c r="M15" i="2" s="1"/>
  <c r="K24" i="2"/>
  <c r="L24" i="2" s="1"/>
  <c r="M24" i="2" s="1"/>
  <c r="S9" i="2"/>
  <c r="R9" i="2"/>
  <c r="T9" i="2" s="1"/>
  <c r="R10" i="2"/>
  <c r="T10" i="2" s="1"/>
  <c r="S10" i="2"/>
  <c r="R11" i="2"/>
  <c r="T11" i="2" s="1"/>
  <c r="S11" i="2"/>
  <c r="S7" i="2"/>
  <c r="R7" i="2"/>
  <c r="T7" i="2" s="1"/>
  <c r="S12" i="2"/>
  <c r="R12" i="2"/>
  <c r="T12" i="2" s="1"/>
  <c r="S13" i="2"/>
  <c r="R13" i="2"/>
  <c r="T13" i="2" s="1"/>
  <c r="K21" i="2"/>
  <c r="L21" i="2" s="1"/>
  <c r="M21" i="2" s="1"/>
  <c r="K22" i="2"/>
  <c r="L22" i="2" s="1"/>
  <c r="M22" i="2" s="1"/>
  <c r="K8" i="2"/>
  <c r="L8" i="2" s="1"/>
  <c r="M8" i="2" s="1"/>
  <c r="S22" i="2"/>
  <c r="R22" i="2"/>
  <c r="T22" i="2" s="1"/>
  <c r="S8" i="2"/>
  <c r="R8" i="2"/>
  <c r="T8" i="2" s="1"/>
  <c r="K6" i="2"/>
  <c r="L6" i="2" s="1"/>
  <c r="M6" i="2" s="1"/>
  <c r="S6" i="2"/>
  <c r="R6" i="2"/>
  <c r="T6" i="2" s="1"/>
  <c r="K16" i="2"/>
  <c r="L16" i="2" s="1"/>
  <c r="M16" i="2" s="1"/>
  <c r="R15" i="2"/>
  <c r="T15" i="2" s="1"/>
  <c r="M9" i="2"/>
  <c r="S15" i="2"/>
  <c r="K55" i="3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O15" i="1"/>
  <c r="O16" i="1"/>
  <c r="O17" i="1"/>
  <c r="O18" i="1"/>
  <c r="O19" i="1"/>
  <c r="O20" i="1"/>
  <c r="O23" i="1"/>
  <c r="L23" i="1"/>
  <c r="I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N18" i="1"/>
  <c r="N19" i="1"/>
  <c r="N20" i="1"/>
  <c r="N6" i="1"/>
  <c r="O6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<sst xmlns="http://schemas.openxmlformats.org/spreadsheetml/2006/main" count="414" uniqueCount="263">
  <si>
    <t>DMM Calibration Template</t>
  </si>
  <si>
    <t>Nominal Value</t>
  </si>
  <si>
    <t>PCB Row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</si>
  <si>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</si>
  <si>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</si>
  <si>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</si>
  <si>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</si>
  <si>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</si>
  <si>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</si>
  <si>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</si>
  <si>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</si>
  <si>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</si>
  <si>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</si>
  <si>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</si>
  <si>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</si>
  <si>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</si>
  <si>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</si>
  <si>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</si>
  <si>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</si>
  <si>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Actual</t>
  </si>
  <si>
    <t>Difference</t>
  </si>
  <si>
    <t>Subject Meter</t>
  </si>
  <si>
    <t>EEPROM 1-3</t>
  </si>
  <si>
    <t>Correction Factor</t>
  </si>
  <si>
    <t>Pasteable Text</t>
  </si>
  <si>
    <t>Reading</t>
  </si>
  <si>
    <t>EEPROM 1-2</t>
  </si>
  <si>
    <t>EEPROM 1-4</t>
  </si>
  <si>
    <t>EEPROM 1-1</t>
  </si>
  <si>
    <t>Reference and Setup</t>
  </si>
  <si>
    <t>Voltage</t>
  </si>
  <si>
    <t>True Value</t>
  </si>
  <si>
    <t>Constant</t>
  </si>
  <si>
    <t>Constant Voltage</t>
  </si>
  <si>
    <t>Constant Current</t>
  </si>
  <si>
    <t>Resolution</t>
  </si>
  <si>
    <t>V Range</t>
  </si>
  <si>
    <t>Zener Max</t>
  </si>
  <si>
    <t>Divider R</t>
  </si>
  <si>
    <t>Ref Res</t>
  </si>
  <si>
    <t>Constant I</t>
  </si>
  <si>
    <t>Res</t>
  </si>
  <si>
    <t>Level %</t>
  </si>
  <si>
    <t>Step #</t>
  </si>
  <si>
    <t>V_Reading</t>
  </si>
  <si>
    <t>R Result</t>
  </si>
  <si>
    <t>mA</t>
  </si>
  <si>
    <t>mW</t>
  </si>
  <si>
    <t>R mA</t>
  </si>
  <si>
    <t>Steps</t>
  </si>
  <si>
    <t>V</t>
  </si>
  <si>
    <t>mV</t>
  </si>
  <si>
    <t>@5 mA supply means a resistor of 1000 ohms, which gives 5 mV</t>
  </si>
  <si>
    <t>Divider Resistor</t>
  </si>
  <si>
    <t>Vref</t>
  </si>
  <si>
    <t>Cost / DMM</t>
  </si>
  <si>
    <t>C1</t>
  </si>
  <si>
    <t>C3,C14</t>
  </si>
  <si>
    <t>C4,C17</t>
  </si>
  <si>
    <t>C9,C10,C15</t>
  </si>
  <si>
    <t>C16,C19</t>
  </si>
  <si>
    <t>L1</t>
  </si>
  <si>
    <t>D1</t>
  </si>
  <si>
    <t>LED</t>
  </si>
  <si>
    <t>Q2</t>
  </si>
  <si>
    <t>F1</t>
  </si>
  <si>
    <t>R5</t>
  </si>
  <si>
    <t>R6</t>
  </si>
  <si>
    <t>R9,R14</t>
  </si>
  <si>
    <t>R17,R18</t>
  </si>
  <si>
    <t>Reference</t>
  </si>
  <si>
    <t>Value</t>
  </si>
  <si>
    <t>Datasheet</t>
  </si>
  <si>
    <t>Footprint</t>
  </si>
  <si>
    <t>Qty</t>
  </si>
  <si>
    <t>DNP</t>
  </si>
  <si>
    <t>Description</t>
  </si>
  <si>
    <t>Function</t>
  </si>
  <si>
    <t>0.47uF</t>
  </si>
  <si>
    <t>~</t>
  </si>
  <si>
    <t>Capacitor_SMD:C_0805_2012Metric_Pad1.18x1.45mm_HandSolder</t>
  </si>
  <si>
    <t>Unpolarized capacitor</t>
  </si>
  <si>
    <t>9v supply filter1</t>
  </si>
  <si>
    <t>2.2uF</t>
  </si>
  <si>
    <t>-- mixed values --</t>
  </si>
  <si>
    <t>0.1uF</t>
  </si>
  <si>
    <t>4.7uF</t>
  </si>
  <si>
    <t>22uF</t>
  </si>
  <si>
    <t>Boost Output Smoothing</t>
  </si>
  <si>
    <t>C18</t>
  </si>
  <si>
    <t>1uF</t>
  </si>
  <si>
    <t>R Circuit Smoothing</t>
  </si>
  <si>
    <t>Light emitting diode</t>
  </si>
  <si>
    <t>D4,D5</t>
  </si>
  <si>
    <t>D_Schottky</t>
  </si>
  <si>
    <t>Diode_SMD:D_SOD-123</t>
  </si>
  <si>
    <t>Schottky diode</t>
  </si>
  <si>
    <t>Overvoltage Proection</t>
  </si>
  <si>
    <t>Fuse</t>
  </si>
  <si>
    <t>Fuse:Fuseholder_Clip-5x20mm_Keystone_3512P_Inline_P23.62x7.27mm_D1.02x2.41x1.02x1.57mm_Horizontal</t>
  </si>
  <si>
    <t>Dead Short Protection</t>
  </si>
  <si>
    <t>J4</t>
  </si>
  <si>
    <t>IR Connection</t>
  </si>
  <si>
    <t>Library:PinHeader_1x03_P2.54mm_Vertical_NoBox</t>
  </si>
  <si>
    <t>Generic connector, single row, 01x03, script generated (kicad-library-utils/schlib/autogen/connector/)</t>
  </si>
  <si>
    <t>J9</t>
  </si>
  <si>
    <t>Out to Screen</t>
  </si>
  <si>
    <t>Connector_PinSocket_2.54mm:PinSocket_1x04_P2.54mm_Vertical</t>
  </si>
  <si>
    <t>Generic connector, single row, 01x04, script generated</t>
  </si>
  <si>
    <t>J11</t>
  </si>
  <si>
    <t>I_Input</t>
  </si>
  <si>
    <t>Connector_PinHeader_2.54mm:PinHeader_1x03_P2.54mm_Horizontal</t>
  </si>
  <si>
    <t>J12</t>
  </si>
  <si>
    <t>Conn_01x02_Pin</t>
  </si>
  <si>
    <t>Connector_PinHeader_2.54mm:PinHeader_1x02_P2.54mm_Horizontal</t>
  </si>
  <si>
    <t>Generic connector, single row, 01x02, script generated</t>
  </si>
  <si>
    <t>J14,J15</t>
  </si>
  <si>
    <t>Barrel_Jack</t>
  </si>
  <si>
    <t>Connector_BarrelJack:BarrelJack_Horizontal</t>
  </si>
  <si>
    <t>DC Barrel Jack</t>
  </si>
  <si>
    <t>2.2uH</t>
  </si>
  <si>
    <t>Inductor_SMD:L_Murata_DFE201610P</t>
  </si>
  <si>
    <t>Inductor</t>
  </si>
  <si>
    <t>Q1,Q3,Q4,Q5</t>
  </si>
  <si>
    <t>MMBT3904</t>
  </si>
  <si>
    <t>https://www.onsemi.com/pdf/datasheet/pzt3904-d.pdf</t>
  </si>
  <si>
    <t>Package_TO_SOT_SMD:SOT-23</t>
  </si>
  <si>
    <t>0.2A Ic, 40V Vce, Small Signal NPN Transistor, SOT-23</t>
  </si>
  <si>
    <t>SI2302 MOSFET</t>
  </si>
  <si>
    <t>http://www.diodes.com/assets/Datasheets/DMG2302U.pdf</t>
  </si>
  <si>
    <t>4.2A Id, 20V Vds, N-Channel MOSFET, SOT-23</t>
  </si>
  <si>
    <t>R Circuit Range Switch</t>
  </si>
  <si>
    <t>R1</t>
  </si>
  <si>
    <t>Resistor_SMD:R_0805_2012Metric_Pad1.20x1.40mm_HandSolder</t>
  </si>
  <si>
    <t>Resistor, US symbol</t>
  </si>
  <si>
    <t>I Limit LED</t>
  </si>
  <si>
    <t>R2,R13,R15,R16,R25,R26</t>
  </si>
  <si>
    <t>1K</t>
  </si>
  <si>
    <t>R Circuit I Set</t>
  </si>
  <si>
    <t>330 R Circuit I Bleeder</t>
  </si>
  <si>
    <t>22.0K</t>
  </si>
  <si>
    <t>R12</t>
  </si>
  <si>
    <t>MOSFET Bleeder1</t>
  </si>
  <si>
    <t>499.0K</t>
  </si>
  <si>
    <t>SW_Push</t>
  </si>
  <si>
    <t>Push button switch, generic, two pins</t>
  </si>
  <si>
    <t>SW3</t>
  </si>
  <si>
    <t>SW_SPDT</t>
  </si>
  <si>
    <t>Button_Switch_THT:SW_Slide_SPDT_Angled_CK_OS102011MA1Q</t>
  </si>
  <si>
    <t>Switch, single pole double throw</t>
  </si>
  <si>
    <t>On / Off</t>
  </si>
  <si>
    <t>U1</t>
  </si>
  <si>
    <t>LM317_TO-220</t>
  </si>
  <si>
    <t>http://www.ti.com/lit/ds/symlink/lm317.pdf</t>
  </si>
  <si>
    <t>Package_TO_SOT_SMD:SOT-223-3_TabPin2</t>
  </si>
  <si>
    <t>1.5A 35V Adjustable Linear Regulator, TO-220</t>
  </si>
  <si>
    <t>U3</t>
  </si>
  <si>
    <t>ADS1115IDGS</t>
  </si>
  <si>
    <t>http://www.ti.com/lit/ds/symlink/ads1113.pdf</t>
  </si>
  <si>
    <t>Package_SO:TSSOP-10_3x3mm_P0.5mm</t>
  </si>
  <si>
    <t>Ultra-Small, Low-Power, I2C-Compatible, 860-SPS, 16-Bit ADCs With Internal Reference, Oscillator, and Programmable Comparator, VSSOP-10</t>
  </si>
  <si>
    <t>U7</t>
  </si>
  <si>
    <t>MAX1683</t>
  </si>
  <si>
    <t>https://www.analog.com/media/en/technical-documentation/data-sheets/MAX1682-MAX1683.pdf</t>
  </si>
  <si>
    <t>Package_TO_SOT_SMD:SOT-23-5_HandSoldering</t>
  </si>
  <si>
    <t>IC REG CHARGE PUMP 2VIN SOT23-5</t>
  </si>
  <si>
    <t>Voltage Doubler</t>
  </si>
  <si>
    <t>U9</t>
  </si>
  <si>
    <t>TPS613222ADBV</t>
  </si>
  <si>
    <t>http://www.ti.com/lit/ds/symlink/tps61322.pdf</t>
  </si>
  <si>
    <t>Package_TO_SOT_SMD:SOT-23-5</t>
  </si>
  <si>
    <t>1.8A Step-Up Converter, 5V Output Voltage, 0.9-5.5V Input Voltage, SOT-23-5</t>
  </si>
  <si>
    <t>U10</t>
  </si>
  <si>
    <t>LM4040DBZ-2.5</t>
  </si>
  <si>
    <t>http://www.ti.com/lit/ds/symlink/lm4040-n.pdf</t>
  </si>
  <si>
    <t>2.500V Precision Micropower Shunt Voltage Reference, SOT-23</t>
  </si>
  <si>
    <t>V Reference Control</t>
  </si>
  <si>
    <t>U11</t>
  </si>
  <si>
    <t>LM4040DBZ-5</t>
  </si>
  <si>
    <t>5.000V Precision Micropower Shunt Voltage Reference, SOT-23</t>
  </si>
  <si>
    <t>R Circuit Reference</t>
  </si>
  <si>
    <t>https://www.digikey.com/en/products/detail/c-k/OS102011MA1QN1/1981430</t>
  </si>
  <si>
    <t>LED_SMD:LED_Luminus_MP-3030-1100_3.0x3.0mm</t>
  </si>
  <si>
    <t>LED SMD Option</t>
  </si>
  <si>
    <t>https://www.digikey.com/en/products/detail/luminus-devices-inc/MP-3030-110H-40-95/9593557</t>
  </si>
  <si>
    <t xml:space="preserve">Cost </t>
  </si>
  <si>
    <t>https://www.digikey.com/en/products/detail/samsung-electro-mechanics/CL21B105KBFNNNE/3886687</t>
  </si>
  <si>
    <t>https://www.digikey.com/en/products/detail/samsung-electro-mechanics/CL21A226MAYNNNE/10479857</t>
  </si>
  <si>
    <t>https://www.digikey.com/en/products/detail/texas-instruments/TPS613222ADBVR/8638376</t>
  </si>
  <si>
    <t>https://www.digikey.com/en/products/detail/murata-electronics/DFE201612E-2R2M-P2/9815901</t>
  </si>
  <si>
    <t>https://www.digikey.com/en/products/detail/texas-instruments/LM4040CIM3X-2-5-NOPB/367111</t>
  </si>
  <si>
    <t>SW1,SW2</t>
  </si>
  <si>
    <t>SW4</t>
  </si>
  <si>
    <t>SMD</t>
  </si>
  <si>
    <t>https://www.digikey.com/en/products/detail/c-k/PTS636SM43SMTR-LFS/10071723</t>
  </si>
  <si>
    <t>https://www.digikey.com/en/products/detail/texas-instruments/LM4040CIM3-5-0-NOPB/305136</t>
  </si>
  <si>
    <t>https://www.digikey.com/en/products/detail/samsung-electro-mechanics/CL21B225KOFNNNE/3886820</t>
  </si>
  <si>
    <t>https://www.digikey.com/en/products/detail/samsung-electro-mechanics/CL21A475KAQNNNG/3894439</t>
  </si>
  <si>
    <t>https://www.digikey.com/en/products/detail/mcc-micro-commercial-components/SI2302-TP/1793243</t>
  </si>
  <si>
    <t>https://www.digikey.com/en/products/detail/onsemi/BAT54T1G/918319</t>
  </si>
  <si>
    <t>https://www.digikey.com/en/products/detail/samsung-electro-mechanics/CL21B104KACNNNC/3886757</t>
  </si>
  <si>
    <t>https://www.digikey.com/en/products/detail/microchip-technology/MCP1253-33X50I-MS/529833</t>
  </si>
  <si>
    <t>https://www.digikey.com/en/products/detail/panasonic-electronic-components/ERA-6AED4993V/19246650</t>
  </si>
  <si>
    <t>https://www.digikey.com/en/products/detail/texas-instruments/ADS1115IDGSR/2231567</t>
  </si>
  <si>
    <t>https://www.digikey.com/en/products/detail/susumu/RR1220P-223-D/432323</t>
  </si>
  <si>
    <t>https://www.digikey.com/en/products/detail/susumu/RR1220P-102-D/432291</t>
  </si>
  <si>
    <t>https://www.digikey.com/en/products/detail/texas-instruments/LM317MDCYR/454187</t>
  </si>
  <si>
    <t>Cost each</t>
  </si>
  <si>
    <t>https://www.digikey.com/en/products/detail/diotec-semiconductor/MMBT3904/13163698</t>
  </si>
  <si>
    <t>https://www.digikey.com/en/products/detail/bel-fuse-inc/FC-211-BRIGHT-TIN/622587</t>
  </si>
  <si>
    <t>https://www.amazon.com/Chanzon-Straight-Connector-Breadboard-Electronic/dp/B09MYG647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</si>
  <si>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MD4YS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</si>
  <si>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amazon.com/Chanzon-Straight-Connector-Breadboard-Electronic/dp/B09MYL5M4K?crid=108K7I4JQX3JW&amp;dib=eyJ2IjoiMSJ9.HwO1Ueh1Z7svwElyoT6FBehn2EReHR_6JHvtM8pZx4bGLaJcsmiEA7Yv0aOdh1CI9u3rDtrjwU2sqMTEwzScEulyWwc3395JvuqxKdl_kjELh35buIqS7VWH920V8xZgmvY7h7gPR1R9a9J_6yqRTumY7kyiL1ajMPT4hnPR_TQYG4zaH-sxvrl1N2IQJSBLK1bzKIcLpz4UK2dlLv7F3nDID7Jq6p_9LmaMXV5X9Cw.FhF8Cc_MXqxzGcmAwWrgMNoDQAozI9rdi6q7z3Lwgcs&amp;dib_tag=se&amp;keywords=1x4%2Bpin%2Bheader&amp;qid=1749847050&amp;sprefix=1x4%2Bpin%2B%2Caps%2C113&amp;sr=8-8&amp;th=1</t>
  </si>
  <si>
    <t>https://www.digikey.com/en/products/detail/murata-electronics/GRM21BR71H474KA88L/702592</t>
  </si>
  <si>
    <t>https://www.digikey.com/en/products/detail/panasonic-electronic-components/ERA-6AEB620V/1465719</t>
  </si>
  <si>
    <t>https://www.digikey.com/en/products/detail/stackpole-electronics-inc/RNCF0805DTE330R/6241750</t>
  </si>
  <si>
    <t>https://www.amazon.com/QTEATAK-Momentary-Tactile-Button-Switch/dp/B07VSNN9S2?dib=eyJ2IjoiMSJ9.FvCpFhIAwff79PSVuLNg4c-H-9hpghcEQ-6QLY25pwepWKd3n5-D71iGk6yl2ME_fzV1E8SOmR5-U5uyA2CSgsVP3s6UGNiSQTqADLaHJMP9DPg9Xv7onAJ7Gfm0CLAEFArvfK5LPHqkz9KAPNITbvSyIl1qRHeBpsE37EfgfKUpVneUuXfB_X4D4kuIDiCblIoa_mk2OuFtueni4HTiT6t7W2UJDl5aSpkyQHXc5cA.M_SF_56GBtkHBHo6oYCqsEENudhJ13kk5NEz1TyXsFc&amp;dib_tag=se&amp;keywords=6mm+button&amp;mfadid=adm&amp;qid=1749855961&amp;sr=8-9</t>
  </si>
  <si>
    <t>Button_Switch_THT:SW_PUSH_6mm</t>
  </si>
  <si>
    <t>Qty2</t>
  </si>
  <si>
    <t>Purchase Link</t>
  </si>
  <si>
    <t>https://www.digikey.com/en/products/detail/yageo/RC0402JR-0710KL/726418</t>
  </si>
  <si>
    <t>10K</t>
  </si>
  <si>
    <t>Current Limiting</t>
  </si>
  <si>
    <t>R7, R8, R27</t>
  </si>
  <si>
    <t>https://www.amazon.com/California-JOS-Breadboard-Friendly-Mounting-Female/dp/B09XH1XJZT?crid=1K1D82IK4Q41W&amp;dib=eyJ2IjoiMSJ9._2Ev6i_66TQNaOQKz-SGN1wTjIQ6wwy57JnL7cNVBemvDJgUfzpUD3fx6PFTxcIK-GoqXpWRN4pfPPl28PJR1N6vit5kTOYn54SZZqF7cklC1C3kX1nAdIa0m207sNCWut0M8Vvqe45ziJ4pUTsQAJPDHLMRla1M5KOXfYHf2hkDHePylkLYbZkIlgwszZVMLkYYhjuQrnyRCkWF0CJBIQ3falYAdmGJePqv1A8qFXQ.1ciiigbhrIeOXutM04Xnra9lNSGn8i4Z1vPy07TjTZ4&amp;dib_tag=se&amp;keywords=dc%2Bbarrel%2Bjack&amp;qid=1749856721&amp;sprefix=dc%2Bbarrel%2Bjac%2Caps%2C194&amp;sr=8-5&amp;th=1</t>
  </si>
  <si>
    <t>100k</t>
  </si>
  <si>
    <t>https://www.digikey.com/en/products/detail/yageo/RC0805JR-07100KL/728239</t>
  </si>
  <si>
    <t>https://www.digikey.com/en/products/detail/yageo/RC0805FR-07499RL/727986</t>
  </si>
  <si>
    <t>Original</t>
  </si>
  <si>
    <t>Y</t>
  </si>
  <si>
    <t>U6</t>
  </si>
  <si>
    <t>XIAO RA4M1</t>
  </si>
  <si>
    <t>Battery</t>
  </si>
  <si>
    <t>https://www.amazon.com/1100mAh-Rechargable-Protection-Insulated-Development/dp/B0867KDMY7?ref_=pd_ci_mcx_mh_pe_im_d1_hxwPPE_sspa_dk_det_cav_p_0_0&amp;pd_rd_i=B0867KDMY7&amp;pd_rd_w=K8iwI&amp;content-id=amzn1.sym.57b80066-10e8-4be7-a5f2-ce3f1faa4959&amp;pf_rd_p=57b80066-10e8-4be7-a5f2-ce3f1faa4959&amp;pf_rd_r=DPGH2XTEAH7AXE98T8RT&amp;pd_rd_wg=R2tXj&amp;pd_rd_r=bcfd4e9a-22c6-4970-ba41-9f2861f04913&amp;th=1</t>
  </si>
  <si>
    <t>Screen</t>
  </si>
  <si>
    <t>https://www.amazon.com/dp/B0CN373JF4?ref=ppx_yo2ov_dt_b_fed_asin_title</t>
  </si>
  <si>
    <t>PCBA Cost:</t>
  </si>
  <si>
    <t>Assembly</t>
  </si>
  <si>
    <t>Shipping</t>
  </si>
  <si>
    <t>PCB</t>
  </si>
  <si>
    <t>Stencil</t>
  </si>
  <si>
    <t>Component Cost:</t>
  </si>
  <si>
    <t>Components</t>
  </si>
  <si>
    <t>Price</t>
  </si>
  <si>
    <t>Avg Cost</t>
  </si>
  <si>
    <t>Total</t>
  </si>
  <si>
    <t>Elecrow Quote</t>
  </si>
  <si>
    <t>Modules</t>
  </si>
  <si>
    <t>Module Costs</t>
  </si>
  <si>
    <t>EEPROM 1-5</t>
  </si>
  <si>
    <t>QTY On Hand</t>
  </si>
  <si>
    <t>Builds Possible</t>
  </si>
  <si>
    <t>Voltage Divider</t>
  </si>
  <si>
    <t>Current Limiter</t>
  </si>
  <si>
    <t>Sense</t>
  </si>
  <si>
    <t>Vdrop</t>
  </si>
  <si>
    <t>R2</t>
  </si>
  <si>
    <t>Gnd</t>
  </si>
  <si>
    <t>R3</t>
  </si>
  <si>
    <t>Vin</t>
  </si>
  <si>
    <t>V across Sense</t>
  </si>
  <si>
    <t>Approx V Scale Factor</t>
  </si>
  <si>
    <t>Giga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</si>
</sst>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  <numFmt numFmtId="167" formatCode="0.000000"/>
    <numFmt numFmtId="168" formatCode="0.00000"/>
    <numFmt numFmtId="169" formatCode="0.0000"/>
    <numFmt numFmtId="170" formatCode="&quot; &quot;* #,##0.00&quot; &quot;;&quot; &quot;* &quot;(&quot;#,##0.00&quot;)&quot;;&quot; &quot;* &quot;-&quot;#&quot; &quot;;&quot; &quot;@&quot; &quot;"/>
    <numFmt numFmtId="171" formatCode="&quot; &quot;* #,##0.000&quot; &quot;;&quot; &quot;* &quot;(&quot;#,##0.000&quot;)&quot;;&quot; &quot;* &quot;-&quot;#&quot; &quot;;&quot; &quot;@&quot; 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5" fillId="0" borderId="0" xfId="4"/>
    <xf numFmtId="0" fontId="6" fillId="0" borderId="0" xfId="4" applyFont="1" applyAlignment="1">
      <alignment horizontal="center"/>
    </xf>
    <xf numFmtId="0" fontId="6" fillId="0" borderId="0" xfId="4" applyFont="1"/>
    <xf numFmtId="168" fontId="5" fillId="0" borderId="0" xfId="4" applyNumberFormat="1"/>
    <xf numFmtId="170" fontId="5" fillId="0" borderId="0" xfId="5"/>
    <xf numFmtId="2" fontId="5" fillId="0" borderId="0" xfId="4" applyNumberFormat="1"/>
    <xf numFmtId="169" fontId="5" fillId="0" borderId="0" xfId="4" applyNumberFormat="1"/>
    <xf numFmtId="167" fontId="5" fillId="0" borderId="0" xfId="4" applyNumberFormat="1"/>
    <xf numFmtId="171" fontId="5" fillId="0" borderId="0" xfId="5" applyNumberFormat="1"/>
    <xf numFmtId="16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0" borderId="0" xfId="2" applyFont="1"/>
    <xf numFmtId="8" fontId="0" fillId="0" borderId="0" xfId="2" applyNumberFormat="1" applyFont="1"/>
    <xf numFmtId="0" fontId="3" fillId="0" borderId="0" xfId="3"/>
    <xf numFmtId="44" fontId="0" fillId="0" borderId="9" xfId="2" applyFont="1" applyBorder="1"/>
    <xf numFmtId="44" fontId="0" fillId="0" borderId="0" xfId="0" applyNumberFormat="1"/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wrapText="1"/>
    </xf>
    <xf numFmtId="8" fontId="0" fillId="2" borderId="0" xfId="2" applyNumberFormat="1" applyFont="1" applyFill="1"/>
    <xf numFmtId="44" fontId="0" fillId="2" borderId="0" xfId="2" applyFont="1" applyFill="1"/>
    <xf numFmtId="0" fontId="0" fillId="2" borderId="9" xfId="0" applyFill="1" applyBorder="1" applyAlignment="1">
      <alignment wrapText="1"/>
    </xf>
    <xf numFmtId="44" fontId="0" fillId="2" borderId="9" xfId="2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2" applyNumberFormat="1" applyFont="1"/>
    <xf numFmtId="0" fontId="6" fillId="0" borderId="0" xfId="4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6">
    <cellStyle name="Comma" xfId="1" builtinId="3"/>
    <cellStyle name="Comma 2" xfId="5" xr:uid="{6CAA13E9-B21C-432A-A66F-A00286ECB727}"/>
    <cellStyle name="Currency" xfId="2" builtinId="4"/>
    <cellStyle name="Hyperlink" xfId="3" builtinId="8"/>
    <cellStyle name="Normal" xfId="0" builtinId="0"/>
    <cellStyle name="Normal 2" xfId="4" xr:uid="{23A55454-4930-4010-87FE-DBA3CAC7686F}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1" defaultTableStyle="TableStyleMedium2" defaultPivotStyle="PivotStyleLight16">
    <tableStyle name="Invisible" pivot="0" table="0" count="0" xr9:uid="{2D490C02-BD06-4748-9994-DB1AA913C5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Voltage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46" cap="rnd">
              <a:solidFill>
                <a:srgbClr val="156082"/>
              </a:solidFill>
              <a:prstDash val="solid"/>
              <a:round/>
            </a:ln>
          </c:spP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A-4ABC-9A90-1E8316D9C4D1}"/>
            </c:ext>
          </c:extLst>
        </c:ser>
        <c:ser>
          <c:idx val="0"/>
          <c:order val="1"/>
          <c:spPr>
            <a:ln w="19046" cap="rnd">
              <a:solidFill>
                <a:srgbClr val="156082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'Analog Circuits Reference'!$J$6:$J$24</c:f>
              <c:numCache>
                <c:formatCode>0.00000</c:formatCode>
                <c:ptCount val="19"/>
                <c:pt idx="0">
                  <c:v>0</c:v>
                </c:pt>
                <c:pt idx="1">
                  <c:v>3.0578613281249999E-4</c:v>
                </c:pt>
                <c:pt idx="2">
                  <c:v>4.5867919921874998E-4</c:v>
                </c:pt>
                <c:pt idx="3">
                  <c:v>2.4462890624999999E-3</c:v>
                </c:pt>
                <c:pt idx="4">
                  <c:v>5.0454711914062495E-3</c:v>
                </c:pt>
                <c:pt idx="5">
                  <c:v>5.0148925781249999E-2</c:v>
                </c:pt>
                <c:pt idx="6">
                  <c:v>0.10014495849609374</c:v>
                </c:pt>
                <c:pt idx="7">
                  <c:v>0.25043884277343748</c:v>
                </c:pt>
                <c:pt idx="8">
                  <c:v>0.50103057861328126</c:v>
                </c:pt>
                <c:pt idx="9">
                  <c:v>1.2524999999999999</c:v>
                </c:pt>
                <c:pt idx="10">
                  <c:v>2.5049999999999999</c:v>
                </c:pt>
                <c:pt idx="11">
                  <c:v>3.7574999999999998</c:v>
                </c:pt>
                <c:pt idx="12">
                  <c:v>4.5089694213867189</c:v>
                </c:pt>
                <c:pt idx="13">
                  <c:v>4.7595611572265621</c:v>
                </c:pt>
                <c:pt idx="14">
                  <c:v>4.9098550415039064</c:v>
                </c:pt>
                <c:pt idx="15">
                  <c:v>4.9598510742187498</c:v>
                </c:pt>
                <c:pt idx="16">
                  <c:v>4.9849255371093744</c:v>
                </c:pt>
                <c:pt idx="17">
                  <c:v>5.0049545288085939</c:v>
                </c:pt>
                <c:pt idx="18">
                  <c:v>5.0095413208007811</c:v>
                </c:pt>
              </c:numCache>
            </c:numRef>
          </c:xVal>
          <c:yVal>
            <c:numRef>
              <c:f>'Analog Circuits Reference'!$K$6:$K$24</c:f>
              <c:numCache>
                <c:formatCode>" "* #,##0.000" ";" "* "("#,##0.000")";" "* "-"#" ";" "@" "</c:formatCode>
                <c:ptCount val="19"/>
                <c:pt idx="0" formatCode="&quot; &quot;* #,##0.00&quot; &quot;;&quot; &quot;* &quot;(&quot;#,##0.00&quot;)&quot;;&quot; &quot;* &quot;-&quot;#&quot; &quot;;&quot; &quot;@&quot; &quot;">
                  <c:v>0</c:v>
                </c:pt>
                <c:pt idx="1">
                  <c:v>4.5687962222043614</c:v>
                </c:pt>
                <c:pt idx="2">
                  <c:v>6.8534030786538436</c:v>
                </c:pt>
                <c:pt idx="3">
                  <c:v>36.565962271128214</c:v>
                </c:pt>
                <c:pt idx="4">
                  <c:v>75.456384934634272</c:v>
                </c:pt>
                <c:pt idx="5">
                  <c:v>756.79721130979726</c:v>
                </c:pt>
                <c:pt idx="6">
                  <c:v>1526.6449567813079</c:v>
                </c:pt>
                <c:pt idx="7">
                  <c:v>3938.0799593163892</c:v>
                </c:pt>
                <c:pt idx="8" formatCode="&quot; &quot;* #,##0.00&quot; &quot;;&quot; &quot;* &quot;(&quot;#,##0.00&quot;)&quot;;&quot; &quot;* &quot;-&quot;#&quot; &quot;;&quot; &quot;@&quot; &quot;">
                  <c:v>8315.456444152016</c:v>
                </c:pt>
                <c:pt idx="9" formatCode="&quot; &quot;* #,##0.00&quot; &quot;;&quot; &quot;* &quot;(&quot;#,##0.00&quot;)&quot;;&quot; &quot;* &quot;-&quot;#&quot; &quot;;&quot; &quot;@&quot; &quot;">
                  <c:v>24933.642999336429</c:v>
                </c:pt>
                <c:pt idx="10" formatCode="&quot; &quot;* #,##0.00&quot; &quot;;&quot; &quot;* &quot;(&quot;#,##0.00&quot;)&quot;;&quot; &quot;* &quot;-&quot;#&quot; &quot;;&quot; &quot;@&quot; &quot;">
                  <c:v>74701.789264413528</c:v>
                </c:pt>
                <c:pt idx="11" formatCode="&quot; &quot;* #,##0.00&quot; &quot;;&quot; &quot;* &quot;(&quot;#,##0.00&quot;)&quot;;&quot; &quot;* &quot;-&quot;#&quot; &quot;;&quot; &quot;@&quot; &quot;">
                  <c:v>223217.82178217825</c:v>
                </c:pt>
                <c:pt idx="12" formatCode="&quot; &quot;* #,##0.00&quot; &quot;;&quot; &quot;* &quot;(&quot;#,##0.00&quot;)&quot;;&quot; &quot;* &quot;-&quot;#&quot; &quot;;&quot; &quot;@&quot; &quot;">
                  <c:v>661746.51920372469</c:v>
                </c:pt>
                <c:pt idx="13" formatCode="&quot; &quot;* #,##0.00&quot; &quot;;&quot; &quot;* &quot;(&quot;#,##0.00&quot;)&quot;;&quot; &quot;* &quot;-&quot;#&quot; &quot;;&quot; &quot;@&quot; &quot;">
                  <c:v>1370636.8949831617</c:v>
                </c:pt>
                <c:pt idx="14" formatCode="&quot; &quot;* #,##0.00&quot; &quot;;&quot; &quot;* &quot;(&quot;#,##0.00&quot;)&quot;;&quot; &quot;* &quot;-&quot;#&quot; &quot;;&quot; &quot;@&quot; &quot;">
                  <c:v>3343222.7234063949</c:v>
                </c:pt>
                <c:pt idx="15" formatCode="&quot; &quot;* #,##0.00&quot; &quot;;&quot; &quot;* &quot;(&quot;#,##0.00&quot;)&quot;;&quot; &quot;* &quot;-&quot;#&quot; &quot;;&quot; &quot;@&quot; &quot;">
                  <c:v>6184463.4086942654</c:v>
                </c:pt>
                <c:pt idx="16" formatCode="&quot; &quot;* #,##0.00&quot; &quot;;&quot; &quot;* &quot;(&quot;#,##0.00&quot;)&quot;;&quot; &quot;* &quot;-&quot;#&quot; &quot;;&quot; &quot;@&quot; &quot;">
                  <c:v>10659305.502383951</c:v>
                </c:pt>
                <c:pt idx="17" formatCode="&quot; &quot;* #,##0.00&quot; &quot;;&quot; &quot;* &quot;(&quot;#,##0.00&quot;)&quot;;&quot; &quot;* &quot;-&quot;#&quot; &quot;;&quot; &quot;@&quot; &quot;">
                  <c:v>24949141.498145055</c:v>
                </c:pt>
                <c:pt idx="18" formatCode="&quot; &quot;* #,##0.00&quot; &quot;;&quot; &quot;* &quot;(&quot;#,##0.00&quot;)&quot;;&quot; &quot;* &quot;-&quot;#&quot; &quot;;&quot; &quot;@&quot; &quot;">
                  <c:v>35923809.489073247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A-4ABC-9A90-1E8316D9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10000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Aptos Narrow"/>
              </a:rPr>
              <a:t>Constant Current Mode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'Analog Circuits Reference'!$Q$6:$Q$24</c:f>
              <c:numCache>
                <c:formatCode>0.00000</c:formatCode>
                <c:ptCount val="19"/>
                <c:pt idx="0">
                  <c:v>4.5867919921874998E-4</c:v>
                </c:pt>
                <c:pt idx="1">
                  <c:v>5.0454711914062495E-3</c:v>
                </c:pt>
                <c:pt idx="2">
                  <c:v>2.5074462890625E-2</c:v>
                </c:pt>
                <c:pt idx="3">
                  <c:v>5.0148925781249999E-2</c:v>
                </c:pt>
                <c:pt idx="4">
                  <c:v>0.10014495849609374</c:v>
                </c:pt>
                <c:pt idx="5">
                  <c:v>0.25043884277343748</c:v>
                </c:pt>
                <c:pt idx="6">
                  <c:v>0.50103057861328126</c:v>
                </c:pt>
                <c:pt idx="7">
                  <c:v>1.2524999999999999</c:v>
                </c:pt>
                <c:pt idx="8">
                  <c:v>2.5049999999999999</c:v>
                </c:pt>
                <c:pt idx="9">
                  <c:v>3.7574999999999998</c:v>
                </c:pt>
                <c:pt idx="10">
                  <c:v>4.5089694213867189</c:v>
                </c:pt>
                <c:pt idx="11">
                  <c:v>4.7595611572265621</c:v>
                </c:pt>
                <c:pt idx="12">
                  <c:v>4.9098550415039064</c:v>
                </c:pt>
                <c:pt idx="13">
                  <c:v>4.9598510742187498</c:v>
                </c:pt>
                <c:pt idx="14">
                  <c:v>5.0049545288085939</c:v>
                </c:pt>
                <c:pt idx="16">
                  <c:v>3.9077938842773436</c:v>
                </c:pt>
              </c:numCache>
            </c:numRef>
          </c:xVal>
          <c:yVal>
            <c:numRef>
              <c:f>'Analog Circuits Reference'!$R$6:$R$24</c:f>
              <c:numCache>
                <c:formatCode>0.0000</c:formatCode>
                <c:ptCount val="19"/>
                <c:pt idx="0">
                  <c:v>2.2935553909649759E-2</c:v>
                </c:pt>
                <c:pt idx="1">
                  <c:v>0.25246656150407948</c:v>
                </c:pt>
                <c:pt idx="2">
                  <c:v>1.2585044054421513</c:v>
                </c:pt>
                <c:pt idx="3">
                  <c:v>2.5266445481413391</c:v>
                </c:pt>
                <c:pt idx="4">
                  <c:v>5.0843958969374929</c:v>
                </c:pt>
                <c:pt idx="5">
                  <c:v>13.01583149902803</c:v>
                </c:pt>
                <c:pt idx="6" formatCode="0.00">
                  <c:v>27.109513020773523</c:v>
                </c:pt>
                <c:pt idx="7" formatCode="0.00">
                  <c:v>77.293127629733519</c:v>
                </c:pt>
                <c:pt idx="8" formatCode="0.00">
                  <c:v>201.86813186813185</c:v>
                </c:pt>
                <c:pt idx="9" formatCode="0.00">
                  <c:v>436.22691292875982</c:v>
                </c:pt>
                <c:pt idx="10" formatCode="0.00">
                  <c:v>711.59165450578678</c:v>
                </c:pt>
                <c:pt idx="11" formatCode="0.00">
                  <c:v>853.4134062927493</c:v>
                </c:pt>
                <c:pt idx="12" formatCode="0.00">
                  <c:v>958.64686372108815</c:v>
                </c:pt>
                <c:pt idx="13" formatCode="0.00">
                  <c:v>997.92819344899181</c:v>
                </c:pt>
                <c:pt idx="14" formatCode="0.00">
                  <c:v>1035.4783135261723</c:v>
                </c:pt>
                <c:pt idx="16" formatCode="0.00">
                  <c:v>479.00195095774444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D-46D1-94B4-C87DA316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2847"/>
        <c:axId val="54609311"/>
      </c:scatterChart>
      <c:valAx>
        <c:axId val="54609311"/>
        <c:scaling>
          <c:logBase val="10"/>
          <c:orientation val="minMax"/>
          <c:max val="5000"/>
          <c:min val="1.0000000000000002E-2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54222847"/>
        <c:crosses val="autoZero"/>
        <c:crossBetween val="midCat"/>
      </c:valAx>
      <c:valAx>
        <c:axId val="1654222847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609311"/>
        <c:crossesAt val="1.0000000000000002E-2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460371</xdr:colOff>
      <xdr:row>24</xdr:row>
      <xdr:rowOff>128582</xdr:rowOff>
    </xdr:from>
    <xdr:ext cx="5419721" cy="2938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B37E-549F-4AA1-8C2C-4C20E69EB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</xdr:col>
      <xdr:colOff>69850</xdr:colOff>
      <xdr:row>24</xdr:row>
      <xdr:rowOff>44450</xdr:rowOff>
    </xdr:from>
    <xdr:ext cx="5419721" cy="293846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A1643-9A60-4B48-B188-420181581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DF20-7FDE-4BA9-9F8D-AB6D662DC6CF}" name="Table1" displayName="Table1" ref="A2:P36" totalsRowShown="0" headerRowDxfId="10" dataDxfId="9" dataCellStyle="Currency">
  <autoFilter ref="A2:P36" xr:uid="{38D7DF20-7FDE-4BA9-9F8D-AB6D662DC6CF}"/>
  <sortState xmlns:xlrd2="http://schemas.microsoft.com/office/spreadsheetml/2017/richdata2" ref="A3:N36">
    <sortCondition ref="A2:A36"/>
  </sortState>
  <tableColumns count="16">
    <tableColumn id="1" xr3:uid="{8CAD429C-36CF-498D-849C-0098ABC75B14}" name="Reference"/>
    <tableColumn id="2" xr3:uid="{3C383277-BB03-4B26-B59D-271900A735A1}" name="Value" dataDxfId="8"/>
    <tableColumn id="14" xr3:uid="{CAAC0085-7017-44AA-889F-0E7E133EA370}" name="Original"/>
    <tableColumn id="3" xr3:uid="{A6C4183F-E75A-4F46-A769-E53158F7359F}" name="Datasheet"/>
    <tableColumn id="4" xr3:uid="{31A095E3-5BAC-44AF-97E9-A3A12486DC0F}" name="Footprint"/>
    <tableColumn id="5" xr3:uid="{647E944E-F081-491C-98C8-2D51872ADDA4}" name="Qty"/>
    <tableColumn id="6" xr3:uid="{344C4C17-3DB6-42D6-8CE5-9610FEABE750}" name="DNP"/>
    <tableColumn id="7" xr3:uid="{2B35823C-0E02-441E-BB51-3B294540CD99}" name="Description" dataDxfId="7"/>
    <tableColumn id="8" xr3:uid="{9C8BB37C-C19E-4E26-9F8E-90B9F913B7AD}" name="Function" dataDxfId="6"/>
    <tableColumn id="9" xr3:uid="{775B051F-40A1-4EF8-947C-8B73B649F287}" name="Purchase Link"/>
    <tableColumn id="10" xr3:uid="{B9BBEBB7-78B1-46DB-8422-ED127E3B15E2}" name="Cost " dataDxfId="5" dataCellStyle="Currency"/>
    <tableColumn id="11" xr3:uid="{38477E8E-9034-4597-8EB9-23EE541B3E96}" name="Qty2"/>
    <tableColumn id="12" xr3:uid="{161B492C-27E0-41C6-8A4B-F71EC65AAC28}" name="Cost each" dataDxfId="4" dataCellStyle="Currency">
      <calculatedColumnFormula>K3/L3</calculatedColumnFormula>
    </tableColumn>
    <tableColumn id="13" xr3:uid="{86FE0A09-CD2A-4CEF-A252-4872B68E7831}" name="Cost / DMM" dataDxfId="3" dataCellStyle="Currency">
      <calculatedColumnFormula>M3*F3</calculatedColumnFormula>
    </tableColumn>
    <tableColumn id="15" xr3:uid="{8C8B0D17-5597-4557-93A5-0A15D8997CE9}" name="QTY On Hand" dataDxfId="2" dataCellStyle="Currency"/>
    <tableColumn id="16" xr3:uid="{1F1B8FA7-C668-418C-9C32-F86E0ACAF2EE}" name="Builds Possible" dataDxfId="1" dataCellStyle="Currency">
      <calculatedColumnFormula>ROUNDDOWN(Table1[[#This Row],[QTY On Hand]]/Table1[[#This Row],[Qty]],0)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m/en/products/detail/samsung-electro-mechanics/CL21B104KACNNNC/38867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en/products/detail/samsung-electro-mechanics/CL21A475KAQNNNG/3894439" TargetMode="External"/><Relationship Id="rId1" Type="http://schemas.openxmlformats.org/officeDocument/2006/relationships/hyperlink" Target="https://www.digikey.com/en/products/detail/yageo/RC0402JR-0710KL/726418" TargetMode="External"/><Relationship Id="rId6" Type="http://schemas.openxmlformats.org/officeDocument/2006/relationships/hyperlink" Target="https://www.digikey.com/en/products/detail/susumu/RR1220P-223-D/432323" TargetMode="External"/><Relationship Id="rId5" Type="http://schemas.openxmlformats.org/officeDocument/2006/relationships/hyperlink" Target="https://www.digikey.com/en/products/detail/microchip-technology/MCP1253-33X50I-MS/529833" TargetMode="External"/><Relationship Id="rId4" Type="http://schemas.openxmlformats.org/officeDocument/2006/relationships/hyperlink" Target="https://www.digikey.com/en/products/detail/texas-instruments/ADS1115IDGSR/2231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F7E5-8FFC-4F13-8BB7-D25F071FB544}">
  <dimension ref="A1:T54"/>
  <sheetViews>
    <sheetView workbookViewId="0">
      <selection activeCell="E51" sqref="E51"/>
    </sheetView>
  </sheetViews>
  <sheetFormatPr defaultRowHeight="14.5" x14ac:dyDescent="0.35"/>
  <cols>
    <col min="1" max="4" width="8.7265625" style="15" customWidth="1"/>
    <col min="5" max="5" width="9.08984375" style="15" bestFit="1" customWidth="1"/>
    <col min="6" max="9" width="8.7265625" style="15" customWidth="1"/>
    <col min="10" max="10" width="9.81640625" style="15" customWidth="1"/>
    <col min="11" max="11" width="15" style="15" customWidth="1"/>
    <col min="12" max="12" width="8.26953125" style="15" customWidth="1"/>
    <col min="13" max="13" width="10.1796875" style="15" customWidth="1"/>
    <col min="14" max="14" width="7.453125" style="15" customWidth="1"/>
    <col min="15" max="16" width="8.7265625" style="15" customWidth="1"/>
    <col min="17" max="17" width="11.1796875" style="15" customWidth="1"/>
    <col min="18" max="18" width="9.08984375" style="15" bestFit="1" customWidth="1"/>
    <col min="19" max="19" width="7.7265625" style="15" customWidth="1"/>
    <col min="20" max="20" width="9.08984375" style="15" bestFit="1" customWidth="1"/>
    <col min="21" max="21" width="8.7265625" style="15" customWidth="1"/>
    <col min="22" max="16384" width="8.7265625" style="15"/>
  </cols>
  <sheetData>
    <row r="1" spans="1:20" x14ac:dyDescent="0.35">
      <c r="H1" s="43" t="s">
        <v>33</v>
      </c>
      <c r="I1" s="43"/>
      <c r="J1" s="43"/>
      <c r="K1" s="43"/>
      <c r="L1" s="43"/>
      <c r="M1" s="43"/>
      <c r="O1" s="17" t="s">
        <v>34</v>
      </c>
    </row>
    <row r="2" spans="1:20" x14ac:dyDescent="0.35">
      <c r="H2" s="15" t="s">
        <v>35</v>
      </c>
      <c r="I2" s="15" t="s">
        <v>36</v>
      </c>
      <c r="J2" s="16" t="s">
        <v>37</v>
      </c>
      <c r="K2" s="16"/>
      <c r="L2" s="16"/>
      <c r="M2" s="16" t="s">
        <v>38</v>
      </c>
      <c r="P2" s="17"/>
      <c r="Q2" s="15" t="s">
        <v>39</v>
      </c>
      <c r="R2" s="15" t="s">
        <v>40</v>
      </c>
    </row>
    <row r="3" spans="1:20" x14ac:dyDescent="0.35">
      <c r="H3" s="15">
        <v>15</v>
      </c>
      <c r="I3" s="15">
        <v>5.01</v>
      </c>
      <c r="J3" s="15">
        <v>5.0199999999999996</v>
      </c>
      <c r="M3" s="15">
        <v>75000</v>
      </c>
      <c r="Q3" s="15">
        <v>330</v>
      </c>
      <c r="R3" s="15">
        <v>0.02</v>
      </c>
    </row>
    <row r="5" spans="1:20" x14ac:dyDescent="0.35">
      <c r="A5" s="15" t="s">
        <v>41</v>
      </c>
      <c r="B5" s="15">
        <v>10</v>
      </c>
      <c r="C5" s="15">
        <v>12</v>
      </c>
      <c r="D5" s="15">
        <v>14</v>
      </c>
      <c r="E5" s="15">
        <v>15</v>
      </c>
      <c r="F5" s="15">
        <v>16</v>
      </c>
      <c r="H5" s="17" t="s">
        <v>42</v>
      </c>
      <c r="I5" s="17" t="s">
        <v>43</v>
      </c>
      <c r="J5" s="17" t="s">
        <v>44</v>
      </c>
      <c r="K5" s="17" t="s">
        <v>45</v>
      </c>
      <c r="L5" s="17" t="s">
        <v>46</v>
      </c>
      <c r="M5" s="17" t="s">
        <v>47</v>
      </c>
      <c r="N5" s="17"/>
      <c r="O5" s="17" t="s">
        <v>42</v>
      </c>
      <c r="P5" s="17" t="s">
        <v>43</v>
      </c>
      <c r="Q5" s="17" t="s">
        <v>44</v>
      </c>
      <c r="R5" s="17" t="s">
        <v>45</v>
      </c>
      <c r="S5" s="17" t="s">
        <v>47</v>
      </c>
      <c r="T5" s="17" t="s">
        <v>48</v>
      </c>
    </row>
    <row r="6" spans="1:20" x14ac:dyDescent="0.35">
      <c r="A6" s="15" t="s">
        <v>49</v>
      </c>
      <c r="B6" s="15">
        <f>2^B5</f>
        <v>1024</v>
      </c>
      <c r="C6" s="15">
        <f>2^C5</f>
        <v>4096</v>
      </c>
      <c r="D6" s="15">
        <f>2^D5</f>
        <v>16384</v>
      </c>
      <c r="E6" s="15">
        <f>2^E5</f>
        <v>32768</v>
      </c>
      <c r="F6" s="15">
        <f>2^F5</f>
        <v>65536</v>
      </c>
      <c r="H6" s="15">
        <v>1E-3</v>
      </c>
      <c r="I6" s="15">
        <f t="shared" ref="I6:I24" si="0">ROUND((2^$H$3)*(H6/100),0)</f>
        <v>0</v>
      </c>
      <c r="J6" s="18">
        <f t="shared" ref="J6:J24" si="1">I6*$I$3/(2^$H$3)</f>
        <v>0</v>
      </c>
      <c r="K6" s="19">
        <f t="shared" ref="K6:K24" si="2">M$3*($J6/($J$3-$J6))</f>
        <v>0</v>
      </c>
      <c r="L6" s="20">
        <f t="shared" ref="L6:L24" si="3">($I$3/($M$3+K6))*1000</f>
        <v>6.6799999999999998E-2</v>
      </c>
      <c r="M6" s="20">
        <f t="shared" ref="M6:M24" si="4">J6*L6</f>
        <v>0</v>
      </c>
      <c r="N6" s="20"/>
      <c r="O6" s="15">
        <v>0.01</v>
      </c>
      <c r="P6" s="15">
        <f t="shared" ref="P6:P22" si="5">ROUND((2^$H$3)*(O6/100),0)</f>
        <v>3</v>
      </c>
      <c r="Q6" s="18">
        <f t="shared" ref="Q6:Q22" si="6">P6*$I$3/(2^$H$3)</f>
        <v>4.5867919921874998E-4</v>
      </c>
      <c r="R6" s="21">
        <f t="shared" ref="R6:R22" si="7">Q6/($R$3-(Q6/$Q$3))</f>
        <v>2.2935553909649759E-2</v>
      </c>
      <c r="S6" s="20">
        <f t="shared" ref="S6:S20" si="8">($R$3*Q6)*1000</f>
        <v>9.173583984374999E-3</v>
      </c>
      <c r="T6" s="21">
        <f t="shared" ref="T6:T20" si="9">Q6/R6</f>
        <v>1.9998610063032669E-2</v>
      </c>
    </row>
    <row r="7" spans="1:20" x14ac:dyDescent="0.35">
      <c r="A7" s="15" t="s">
        <v>50</v>
      </c>
      <c r="B7" s="22">
        <f>$D15/B6</f>
        <v>2.5000000000000001E-4</v>
      </c>
      <c r="C7" s="22">
        <f>$D15/C6</f>
        <v>6.2500000000000001E-5</v>
      </c>
      <c r="D7" s="22">
        <f>$D15/D6</f>
        <v>1.5625E-5</v>
      </c>
      <c r="E7" s="22">
        <f>$D15/E6</f>
        <v>7.8125000000000002E-6</v>
      </c>
      <c r="F7" s="22">
        <f>$D15/F6</f>
        <v>3.9062500000000001E-6</v>
      </c>
      <c r="H7" s="15">
        <v>5.0000000000000001E-3</v>
      </c>
      <c r="I7" s="15">
        <f t="shared" si="0"/>
        <v>2</v>
      </c>
      <c r="J7" s="18">
        <f t="shared" si="1"/>
        <v>3.0578613281249999E-4</v>
      </c>
      <c r="K7" s="23">
        <f t="shared" si="2"/>
        <v>4.5687962222043614</v>
      </c>
      <c r="L7" s="20">
        <f t="shared" si="3"/>
        <v>6.6795930973372136E-2</v>
      </c>
      <c r="M7" s="20">
        <f t="shared" si="4"/>
        <v>2.0425269419958154E-5</v>
      </c>
      <c r="N7" s="20"/>
      <c r="O7" s="15">
        <v>0.1</v>
      </c>
      <c r="P7" s="15">
        <f t="shared" si="5"/>
        <v>33</v>
      </c>
      <c r="Q7" s="18">
        <f t="shared" si="6"/>
        <v>5.0454711914062495E-3</v>
      </c>
      <c r="R7" s="21">
        <f t="shared" si="7"/>
        <v>0.25246656150407948</v>
      </c>
      <c r="S7" s="20">
        <f t="shared" si="8"/>
        <v>0.10090942382812498</v>
      </c>
      <c r="T7" s="21">
        <f t="shared" si="9"/>
        <v>1.9984710693359376E-2</v>
      </c>
    </row>
    <row r="8" spans="1:20" x14ac:dyDescent="0.35">
      <c r="A8" s="15" t="s">
        <v>51</v>
      </c>
      <c r="B8" s="15" t="str">
        <f>_xlfn.TEXTJOIN(" ",TRUE,(ROUND(B7*1000,3)),"mV")</f>
        <v>0.25 mV</v>
      </c>
      <c r="C8" s="15" t="str">
        <f>_xlfn.TEXTJOIN(" ",TRUE,(ROUND(C7*1000,3)),"mV")</f>
        <v>0.063 mV</v>
      </c>
      <c r="D8" s="15" t="str">
        <f>_xlfn.TEXTJOIN(" ",TRUE,(ROUND(D7*1000,3)),"mV")</f>
        <v>0.016 mV</v>
      </c>
      <c r="E8" s="15" t="str">
        <f>_xlfn.TEXTJOIN(" ",TRUE,(ROUND(E7*1000,3)),"mV")</f>
        <v>0.008 mV</v>
      </c>
      <c r="F8" s="15" t="str">
        <f>_xlfn.TEXTJOIN(" ",TRUE,(ROUND(F7*1000,3)),"mV")</f>
        <v>0.004 mV</v>
      </c>
      <c r="H8" s="15">
        <v>0.01</v>
      </c>
      <c r="I8" s="15">
        <f t="shared" si="0"/>
        <v>3</v>
      </c>
      <c r="J8" s="18">
        <f t="shared" si="1"/>
        <v>4.5867919921874998E-4</v>
      </c>
      <c r="K8" s="23">
        <f t="shared" si="2"/>
        <v>6.8534030786538436</v>
      </c>
      <c r="L8" s="20">
        <f t="shared" si="3"/>
        <v>6.6793896460058205E-2</v>
      </c>
      <c r="M8" s="20">
        <f t="shared" si="4"/>
        <v>3.0636970940999594E-5</v>
      </c>
      <c r="N8" s="20"/>
      <c r="O8" s="15">
        <v>0.5</v>
      </c>
      <c r="P8" s="15">
        <f t="shared" si="5"/>
        <v>164</v>
      </c>
      <c r="Q8" s="18">
        <f t="shared" si="6"/>
        <v>2.5074462890625E-2</v>
      </c>
      <c r="R8" s="21">
        <f t="shared" si="7"/>
        <v>1.2585044054421513</v>
      </c>
      <c r="S8" s="20">
        <f t="shared" si="8"/>
        <v>0.50148925781249998</v>
      </c>
      <c r="T8" s="21">
        <f t="shared" si="9"/>
        <v>1.9924016779119317E-2</v>
      </c>
    </row>
    <row r="9" spans="1:20" x14ac:dyDescent="0.35">
      <c r="H9" s="15">
        <v>0.05</v>
      </c>
      <c r="I9" s="15">
        <f t="shared" si="0"/>
        <v>16</v>
      </c>
      <c r="J9" s="18">
        <f t="shared" si="1"/>
        <v>2.4462890624999999E-3</v>
      </c>
      <c r="K9" s="23">
        <f t="shared" si="2"/>
        <v>36.565962271128214</v>
      </c>
      <c r="L9" s="20">
        <f t="shared" si="3"/>
        <v>6.6767447786977088E-2</v>
      </c>
      <c r="M9" s="20">
        <f t="shared" si="4"/>
        <v>1.6333247725232186E-4</v>
      </c>
      <c r="N9" s="20"/>
      <c r="O9" s="15">
        <v>1</v>
      </c>
      <c r="P9" s="15">
        <f t="shared" si="5"/>
        <v>328</v>
      </c>
      <c r="Q9" s="18">
        <f t="shared" si="6"/>
        <v>5.0148925781249999E-2</v>
      </c>
      <c r="R9" s="21">
        <f t="shared" si="7"/>
        <v>2.5266445481413391</v>
      </c>
      <c r="S9" s="20">
        <f t="shared" si="8"/>
        <v>1.002978515625</v>
      </c>
      <c r="T9" s="21">
        <f t="shared" si="9"/>
        <v>1.9848033558238637E-2</v>
      </c>
    </row>
    <row r="10" spans="1:20" x14ac:dyDescent="0.35">
      <c r="H10" s="15">
        <v>0.1</v>
      </c>
      <c r="I10" s="15">
        <f t="shared" si="0"/>
        <v>33</v>
      </c>
      <c r="J10" s="18">
        <f t="shared" si="1"/>
        <v>5.0454711914062495E-3</v>
      </c>
      <c r="K10" s="23">
        <f t="shared" si="2"/>
        <v>75.456384934634272</v>
      </c>
      <c r="L10" s="20">
        <f t="shared" si="3"/>
        <v>6.6732861060640247E-2</v>
      </c>
      <c r="M10" s="20">
        <f t="shared" si="4"/>
        <v>3.3669872800157625E-4</v>
      </c>
      <c r="N10" s="20"/>
      <c r="O10" s="15">
        <v>2</v>
      </c>
      <c r="P10" s="15">
        <f t="shared" si="5"/>
        <v>655</v>
      </c>
      <c r="Q10" s="18">
        <f t="shared" si="6"/>
        <v>0.10014495849609374</v>
      </c>
      <c r="R10" s="21">
        <f t="shared" si="7"/>
        <v>5.0843958969374929</v>
      </c>
      <c r="S10" s="20">
        <f t="shared" si="8"/>
        <v>2.002899169921875</v>
      </c>
      <c r="T10" s="21">
        <f t="shared" si="9"/>
        <v>1.9696530428799715E-2</v>
      </c>
    </row>
    <row r="11" spans="1:20" x14ac:dyDescent="0.35">
      <c r="A11" s="15" t="s">
        <v>52</v>
      </c>
      <c r="H11" s="15">
        <v>1</v>
      </c>
      <c r="I11" s="15">
        <f t="shared" si="0"/>
        <v>328</v>
      </c>
      <c r="J11" s="18">
        <f t="shared" si="1"/>
        <v>5.0148925781249999E-2</v>
      </c>
      <c r="K11" s="23">
        <f t="shared" si="2"/>
        <v>756.79721130979726</v>
      </c>
      <c r="L11" s="20">
        <f t="shared" si="3"/>
        <v>6.6132679633030378E-2</v>
      </c>
      <c r="M11" s="20">
        <f t="shared" si="4"/>
        <v>3.316482842632024E-3</v>
      </c>
      <c r="N11" s="20"/>
      <c r="O11" s="15">
        <v>5</v>
      </c>
      <c r="P11" s="15">
        <f t="shared" si="5"/>
        <v>1638</v>
      </c>
      <c r="Q11" s="18">
        <f t="shared" si="6"/>
        <v>0.25043884277343748</v>
      </c>
      <c r="R11" s="21">
        <f t="shared" si="7"/>
        <v>13.01583149902803</v>
      </c>
      <c r="S11" s="20">
        <f t="shared" si="8"/>
        <v>5.0087768554687502</v>
      </c>
      <c r="T11" s="21">
        <f t="shared" si="9"/>
        <v>1.9241094415838069E-2</v>
      </c>
    </row>
    <row r="12" spans="1:20" x14ac:dyDescent="0.35">
      <c r="H12" s="15">
        <v>2</v>
      </c>
      <c r="I12" s="15">
        <f t="shared" si="0"/>
        <v>655</v>
      </c>
      <c r="J12" s="18">
        <f t="shared" si="1"/>
        <v>0.10014495849609374</v>
      </c>
      <c r="K12" s="23">
        <f t="shared" si="2"/>
        <v>1526.6449567813079</v>
      </c>
      <c r="L12" s="20">
        <f t="shared" si="3"/>
        <v>6.5467393779374689E-2</v>
      </c>
      <c r="M12" s="20">
        <f t="shared" si="4"/>
        <v>6.5562294328829034E-3</v>
      </c>
      <c r="N12" s="20"/>
      <c r="O12" s="15">
        <v>10</v>
      </c>
      <c r="P12" s="15">
        <f t="shared" si="5"/>
        <v>3277</v>
      </c>
      <c r="Q12" s="18">
        <f t="shared" si="6"/>
        <v>0.50103057861328126</v>
      </c>
      <c r="R12" s="20">
        <f t="shared" si="7"/>
        <v>27.109513020773523</v>
      </c>
      <c r="S12" s="20">
        <f t="shared" si="8"/>
        <v>10.020611572265626</v>
      </c>
      <c r="T12" s="21">
        <f t="shared" si="9"/>
        <v>1.8481725519353693E-2</v>
      </c>
    </row>
    <row r="13" spans="1:20" x14ac:dyDescent="0.35">
      <c r="H13" s="15">
        <v>5</v>
      </c>
      <c r="I13" s="15">
        <f t="shared" si="0"/>
        <v>1638</v>
      </c>
      <c r="J13" s="18">
        <f t="shared" si="1"/>
        <v>0.25043884277343748</v>
      </c>
      <c r="K13" s="23">
        <f t="shared" si="2"/>
        <v>3938.0799593163892</v>
      </c>
      <c r="L13" s="20">
        <f t="shared" si="3"/>
        <v>6.3467467191779758E-2</v>
      </c>
      <c r="M13" s="20">
        <f t="shared" si="4"/>
        <v>1.5894719037270431E-2</v>
      </c>
      <c r="N13" s="20"/>
      <c r="O13" s="15">
        <v>25</v>
      </c>
      <c r="P13" s="15">
        <f t="shared" si="5"/>
        <v>8192</v>
      </c>
      <c r="Q13" s="18">
        <f t="shared" si="6"/>
        <v>1.2524999999999999</v>
      </c>
      <c r="R13" s="20">
        <f t="shared" si="7"/>
        <v>77.293127629733519</v>
      </c>
      <c r="S13" s="20">
        <f t="shared" si="8"/>
        <v>25.05</v>
      </c>
      <c r="T13" s="21">
        <f t="shared" si="9"/>
        <v>1.6204545454545454E-2</v>
      </c>
    </row>
    <row r="14" spans="1:20" x14ac:dyDescent="0.35">
      <c r="C14" s="15" t="s">
        <v>53</v>
      </c>
      <c r="D14" s="15">
        <v>120</v>
      </c>
      <c r="H14" s="15">
        <v>10</v>
      </c>
      <c r="I14" s="15">
        <f t="shared" si="0"/>
        <v>3277</v>
      </c>
      <c r="J14" s="18">
        <f t="shared" si="1"/>
        <v>0.50103057861328126</v>
      </c>
      <c r="K14" s="19">
        <f t="shared" si="2"/>
        <v>8315.456444152016</v>
      </c>
      <c r="L14" s="20">
        <f t="shared" si="3"/>
        <v>6.0132899870245574E-2</v>
      </c>
      <c r="M14" s="20">
        <f t="shared" si="4"/>
        <v>3.0128421615683645E-2</v>
      </c>
      <c r="N14" s="20"/>
      <c r="O14" s="15">
        <v>50</v>
      </c>
      <c r="P14" s="15">
        <f t="shared" si="5"/>
        <v>16384</v>
      </c>
      <c r="Q14" s="18">
        <f t="shared" si="6"/>
        <v>2.5049999999999999</v>
      </c>
      <c r="R14" s="20">
        <f t="shared" si="7"/>
        <v>201.86813186813185</v>
      </c>
      <c r="S14" s="20">
        <f t="shared" si="8"/>
        <v>50.1</v>
      </c>
      <c r="T14" s="21">
        <f t="shared" si="9"/>
        <v>1.240909090909091E-2</v>
      </c>
    </row>
    <row r="15" spans="1:20" x14ac:dyDescent="0.35">
      <c r="C15" s="15" t="s">
        <v>54</v>
      </c>
      <c r="D15" s="15">
        <v>0.25600000000000001</v>
      </c>
      <c r="H15" s="15">
        <v>25</v>
      </c>
      <c r="I15" s="15">
        <f t="shared" si="0"/>
        <v>8192</v>
      </c>
      <c r="J15" s="18">
        <f t="shared" si="1"/>
        <v>1.2524999999999999</v>
      </c>
      <c r="K15" s="19">
        <f t="shared" si="2"/>
        <v>24933.642999336429</v>
      </c>
      <c r="L15" s="20">
        <f t="shared" si="3"/>
        <v>5.0133266932270916E-2</v>
      </c>
      <c r="M15" s="20">
        <f t="shared" si="4"/>
        <v>6.2791916832669326E-2</v>
      </c>
      <c r="N15" s="20"/>
      <c r="O15" s="15">
        <v>75</v>
      </c>
      <c r="P15" s="15">
        <f t="shared" si="5"/>
        <v>24576</v>
      </c>
      <c r="Q15" s="18">
        <f t="shared" si="6"/>
        <v>3.7574999999999998</v>
      </c>
      <c r="R15" s="20">
        <f t="shared" si="7"/>
        <v>436.22691292875982</v>
      </c>
      <c r="S15" s="20">
        <f t="shared" si="8"/>
        <v>75.149999999999991</v>
      </c>
      <c r="T15" s="21">
        <f t="shared" si="9"/>
        <v>8.613636363636365E-3</v>
      </c>
    </row>
    <row r="16" spans="1:20" x14ac:dyDescent="0.35">
      <c r="H16" s="15">
        <v>50</v>
      </c>
      <c r="I16" s="15">
        <f t="shared" si="0"/>
        <v>16384</v>
      </c>
      <c r="J16" s="18">
        <f t="shared" si="1"/>
        <v>2.5049999999999999</v>
      </c>
      <c r="K16" s="19">
        <f t="shared" si="2"/>
        <v>74701.789264413528</v>
      </c>
      <c r="L16" s="20">
        <f t="shared" si="3"/>
        <v>3.3466533864541827E-2</v>
      </c>
      <c r="M16" s="20">
        <f t="shared" si="4"/>
        <v>8.3833667330677278E-2</v>
      </c>
      <c r="N16" s="20"/>
      <c r="O16" s="15">
        <v>90</v>
      </c>
      <c r="P16" s="15">
        <f t="shared" si="5"/>
        <v>29491</v>
      </c>
      <c r="Q16" s="18">
        <f t="shared" si="6"/>
        <v>4.5089694213867189</v>
      </c>
      <c r="R16" s="20">
        <f t="shared" si="7"/>
        <v>711.59165450578678</v>
      </c>
      <c r="S16" s="20">
        <f t="shared" si="8"/>
        <v>90.179388427734381</v>
      </c>
      <c r="T16" s="21">
        <f t="shared" si="9"/>
        <v>6.3364562988281244E-3</v>
      </c>
    </row>
    <row r="17" spans="8:20" x14ac:dyDescent="0.35">
      <c r="H17" s="15">
        <v>75</v>
      </c>
      <c r="I17" s="15">
        <f t="shared" si="0"/>
        <v>24576</v>
      </c>
      <c r="J17" s="18">
        <f t="shared" si="1"/>
        <v>3.7574999999999998</v>
      </c>
      <c r="K17" s="19">
        <f t="shared" si="2"/>
        <v>223217.82178217825</v>
      </c>
      <c r="L17" s="20">
        <f t="shared" si="3"/>
        <v>1.6799800796812748E-2</v>
      </c>
      <c r="M17" s="20">
        <f t="shared" si="4"/>
        <v>6.3125251494023898E-2</v>
      </c>
      <c r="N17" s="20"/>
      <c r="O17" s="15">
        <v>95</v>
      </c>
      <c r="P17" s="15">
        <f t="shared" si="5"/>
        <v>31130</v>
      </c>
      <c r="Q17" s="18">
        <f t="shared" si="6"/>
        <v>4.7595611572265621</v>
      </c>
      <c r="R17" s="20">
        <f t="shared" si="7"/>
        <v>853.4134062927493</v>
      </c>
      <c r="S17" s="20">
        <f t="shared" si="8"/>
        <v>95.191223144531236</v>
      </c>
      <c r="T17" s="21">
        <f t="shared" si="9"/>
        <v>5.5770874023437517E-3</v>
      </c>
    </row>
    <row r="18" spans="8:20" x14ac:dyDescent="0.35">
      <c r="H18" s="15">
        <v>90</v>
      </c>
      <c r="I18" s="15">
        <f t="shared" si="0"/>
        <v>29491</v>
      </c>
      <c r="J18" s="18">
        <f t="shared" si="1"/>
        <v>4.5089694213867189</v>
      </c>
      <c r="K18" s="19">
        <f t="shared" si="2"/>
        <v>661746.51920372469</v>
      </c>
      <c r="L18" s="20">
        <f t="shared" si="3"/>
        <v>6.800167858838079E-3</v>
      </c>
      <c r="M18" s="20">
        <f t="shared" si="4"/>
        <v>3.0661748935797695E-2</v>
      </c>
      <c r="N18" s="20"/>
      <c r="O18" s="15">
        <v>98</v>
      </c>
      <c r="P18" s="15">
        <f t="shared" si="5"/>
        <v>32113</v>
      </c>
      <c r="Q18" s="18">
        <f t="shared" si="6"/>
        <v>4.9098550415039064</v>
      </c>
      <c r="R18" s="20">
        <f t="shared" si="7"/>
        <v>958.64686372108815</v>
      </c>
      <c r="S18" s="20">
        <f t="shared" si="8"/>
        <v>98.197100830078128</v>
      </c>
      <c r="T18" s="21">
        <f t="shared" si="9"/>
        <v>5.1216513893821026E-3</v>
      </c>
    </row>
    <row r="19" spans="8:20" x14ac:dyDescent="0.35">
      <c r="H19" s="15">
        <v>95</v>
      </c>
      <c r="I19" s="15">
        <f t="shared" si="0"/>
        <v>31130</v>
      </c>
      <c r="J19" s="18">
        <f t="shared" si="1"/>
        <v>4.7595611572265621</v>
      </c>
      <c r="K19" s="19">
        <f t="shared" si="2"/>
        <v>1370636.8949831617</v>
      </c>
      <c r="L19" s="20">
        <f t="shared" si="3"/>
        <v>3.4656005373039089E-3</v>
      </c>
      <c r="M19" s="20">
        <f t="shared" si="4"/>
        <v>1.6494737703815189E-2</v>
      </c>
      <c r="N19" s="20"/>
      <c r="O19" s="15">
        <v>99</v>
      </c>
      <c r="P19" s="15">
        <f t="shared" si="5"/>
        <v>32440</v>
      </c>
      <c r="Q19" s="18">
        <f t="shared" si="6"/>
        <v>4.9598510742187498</v>
      </c>
      <c r="R19" s="20">
        <f t="shared" si="7"/>
        <v>997.92819344899181</v>
      </c>
      <c r="S19" s="20">
        <f t="shared" si="8"/>
        <v>99.197021484375</v>
      </c>
      <c r="T19" s="21">
        <f t="shared" si="9"/>
        <v>4.9701482599431822E-3</v>
      </c>
    </row>
    <row r="20" spans="8:20" x14ac:dyDescent="0.35">
      <c r="H20" s="15">
        <v>98</v>
      </c>
      <c r="I20" s="15">
        <f t="shared" si="0"/>
        <v>32113</v>
      </c>
      <c r="J20" s="18">
        <f t="shared" si="1"/>
        <v>4.9098550415039064</v>
      </c>
      <c r="K20" s="19">
        <f t="shared" si="2"/>
        <v>3343222.7234063949</v>
      </c>
      <c r="L20" s="20">
        <f t="shared" si="3"/>
        <v>1.4656739497089693E-3</v>
      </c>
      <c r="M20" s="20">
        <f t="shared" si="4"/>
        <v>7.1962466311795261E-3</v>
      </c>
      <c r="O20" s="15">
        <v>99.9</v>
      </c>
      <c r="P20" s="15">
        <f t="shared" si="5"/>
        <v>32735</v>
      </c>
      <c r="Q20" s="18">
        <f t="shared" si="6"/>
        <v>5.0049545288085939</v>
      </c>
      <c r="R20" s="20">
        <f t="shared" si="7"/>
        <v>1035.4783135261723</v>
      </c>
      <c r="S20" s="20">
        <f t="shared" si="8"/>
        <v>100.09909057617188</v>
      </c>
      <c r="T20" s="21">
        <f t="shared" si="9"/>
        <v>4.833471124822443E-3</v>
      </c>
    </row>
    <row r="21" spans="8:20" x14ac:dyDescent="0.35">
      <c r="H21" s="15">
        <v>99</v>
      </c>
      <c r="I21" s="15">
        <f t="shared" si="0"/>
        <v>32440</v>
      </c>
      <c r="J21" s="18">
        <f t="shared" si="1"/>
        <v>4.9598510742187498</v>
      </c>
      <c r="K21" s="19">
        <f t="shared" si="2"/>
        <v>6184463.4086942654</v>
      </c>
      <c r="L21" s="20">
        <f t="shared" si="3"/>
        <v>8.0038809605328357E-4</v>
      </c>
      <c r="M21" s="20">
        <f t="shared" si="4"/>
        <v>3.9698057580017784E-3</v>
      </c>
    </row>
    <row r="22" spans="8:20" x14ac:dyDescent="0.35">
      <c r="H22" s="15">
        <v>99.5</v>
      </c>
      <c r="I22" s="15">
        <f t="shared" si="0"/>
        <v>32604</v>
      </c>
      <c r="J22" s="18">
        <f t="shared" si="1"/>
        <v>4.9849255371093744</v>
      </c>
      <c r="K22" s="19">
        <f t="shared" si="2"/>
        <v>10659305.502383951</v>
      </c>
      <c r="L22" s="20">
        <f t="shared" si="3"/>
        <v>4.6672791256847901E-4</v>
      </c>
      <c r="M22" s="20">
        <f t="shared" si="4"/>
        <v>2.3266038902443622E-3</v>
      </c>
      <c r="O22" s="15">
        <v>78</v>
      </c>
      <c r="P22" s="15">
        <f t="shared" si="5"/>
        <v>25559</v>
      </c>
      <c r="Q22" s="18">
        <f t="shared" si="6"/>
        <v>3.9077938842773436</v>
      </c>
      <c r="R22" s="20">
        <f t="shared" si="7"/>
        <v>479.00195095774444</v>
      </c>
      <c r="S22" s="20">
        <f>($R$3*Q22)*1000</f>
        <v>78.155877685546869</v>
      </c>
      <c r="T22" s="21">
        <f>Q22/R22</f>
        <v>8.1582003506747158E-3</v>
      </c>
    </row>
    <row r="23" spans="8:20" x14ac:dyDescent="0.35">
      <c r="H23" s="15">
        <v>99.9</v>
      </c>
      <c r="I23" s="15">
        <f t="shared" si="0"/>
        <v>32735</v>
      </c>
      <c r="J23" s="18">
        <f t="shared" si="1"/>
        <v>5.0049545288085939</v>
      </c>
      <c r="K23" s="19">
        <f t="shared" si="2"/>
        <v>24949141.498145055</v>
      </c>
      <c r="L23" s="20">
        <f t="shared" si="3"/>
        <v>2.0020666844340582E-4</v>
      </c>
      <c r="M23" s="20">
        <f t="shared" si="4"/>
        <v>1.0020252719235047E-3</v>
      </c>
    </row>
    <row r="24" spans="8:20" x14ac:dyDescent="0.35">
      <c r="H24" s="15">
        <v>99.99</v>
      </c>
      <c r="I24" s="15">
        <f t="shared" si="0"/>
        <v>32765</v>
      </c>
      <c r="J24" s="18">
        <f t="shared" si="1"/>
        <v>5.0095413208007811</v>
      </c>
      <c r="K24" s="19">
        <f t="shared" si="2"/>
        <v>35923809.489073247</v>
      </c>
      <c r="L24" s="20">
        <f t="shared" si="3"/>
        <v>1.3917126902545735E-4</v>
      </c>
      <c r="M24" s="20">
        <f t="shared" si="4"/>
        <v>6.9718422285131043E-4</v>
      </c>
    </row>
    <row r="45" spans="3:5" x14ac:dyDescent="0.35">
      <c r="C45" s="15" t="s">
        <v>252</v>
      </c>
    </row>
    <row r="47" spans="3:5" x14ac:dyDescent="0.35">
      <c r="C47" s="15" t="s">
        <v>253</v>
      </c>
      <c r="E47" s="15" t="s">
        <v>254</v>
      </c>
    </row>
    <row r="48" spans="3:5" x14ac:dyDescent="0.35">
      <c r="C48" s="15">
        <v>500000</v>
      </c>
      <c r="E48" s="15">
        <v>44000</v>
      </c>
    </row>
    <row r="50" spans="2:10" x14ac:dyDescent="0.35">
      <c r="B50" s="15" t="s">
        <v>259</v>
      </c>
      <c r="C50" s="15" t="s">
        <v>132</v>
      </c>
      <c r="D50" s="15" t="s">
        <v>255</v>
      </c>
      <c r="E50" s="15" t="s">
        <v>256</v>
      </c>
      <c r="F50" s="15" t="s">
        <v>255</v>
      </c>
      <c r="G50" s="15" t="s">
        <v>258</v>
      </c>
      <c r="H50" s="15" t="s">
        <v>257</v>
      </c>
    </row>
    <row r="51" spans="2:10" x14ac:dyDescent="0.35">
      <c r="B51" s="15">
        <v>50</v>
      </c>
      <c r="C51" s="15">
        <f>C48</f>
        <v>500000</v>
      </c>
      <c r="D51" s="15">
        <f>B51*((E51+G51)/(C51+E51+G51))</f>
        <v>26.053639846743295</v>
      </c>
      <c r="E51" s="15">
        <v>44000</v>
      </c>
      <c r="F51" s="15">
        <f>B51*((G51)/(C51+E51+G51))</f>
        <v>23.946360153256705</v>
      </c>
      <c r="G51" s="15">
        <f>C48</f>
        <v>500000</v>
      </c>
      <c r="H51" s="15">
        <v>0</v>
      </c>
    </row>
    <row r="53" spans="2:10" x14ac:dyDescent="0.35">
      <c r="G53" s="15" t="s">
        <v>260</v>
      </c>
      <c r="J53" s="15" t="s">
        <v>261</v>
      </c>
    </row>
    <row r="54" spans="2:10" x14ac:dyDescent="0.35">
      <c r="G54" s="15">
        <f>D51-F51</f>
        <v>2.1072796934865892</v>
      </c>
      <c r="J54" s="15">
        <f>(C51+G51)/E51</f>
        <v>22.727272727272727</v>
      </c>
    </row>
  </sheetData>
  <mergeCells count="1">
    <mergeCell ref="H1:M1"/>
  </mergeCells>
  <pageMargins left="0.70000000000000007" right="0.70000000000000007" top="0.75" bottom="0.75" header="0.30000000000000004" footer="0.30000000000000004"/>
  <ignoredErrors>
    <ignoredError sqref="D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8753-48D8-45C9-9873-856BE8983C8C}">
  <dimension ref="B2:AA29"/>
  <sheetViews>
    <sheetView tabSelected="1" topLeftCell="N1" zoomScaleNormal="100" workbookViewId="0">
      <selection activeCell="T30" sqref="T30"/>
    </sheetView>
  </sheetViews>
  <sheetFormatPr defaultRowHeight="14.5" x14ac:dyDescent="0.35"/>
  <cols>
    <col min="3" max="3" width="8.7265625" customWidth="1"/>
    <col min="4" max="4" width="13" customWidth="1"/>
    <col min="5" max="5" width="11.54296875" customWidth="1"/>
    <col min="6" max="6" width="9.90625" customWidth="1"/>
    <col min="7" max="18" width="8.7265625" customWidth="1"/>
  </cols>
  <sheetData>
    <row r="2" spans="2:27" x14ac:dyDescent="0.35">
      <c r="B2" t="s">
        <v>0</v>
      </c>
    </row>
    <row r="3" spans="2:27" ht="19" thickBot="1" x14ac:dyDescent="0.5">
      <c r="B3" s="45" t="s">
        <v>29</v>
      </c>
      <c r="C3" s="45"/>
      <c r="D3" s="45"/>
      <c r="E3" s="45"/>
      <c r="F3" s="45"/>
      <c r="G3" s="44" t="s">
        <v>21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2:27" ht="29" customHeight="1" x14ac:dyDescent="0.35">
      <c r="B4" s="45"/>
      <c r="C4" s="45"/>
      <c r="D4" s="45"/>
      <c r="E4" s="45"/>
      <c r="F4" s="45"/>
      <c r="G4" s="46" t="s">
        <v>28</v>
      </c>
      <c r="H4" s="47"/>
      <c r="I4" s="48"/>
      <c r="J4" s="46" t="s">
        <v>26</v>
      </c>
      <c r="K4" s="47"/>
      <c r="L4" s="48"/>
      <c r="M4" s="46" t="s">
        <v>22</v>
      </c>
      <c r="N4" s="47"/>
      <c r="O4" s="48"/>
      <c r="P4" s="46" t="s">
        <v>27</v>
      </c>
      <c r="Q4" s="47"/>
      <c r="R4" s="48"/>
      <c r="S4" s="46" t="s">
        <v>249</v>
      </c>
      <c r="T4" s="47"/>
      <c r="U4" s="48"/>
      <c r="V4" s="46" t="s">
        <v>249</v>
      </c>
      <c r="W4" s="47"/>
      <c r="X4" s="48"/>
      <c r="Y4" s="46" t="s">
        <v>262</v>
      </c>
      <c r="Z4" s="47"/>
      <c r="AA4" s="48"/>
    </row>
    <row r="5" spans="2:27" s="5" customFormat="1" ht="29" x14ac:dyDescent="0.35">
      <c r="B5" s="5" t="s">
        <v>3</v>
      </c>
      <c r="C5" s="5" t="s">
        <v>2</v>
      </c>
      <c r="D5" s="5" t="s">
        <v>1</v>
      </c>
      <c r="E5" s="5" t="s">
        <v>19</v>
      </c>
      <c r="F5" s="5" t="s">
        <v>20</v>
      </c>
      <c r="G5" s="6" t="s">
        <v>25</v>
      </c>
      <c r="H5" s="5" t="s">
        <v>23</v>
      </c>
      <c r="I5" s="7" t="s">
        <v>24</v>
      </c>
      <c r="J5" s="6" t="s">
        <v>25</v>
      </c>
      <c r="K5" s="5" t="s">
        <v>23</v>
      </c>
      <c r="L5" s="7" t="s">
        <v>24</v>
      </c>
      <c r="M5" s="6" t="s">
        <v>25</v>
      </c>
      <c r="N5" s="5" t="s">
        <v>23</v>
      </c>
      <c r="O5" s="7" t="s">
        <v>24</v>
      </c>
      <c r="P5" s="6" t="s">
        <v>25</v>
      </c>
      <c r="Q5" s="5" t="s">
        <v>23</v>
      </c>
      <c r="R5" s="7" t="s">
        <v>24</v>
      </c>
      <c r="S5" s="6" t="s">
        <v>25</v>
      </c>
      <c r="T5" s="5" t="s">
        <v>23</v>
      </c>
      <c r="U5" s="7" t="s">
        <v>24</v>
      </c>
      <c r="V5" s="6" t="s">
        <v>25</v>
      </c>
      <c r="W5" s="5" t="s">
        <v>23</v>
      </c>
      <c r="X5" s="7" t="s">
        <v>24</v>
      </c>
      <c r="Y5" s="6" t="s">
        <v>25</v>
      </c>
      <c r="Z5" s="5" t="s">
        <v>23</v>
      </c>
      <c r="AA5" s="7" t="s">
        <v>24</v>
      </c>
    </row>
    <row r="6" spans="2:27" x14ac:dyDescent="0.35">
      <c r="B6" t="s">
        <v>4</v>
      </c>
      <c r="C6">
        <v>1</v>
      </c>
      <c r="D6" s="2">
        <v>0.5</v>
      </c>
      <c r="E6" s="3">
        <v>0.49099999999999999</v>
      </c>
      <c r="F6" s="4">
        <f t="shared" ref="F6:F20" si="0">(E6/D6)</f>
        <v>0.98199999999999998</v>
      </c>
      <c r="G6" s="8">
        <v>0.5</v>
      </c>
      <c r="H6">
        <f>ROUND($E6/G6,4)</f>
        <v>0.98199999999999998</v>
      </c>
      <c r="I6" s="9" t="str">
        <f>_xlfn.TEXTJOIN("",TRUE,,"CF_",$B6," = ",H6,";")</f>
        <v>CF_A = 0.982;</v>
      </c>
      <c r="J6" s="8">
        <v>0.47491776315789475</v>
      </c>
      <c r="K6">
        <f>ROUND($E6/J6,4)</f>
        <v>1.0339</v>
      </c>
      <c r="L6" s="9" t="str">
        <f>_xlfn.TEXTJOIN("",TRUE,,"CF_",$B6," = ",K6,";")</f>
        <v>CF_A = 1.0339;</v>
      </c>
      <c r="M6">
        <v>0.49759999999999999</v>
      </c>
      <c r="N6">
        <f>ROUND($E6/M6,4)</f>
        <v>0.98670000000000002</v>
      </c>
      <c r="O6" s="9" t="str">
        <f>_xlfn.TEXTJOIN("",TRUE,,"CF_",$B6," = ",N6,";")</f>
        <v>CF_A = 0.9867;</v>
      </c>
      <c r="P6">
        <v>0.49959999999999999</v>
      </c>
      <c r="Q6">
        <f>ROUND($E6/P6,4)</f>
        <v>0.98280000000000001</v>
      </c>
      <c r="R6" s="9" t="str">
        <f>_xlfn.TEXTJOIN("",TRUE,,"CF_",$B6," = ",Q6,";")</f>
        <v>CF_A = 0.9828;</v>
      </c>
      <c r="S6">
        <v>0.50314000000000003</v>
      </c>
      <c r="T6">
        <f>ROUND($E6/S6,4)</f>
        <v>0.97589999999999999</v>
      </c>
      <c r="U6" s="9" t="str">
        <f>_xlfn.TEXTJOIN("",TRUE,,"CF_",$B6," = ",T6,";")</f>
        <v>CF_A = 0.9759;</v>
      </c>
      <c r="V6">
        <v>0.50314000000000003</v>
      </c>
      <c r="W6">
        <f>ROUND($E6/V6,4)</f>
        <v>0.97589999999999999</v>
      </c>
      <c r="X6" s="9" t="str">
        <f>_xlfn.TEXTJOIN("",TRUE,,"CF_",$B6," = ",W6,";")</f>
        <v>CF_A = 0.9759;</v>
      </c>
      <c r="Y6">
        <v>0.5111</v>
      </c>
      <c r="Z6">
        <f>ROUND($E6/Y6,4)</f>
        <v>0.9607</v>
      </c>
      <c r="AA6" s="9" t="str">
        <f>_xlfn.TEXTJOIN("",TRUE,,"CF_",$B6," = ",Z6,";")</f>
        <v>CF_A = 0.9607;</v>
      </c>
    </row>
    <row r="7" spans="2:27" x14ac:dyDescent="0.35">
      <c r="B7" t="s">
        <v>5</v>
      </c>
      <c r="C7">
        <v>2</v>
      </c>
      <c r="D7" s="2">
        <v>1</v>
      </c>
      <c r="E7">
        <v>0.997</v>
      </c>
      <c r="F7" s="4">
        <f t="shared" si="0"/>
        <v>0.997</v>
      </c>
      <c r="G7" s="8">
        <v>1.0173000000000001</v>
      </c>
      <c r="H7">
        <f t="shared" ref="H7:H20" si="1">ROUND($E7/G7,4)</f>
        <v>0.98</v>
      </c>
      <c r="I7" s="9" t="str">
        <f t="shared" ref="I7:I20" si="2">_xlfn.TEXTJOIN("",TRUE,,"CF_",$B7," = ",H7,";")</f>
        <v>CF_B = 0.98;</v>
      </c>
      <c r="J7" s="8">
        <v>0.98664593157419478</v>
      </c>
      <c r="K7">
        <f t="shared" ref="K7:K20" si="3">ROUND($E7/J7,4)</f>
        <v>1.0105</v>
      </c>
      <c r="L7" s="9" t="str">
        <f t="shared" ref="L7:L20" si="4">_xlfn.TEXTJOIN("",TRUE,,"CF_",$B7," = ",K7,";")</f>
        <v>CF_B = 1.0105;</v>
      </c>
      <c r="M7">
        <v>0.99628000000000005</v>
      </c>
      <c r="N7">
        <f t="shared" ref="N7:N20" si="5">ROUND($E7/M7,4)</f>
        <v>1.0006999999999999</v>
      </c>
      <c r="O7" s="9" t="str">
        <f t="shared" ref="O7:O20" si="6">_xlfn.TEXTJOIN("",TRUE,,"CF_",$B7," = ",N7,";")</f>
        <v>CF_B = 1.0007;</v>
      </c>
      <c r="P7">
        <v>1.00118</v>
      </c>
      <c r="Q7">
        <f t="shared" ref="Q7:Q20" si="7">ROUND($E7/P7,4)</f>
        <v>0.99580000000000002</v>
      </c>
      <c r="R7" s="9" t="str">
        <f t="shared" ref="R7:R20" si="8">_xlfn.TEXTJOIN("",TRUE,,"CF_",$B7," = ",Q7,";")</f>
        <v>CF_B = 0.9958;</v>
      </c>
      <c r="S7">
        <v>1.00074</v>
      </c>
      <c r="T7">
        <f t="shared" ref="T7:T20" si="9">ROUND($E7/S7,4)</f>
        <v>0.99629999999999996</v>
      </c>
      <c r="U7" s="9" t="str">
        <f t="shared" ref="U7:U20" si="10">_xlfn.TEXTJOIN("",TRUE,,"CF_",$B7," = ",T7,";")</f>
        <v>CF_B = 0.9963;</v>
      </c>
      <c r="V7">
        <v>1.00074</v>
      </c>
      <c r="W7">
        <f t="shared" ref="W7:W20" si="11">ROUND($E7/V7,4)</f>
        <v>0.99629999999999996</v>
      </c>
      <c r="X7" s="9" t="str">
        <f t="shared" ref="X7:X20" si="12">_xlfn.TEXTJOIN("",TRUE,,"CF_",$B7," = ",W7,";")</f>
        <v>CF_B = 0.9963;</v>
      </c>
      <c r="Y7">
        <v>1.0124</v>
      </c>
      <c r="Z7">
        <f t="shared" ref="Z7:Z20" si="13">ROUND($E7/Y7,4)</f>
        <v>0.98480000000000001</v>
      </c>
      <c r="AA7" s="9" t="str">
        <f t="shared" ref="AA7:AA20" si="14">_xlfn.TEXTJOIN("",TRUE,,"CF_",$B7," = ",Z7,";")</f>
        <v>CF_B = 0.9848;</v>
      </c>
    </row>
    <row r="8" spans="2:27" x14ac:dyDescent="0.35">
      <c r="B8" t="s">
        <v>6</v>
      </c>
      <c r="C8">
        <v>3</v>
      </c>
      <c r="D8" s="2">
        <v>4.7</v>
      </c>
      <c r="E8">
        <v>4.6509999999999998</v>
      </c>
      <c r="F8" s="4">
        <f t="shared" si="0"/>
        <v>0.9895744680851063</v>
      </c>
      <c r="G8" s="8">
        <v>4.7351999999999999</v>
      </c>
      <c r="H8">
        <f t="shared" si="1"/>
        <v>0.98219999999999996</v>
      </c>
      <c r="I8" s="9" t="str">
        <f t="shared" si="2"/>
        <v>CF_C = 0.9822;</v>
      </c>
      <c r="J8" s="8">
        <v>4.6706058788242357</v>
      </c>
      <c r="K8">
        <f t="shared" si="3"/>
        <v>0.99580000000000002</v>
      </c>
      <c r="L8" s="9" t="str">
        <f t="shared" si="4"/>
        <v>CF_C = 0.9958;</v>
      </c>
      <c r="M8">
        <v>4.657</v>
      </c>
      <c r="N8">
        <f t="shared" si="5"/>
        <v>0.99870000000000003</v>
      </c>
      <c r="O8" s="9" t="str">
        <f t="shared" si="6"/>
        <v>CF_C = 0.9987;</v>
      </c>
      <c r="P8">
        <v>4.65158</v>
      </c>
      <c r="Q8">
        <f t="shared" si="7"/>
        <v>0.99990000000000001</v>
      </c>
      <c r="R8" s="9" t="str">
        <f t="shared" si="8"/>
        <v>CF_C = 0.9999;</v>
      </c>
      <c r="S8">
        <v>4.6584199999999996</v>
      </c>
      <c r="T8">
        <f t="shared" si="9"/>
        <v>0.99839999999999995</v>
      </c>
      <c r="U8" s="9" t="str">
        <f t="shared" si="10"/>
        <v>CF_C = 0.9984;</v>
      </c>
      <c r="V8">
        <v>4.6584199999999996</v>
      </c>
      <c r="W8">
        <f t="shared" si="11"/>
        <v>0.99839999999999995</v>
      </c>
      <c r="X8" s="9" t="str">
        <f t="shared" si="12"/>
        <v>CF_C = 0.9984;</v>
      </c>
      <c r="Y8">
        <v>4.6651999999999996</v>
      </c>
      <c r="Z8">
        <f t="shared" si="13"/>
        <v>0.997</v>
      </c>
      <c r="AA8" s="9" t="str">
        <f t="shared" si="14"/>
        <v>CF_C = 0.997;</v>
      </c>
    </row>
    <row r="9" spans="2:27" x14ac:dyDescent="0.35">
      <c r="B9" t="s">
        <v>7</v>
      </c>
      <c r="C9">
        <v>4</v>
      </c>
      <c r="D9" s="1">
        <v>10</v>
      </c>
      <c r="E9">
        <v>10.021000000000001</v>
      </c>
      <c r="F9" s="4">
        <f t="shared" si="0"/>
        <v>1.0021</v>
      </c>
      <c r="G9" s="8">
        <v>10.272</v>
      </c>
      <c r="H9">
        <f t="shared" si="1"/>
        <v>0.97560000000000002</v>
      </c>
      <c r="I9" s="9" t="str">
        <f t="shared" si="2"/>
        <v>CF_D = 0.9756;</v>
      </c>
      <c r="J9" s="8">
        <v>10.148897058823529</v>
      </c>
      <c r="K9">
        <f t="shared" si="3"/>
        <v>0.98740000000000006</v>
      </c>
      <c r="L9" s="9" t="str">
        <f t="shared" si="4"/>
        <v>CF_D = 0.9874;</v>
      </c>
      <c r="M9">
        <v>10.050000000000001</v>
      </c>
      <c r="N9">
        <f t="shared" si="5"/>
        <v>0.99709999999999999</v>
      </c>
      <c r="O9" s="9" t="str">
        <f t="shared" si="6"/>
        <v>CF_D = 0.9971;</v>
      </c>
      <c r="P9">
        <v>10.0425</v>
      </c>
      <c r="Q9">
        <f t="shared" si="7"/>
        <v>0.99790000000000001</v>
      </c>
      <c r="R9" s="9" t="str">
        <f t="shared" si="8"/>
        <v>CF_D = 0.9979;</v>
      </c>
      <c r="S9">
        <v>10.048500000000001</v>
      </c>
      <c r="T9">
        <f t="shared" si="9"/>
        <v>0.99729999999999996</v>
      </c>
      <c r="U9" s="9" t="str">
        <f t="shared" si="10"/>
        <v>CF_D = 0.9973;</v>
      </c>
      <c r="V9">
        <v>10.048500000000001</v>
      </c>
      <c r="W9">
        <f t="shared" si="11"/>
        <v>0.99729999999999996</v>
      </c>
      <c r="X9" s="9" t="str">
        <f t="shared" si="12"/>
        <v>CF_D = 0.9973;</v>
      </c>
      <c r="Y9">
        <v>10.063000000000001</v>
      </c>
      <c r="Z9">
        <f t="shared" si="13"/>
        <v>0.99580000000000002</v>
      </c>
      <c r="AA9" s="9" t="str">
        <f t="shared" si="14"/>
        <v>CF_D = 0.9958;</v>
      </c>
    </row>
    <row r="10" spans="2:27" x14ac:dyDescent="0.35">
      <c r="B10" t="s">
        <v>8</v>
      </c>
      <c r="C10">
        <v>5</v>
      </c>
      <c r="D10" s="1">
        <v>33</v>
      </c>
      <c r="E10">
        <v>32.909999999999997</v>
      </c>
      <c r="F10" s="4">
        <f t="shared" si="0"/>
        <v>0.9972727272727272</v>
      </c>
      <c r="G10" s="8">
        <v>30.748999999999999</v>
      </c>
      <c r="H10">
        <f t="shared" si="1"/>
        <v>1.0703</v>
      </c>
      <c r="I10" s="9" t="str">
        <f t="shared" si="2"/>
        <v>CF_E = 1.0703;</v>
      </c>
      <c r="J10" s="8">
        <v>34.039317123642007</v>
      </c>
      <c r="K10">
        <f t="shared" si="3"/>
        <v>0.96679999999999999</v>
      </c>
      <c r="L10" s="9" t="str">
        <f t="shared" si="4"/>
        <v>CF_E = 0.9668;</v>
      </c>
      <c r="M10">
        <v>33.07</v>
      </c>
      <c r="N10">
        <f t="shared" si="5"/>
        <v>0.99519999999999997</v>
      </c>
      <c r="O10" s="9" t="str">
        <f t="shared" si="6"/>
        <v>CF_E = 0.9952;</v>
      </c>
      <c r="P10">
        <v>33.062600000000003</v>
      </c>
      <c r="Q10" s="24">
        <f t="shared" si="7"/>
        <v>0.99539999999999995</v>
      </c>
      <c r="R10" s="9" t="str">
        <f t="shared" si="8"/>
        <v>CF_E = 0.9954;</v>
      </c>
      <c r="S10">
        <v>33.064799999999998</v>
      </c>
      <c r="T10" s="24">
        <f t="shared" si="9"/>
        <v>0.99529999999999996</v>
      </c>
      <c r="U10" s="9" t="str">
        <f t="shared" si="10"/>
        <v>CF_E = 0.9953;</v>
      </c>
      <c r="V10">
        <v>33.064799999999998</v>
      </c>
      <c r="W10" s="24">
        <f t="shared" si="11"/>
        <v>0.99529999999999996</v>
      </c>
      <c r="X10" s="9" t="str">
        <f t="shared" si="12"/>
        <v>CF_E = 0.9953;</v>
      </c>
      <c r="Y10">
        <v>33.128</v>
      </c>
      <c r="Z10" s="24">
        <f t="shared" si="13"/>
        <v>0.99339999999999995</v>
      </c>
      <c r="AA10" s="9" t="str">
        <f t="shared" si="14"/>
        <v>CF_E = 0.9934;</v>
      </c>
    </row>
    <row r="11" spans="2:27" x14ac:dyDescent="0.35">
      <c r="B11" t="s">
        <v>9</v>
      </c>
      <c r="C11">
        <v>6</v>
      </c>
      <c r="D11" s="1">
        <v>100</v>
      </c>
      <c r="E11">
        <v>99.49</v>
      </c>
      <c r="F11" s="4">
        <f t="shared" si="0"/>
        <v>0.9948999999999999</v>
      </c>
      <c r="G11" s="8">
        <v>98.221000000000004</v>
      </c>
      <c r="H11">
        <f t="shared" si="1"/>
        <v>1.0128999999999999</v>
      </c>
      <c r="I11" s="9" t="str">
        <f t="shared" si="2"/>
        <v>CF_F = 1.0129;</v>
      </c>
      <c r="J11" s="8">
        <v>98.200177672490383</v>
      </c>
      <c r="K11">
        <f t="shared" si="3"/>
        <v>1.0130999999999999</v>
      </c>
      <c r="L11" s="9" t="str">
        <f t="shared" si="4"/>
        <v>CF_F = 1.0131;</v>
      </c>
      <c r="M11">
        <v>99.88</v>
      </c>
      <c r="N11">
        <f t="shared" si="5"/>
        <v>0.99609999999999999</v>
      </c>
      <c r="O11" s="9" t="str">
        <f t="shared" si="6"/>
        <v>CF_F = 0.9961;</v>
      </c>
      <c r="P11">
        <v>99.843900000000005</v>
      </c>
      <c r="Q11">
        <f t="shared" si="7"/>
        <v>0.99650000000000005</v>
      </c>
      <c r="R11" s="9" t="str">
        <f t="shared" si="8"/>
        <v>CF_F = 0.9965;</v>
      </c>
      <c r="S11">
        <v>99.837199999999996</v>
      </c>
      <c r="T11">
        <f t="shared" si="9"/>
        <v>0.99650000000000005</v>
      </c>
      <c r="U11" s="9" t="str">
        <f t="shared" si="10"/>
        <v>CF_F = 0.9965;</v>
      </c>
      <c r="V11">
        <v>99.837199999999996</v>
      </c>
      <c r="W11">
        <f t="shared" si="11"/>
        <v>0.99650000000000005</v>
      </c>
      <c r="X11" s="9" t="str">
        <f t="shared" si="12"/>
        <v>CF_F = 0.9965;</v>
      </c>
      <c r="Y11">
        <v>99.84</v>
      </c>
      <c r="Z11">
        <f t="shared" si="13"/>
        <v>0.99650000000000005</v>
      </c>
      <c r="AA11" s="9" t="str">
        <f t="shared" si="14"/>
        <v>CF_F = 0.9965;</v>
      </c>
    </row>
    <row r="12" spans="2:27" x14ac:dyDescent="0.35">
      <c r="B12" t="s">
        <v>10</v>
      </c>
      <c r="C12">
        <v>7</v>
      </c>
      <c r="D12" s="1">
        <v>330</v>
      </c>
      <c r="E12">
        <v>331.5</v>
      </c>
      <c r="F12" s="4">
        <f t="shared" si="0"/>
        <v>1.0045454545454546</v>
      </c>
      <c r="G12" s="8">
        <v>329.4</v>
      </c>
      <c r="H12">
        <f t="shared" si="1"/>
        <v>1.0064</v>
      </c>
      <c r="I12" s="9" t="str">
        <f t="shared" si="2"/>
        <v>CF_G = 1.0064;</v>
      </c>
      <c r="J12" s="8">
        <v>330.07413344019238</v>
      </c>
      <c r="K12">
        <f t="shared" si="3"/>
        <v>1.0043</v>
      </c>
      <c r="L12" s="9" t="str">
        <f t="shared" si="4"/>
        <v>CF_G = 1.0043;</v>
      </c>
      <c r="M12">
        <v>332.5</v>
      </c>
      <c r="N12">
        <f t="shared" si="5"/>
        <v>0.997</v>
      </c>
      <c r="O12" s="9" t="str">
        <f t="shared" si="6"/>
        <v>CF_G = 0.997;</v>
      </c>
      <c r="P12">
        <v>332.18</v>
      </c>
      <c r="Q12">
        <f t="shared" si="7"/>
        <v>0.998</v>
      </c>
      <c r="R12" s="9" t="str">
        <f t="shared" si="8"/>
        <v>CF_G = 0.998;</v>
      </c>
      <c r="S12">
        <v>332.38</v>
      </c>
      <c r="T12">
        <f t="shared" si="9"/>
        <v>0.99739999999999995</v>
      </c>
      <c r="U12" s="9" t="str">
        <f t="shared" si="10"/>
        <v>CF_G = 0.9974;</v>
      </c>
      <c r="V12">
        <v>332.38</v>
      </c>
      <c r="W12">
        <f t="shared" si="11"/>
        <v>0.99739999999999995</v>
      </c>
      <c r="X12" s="9" t="str">
        <f t="shared" si="12"/>
        <v>CF_G = 0.9974;</v>
      </c>
      <c r="Y12">
        <v>332.09</v>
      </c>
      <c r="Z12">
        <f t="shared" si="13"/>
        <v>0.99819999999999998</v>
      </c>
      <c r="AA12" s="9" t="str">
        <f t="shared" si="14"/>
        <v>CF_G = 0.9982;</v>
      </c>
    </row>
    <row r="13" spans="2:27" x14ac:dyDescent="0.35">
      <c r="B13" t="s">
        <v>11</v>
      </c>
      <c r="C13">
        <v>8</v>
      </c>
      <c r="D13" s="1">
        <v>1000</v>
      </c>
      <c r="E13" s="2">
        <v>1000.1</v>
      </c>
      <c r="F13" s="4">
        <f t="shared" si="0"/>
        <v>1.0001</v>
      </c>
      <c r="G13" s="8">
        <v>1000.492</v>
      </c>
      <c r="H13">
        <f t="shared" si="1"/>
        <v>0.99960000000000004</v>
      </c>
      <c r="I13" s="9" t="str">
        <f t="shared" si="2"/>
        <v>CF_H = 0.9996;</v>
      </c>
      <c r="J13" s="8">
        <v>999.77907907907911</v>
      </c>
      <c r="K13">
        <f t="shared" si="3"/>
        <v>1.0003</v>
      </c>
      <c r="L13" s="9" t="str">
        <f t="shared" si="4"/>
        <v>CF_H = 1.0003;</v>
      </c>
      <c r="M13">
        <v>995.67759999999998</v>
      </c>
      <c r="N13">
        <f t="shared" si="5"/>
        <v>1.0044</v>
      </c>
      <c r="O13" s="9" t="str">
        <f t="shared" si="6"/>
        <v>CF_H = 1.0044;</v>
      </c>
      <c r="P13">
        <v>996.72630000000004</v>
      </c>
      <c r="Q13">
        <f t="shared" si="7"/>
        <v>1.0034000000000001</v>
      </c>
      <c r="R13" s="9" t="str">
        <f t="shared" si="8"/>
        <v>CF_H = 1.0034;</v>
      </c>
      <c r="S13">
        <v>996.75030000000004</v>
      </c>
      <c r="T13">
        <f t="shared" si="9"/>
        <v>1.0034000000000001</v>
      </c>
      <c r="U13" s="9" t="str">
        <f t="shared" si="10"/>
        <v>CF_H = 1.0034;</v>
      </c>
      <c r="V13">
        <v>996.75030000000004</v>
      </c>
      <c r="W13">
        <f t="shared" si="11"/>
        <v>1.0034000000000001</v>
      </c>
      <c r="X13" s="9" t="str">
        <f t="shared" si="12"/>
        <v>CF_H = 1.0034;</v>
      </c>
      <c r="Y13">
        <v>997.34690000000001</v>
      </c>
      <c r="Z13">
        <f t="shared" si="13"/>
        <v>1.0027999999999999</v>
      </c>
      <c r="AA13" s="9" t="str">
        <f t="shared" si="14"/>
        <v>CF_H = 1.0028;</v>
      </c>
    </row>
    <row r="14" spans="2:27" x14ac:dyDescent="0.35">
      <c r="B14" t="s">
        <v>12</v>
      </c>
      <c r="C14">
        <v>9</v>
      </c>
      <c r="D14" s="1">
        <v>3000</v>
      </c>
      <c r="E14" s="1">
        <v>3002</v>
      </c>
      <c r="F14" s="4">
        <f t="shared" si="0"/>
        <v>1.0006666666666666</v>
      </c>
      <c r="G14" s="8">
        <v>3004.04</v>
      </c>
      <c r="H14">
        <f t="shared" si="1"/>
        <v>0.99929999999999997</v>
      </c>
      <c r="I14" s="9" t="str">
        <f t="shared" si="2"/>
        <v>CF_I = 0.9993;</v>
      </c>
      <c r="J14" s="8">
        <v>3004.8323479306541</v>
      </c>
      <c r="K14">
        <f t="shared" si="3"/>
        <v>0.99909999999999999</v>
      </c>
      <c r="L14" s="9" t="str">
        <f t="shared" si="4"/>
        <v>CF_I = 0.9991;</v>
      </c>
      <c r="M14">
        <v>2992.8353999999999</v>
      </c>
      <c r="N14">
        <f t="shared" si="5"/>
        <v>1.0031000000000001</v>
      </c>
      <c r="O14" s="9" t="str">
        <f t="shared" si="6"/>
        <v>CF_I = 1.0031;</v>
      </c>
      <c r="P14">
        <v>2995.6271999999999</v>
      </c>
      <c r="Q14">
        <f t="shared" si="7"/>
        <v>1.0021</v>
      </c>
      <c r="R14" s="9" t="str">
        <f t="shared" si="8"/>
        <v>CF_I = 1.0021;</v>
      </c>
      <c r="S14">
        <v>2996.7166000000002</v>
      </c>
      <c r="T14">
        <f t="shared" si="9"/>
        <v>1.0018</v>
      </c>
      <c r="U14" s="9" t="str">
        <f t="shared" si="10"/>
        <v>CF_I = 1.0018;</v>
      </c>
      <c r="V14">
        <v>2996.7166000000002</v>
      </c>
      <c r="W14">
        <f t="shared" si="11"/>
        <v>1.0018</v>
      </c>
      <c r="X14" s="9" t="str">
        <f t="shared" si="12"/>
        <v>CF_I = 1.0018;</v>
      </c>
      <c r="Y14">
        <v>2998.3438000000001</v>
      </c>
      <c r="Z14">
        <f t="shared" si="13"/>
        <v>1.0012000000000001</v>
      </c>
      <c r="AA14" s="9" t="str">
        <f t="shared" si="14"/>
        <v>CF_I = 1.0012;</v>
      </c>
    </row>
    <row r="15" spans="2:27" x14ac:dyDescent="0.35">
      <c r="B15" t="s">
        <v>13</v>
      </c>
      <c r="C15">
        <v>10</v>
      </c>
      <c r="D15" s="1">
        <v>10000</v>
      </c>
      <c r="E15" s="1">
        <v>9928</v>
      </c>
      <c r="F15" s="4">
        <f t="shared" si="0"/>
        <v>0.99280000000000002</v>
      </c>
      <c r="G15" s="8">
        <v>9945.82</v>
      </c>
      <c r="H15">
        <f t="shared" si="1"/>
        <v>0.99819999999999998</v>
      </c>
      <c r="I15" s="9" t="str">
        <f t="shared" si="2"/>
        <v>CF_J = 0.9982;</v>
      </c>
      <c r="J15" s="8">
        <v>9944.4669256824072</v>
      </c>
      <c r="K15">
        <f t="shared" si="3"/>
        <v>0.99829999999999997</v>
      </c>
      <c r="L15" s="9" t="str">
        <f t="shared" si="4"/>
        <v>CF_J = 0.9983;</v>
      </c>
      <c r="M15">
        <v>9905.3516</v>
      </c>
      <c r="N15">
        <f t="shared" si="5"/>
        <v>1.0023</v>
      </c>
      <c r="O15" s="9" t="str">
        <f t="shared" si="6"/>
        <v>CF_J = 1.0023;</v>
      </c>
      <c r="P15">
        <v>9916.1718999999994</v>
      </c>
      <c r="Q15">
        <f t="shared" si="7"/>
        <v>1.0012000000000001</v>
      </c>
      <c r="R15" s="9" t="str">
        <f t="shared" si="8"/>
        <v>CF_J = 1.0012;</v>
      </c>
      <c r="S15">
        <v>9905.1982000000007</v>
      </c>
      <c r="T15">
        <f t="shared" si="9"/>
        <v>1.0023</v>
      </c>
      <c r="U15" s="9" t="str">
        <f t="shared" si="10"/>
        <v>CF_J = 1.0023;</v>
      </c>
      <c r="V15">
        <v>9905.1982000000007</v>
      </c>
      <c r="W15">
        <f t="shared" si="11"/>
        <v>1.0023</v>
      </c>
      <c r="X15" s="9" t="str">
        <f t="shared" si="12"/>
        <v>CF_J = 1.0023;</v>
      </c>
      <c r="Y15">
        <v>9923.2988000000005</v>
      </c>
      <c r="Z15">
        <f t="shared" si="13"/>
        <v>1.0004999999999999</v>
      </c>
      <c r="AA15" s="9" t="str">
        <f t="shared" si="14"/>
        <v>CF_J = 1.0005;</v>
      </c>
    </row>
    <row r="16" spans="2:27" x14ac:dyDescent="0.35">
      <c r="B16" t="s">
        <v>14</v>
      </c>
      <c r="C16">
        <v>11</v>
      </c>
      <c r="D16" s="1">
        <v>33000</v>
      </c>
      <c r="E16" s="1">
        <v>32970</v>
      </c>
      <c r="F16" s="4">
        <f t="shared" si="0"/>
        <v>0.99909090909090914</v>
      </c>
      <c r="G16" s="8">
        <v>33081.32</v>
      </c>
      <c r="H16">
        <f t="shared" si="1"/>
        <v>0.99660000000000004</v>
      </c>
      <c r="I16" s="9" t="str">
        <f t="shared" si="2"/>
        <v>CF_K = 0.9966;</v>
      </c>
      <c r="J16" s="8">
        <v>33002.208613593015</v>
      </c>
      <c r="K16">
        <f t="shared" si="3"/>
        <v>0.999</v>
      </c>
      <c r="L16" s="9" t="str">
        <f t="shared" si="4"/>
        <v>CF_K = 0.999;</v>
      </c>
      <c r="M16">
        <v>32825.832000000002</v>
      </c>
      <c r="N16">
        <f t="shared" si="5"/>
        <v>1.0044</v>
      </c>
      <c r="O16" s="9" t="str">
        <f t="shared" si="6"/>
        <v>CF_K = 1.0044;</v>
      </c>
      <c r="P16">
        <v>32868.027300000002</v>
      </c>
      <c r="Q16">
        <f t="shared" si="7"/>
        <v>1.0031000000000001</v>
      </c>
      <c r="R16" s="9" t="str">
        <f t="shared" si="8"/>
        <v>CF_K = 1.0031;</v>
      </c>
      <c r="S16">
        <v>32883.457000000002</v>
      </c>
      <c r="T16">
        <f t="shared" si="9"/>
        <v>1.0025999999999999</v>
      </c>
      <c r="U16" s="9" t="str">
        <f t="shared" si="10"/>
        <v>CF_K = 1.0026;</v>
      </c>
      <c r="V16">
        <v>32883.457000000002</v>
      </c>
      <c r="W16">
        <f t="shared" si="11"/>
        <v>1.0025999999999999</v>
      </c>
      <c r="X16" s="9" t="str">
        <f t="shared" si="12"/>
        <v>CF_K = 1.0026;</v>
      </c>
      <c r="Y16">
        <v>32913.148399999998</v>
      </c>
      <c r="Z16">
        <f t="shared" si="13"/>
        <v>1.0017</v>
      </c>
      <c r="AA16" s="9" t="str">
        <f t="shared" si="14"/>
        <v>CF_K = 1.0017;</v>
      </c>
    </row>
    <row r="17" spans="2:27" x14ac:dyDescent="0.35">
      <c r="B17" t="s">
        <v>15</v>
      </c>
      <c r="C17">
        <v>12</v>
      </c>
      <c r="D17" s="1">
        <v>100000</v>
      </c>
      <c r="E17" s="1">
        <v>100090</v>
      </c>
      <c r="F17" s="4">
        <f t="shared" si="0"/>
        <v>1.0008999999999999</v>
      </c>
      <c r="G17" s="8">
        <v>100973.83</v>
      </c>
      <c r="H17">
        <f t="shared" si="1"/>
        <v>0.99119999999999997</v>
      </c>
      <c r="I17" s="9" t="str">
        <f t="shared" si="2"/>
        <v>CF_L = 0.9912;</v>
      </c>
      <c r="J17" s="8">
        <v>100404.04011751595</v>
      </c>
      <c r="K17">
        <f t="shared" si="3"/>
        <v>0.99690000000000001</v>
      </c>
      <c r="L17" s="9" t="str">
        <f t="shared" si="4"/>
        <v>CF_L = 0.9969;</v>
      </c>
      <c r="M17">
        <v>99177.039000000004</v>
      </c>
      <c r="N17">
        <f t="shared" si="5"/>
        <v>1.0092000000000001</v>
      </c>
      <c r="O17" s="9" t="str">
        <f t="shared" si="6"/>
        <v>CF_L = 1.0092;</v>
      </c>
      <c r="P17">
        <v>99363.991999999998</v>
      </c>
      <c r="Q17">
        <f t="shared" si="7"/>
        <v>1.0073000000000001</v>
      </c>
      <c r="R17" s="9" t="str">
        <f t="shared" si="8"/>
        <v>CF_L = 1.0073;</v>
      </c>
      <c r="S17">
        <v>99464.57</v>
      </c>
      <c r="T17">
        <f t="shared" si="9"/>
        <v>1.0063</v>
      </c>
      <c r="U17" s="9" t="str">
        <f t="shared" si="10"/>
        <v>CF_L = 1.0063;</v>
      </c>
      <c r="V17">
        <v>99464.57</v>
      </c>
      <c r="W17">
        <f t="shared" si="11"/>
        <v>1.0063</v>
      </c>
      <c r="X17" s="9" t="str">
        <f t="shared" si="12"/>
        <v>CF_L = 1.0063;</v>
      </c>
      <c r="Y17">
        <v>99742.68</v>
      </c>
      <c r="Z17">
        <f t="shared" si="13"/>
        <v>1.0035000000000001</v>
      </c>
      <c r="AA17" s="9" t="str">
        <f t="shared" si="14"/>
        <v>CF_L = 1.0035;</v>
      </c>
    </row>
    <row r="18" spans="2:27" x14ac:dyDescent="0.35">
      <c r="B18" t="s">
        <v>16</v>
      </c>
      <c r="C18">
        <v>13</v>
      </c>
      <c r="D18" s="1">
        <v>333000</v>
      </c>
      <c r="E18" s="1">
        <v>326400</v>
      </c>
      <c r="F18" s="4">
        <f t="shared" si="0"/>
        <v>0.98018018018018016</v>
      </c>
      <c r="G18" s="8">
        <v>336925.69</v>
      </c>
      <c r="H18">
        <f t="shared" si="1"/>
        <v>0.96879999999999999</v>
      </c>
      <c r="I18" s="9" t="str">
        <f t="shared" si="2"/>
        <v>CF_M = 0.9688;</v>
      </c>
      <c r="J18" s="8">
        <v>327829.5945808292</v>
      </c>
      <c r="K18">
        <f t="shared" si="3"/>
        <v>0.99560000000000004</v>
      </c>
      <c r="L18" s="9" t="str">
        <f t="shared" si="4"/>
        <v>CF_M = 0.9956;</v>
      </c>
      <c r="M18">
        <v>319441.65600000002</v>
      </c>
      <c r="N18">
        <f t="shared" si="5"/>
        <v>1.0218</v>
      </c>
      <c r="O18" s="9" t="str">
        <f t="shared" si="6"/>
        <v>CF_M = 1.0218;</v>
      </c>
      <c r="P18">
        <v>320741.84399999998</v>
      </c>
      <c r="Q18">
        <f t="shared" si="7"/>
        <v>1.0176000000000001</v>
      </c>
      <c r="R18" s="9" t="str">
        <f t="shared" si="8"/>
        <v>CF_M = 1.0176;</v>
      </c>
      <c r="S18">
        <v>321344</v>
      </c>
      <c r="T18">
        <f t="shared" si="9"/>
        <v>1.0157</v>
      </c>
      <c r="U18" s="9" t="str">
        <f t="shared" si="10"/>
        <v>CF_M = 1.0157;</v>
      </c>
      <c r="V18">
        <v>321344</v>
      </c>
      <c r="W18">
        <f t="shared" si="11"/>
        <v>1.0157</v>
      </c>
      <c r="X18" s="9" t="str">
        <f t="shared" si="12"/>
        <v>CF_M = 1.0157;</v>
      </c>
      <c r="Y18">
        <v>323954.875</v>
      </c>
      <c r="Z18">
        <f t="shared" si="13"/>
        <v>1.0075000000000001</v>
      </c>
      <c r="AA18" s="9" t="str">
        <f t="shared" si="14"/>
        <v>CF_M = 1.0075;</v>
      </c>
    </row>
    <row r="19" spans="2:27" x14ac:dyDescent="0.35">
      <c r="B19" t="s">
        <v>17</v>
      </c>
      <c r="C19">
        <v>14</v>
      </c>
      <c r="D19" s="1">
        <v>1000000</v>
      </c>
      <c r="E19" s="1">
        <v>1038500</v>
      </c>
      <c r="F19" s="4">
        <f t="shared" si="0"/>
        <v>1.0385</v>
      </c>
      <c r="G19" s="8">
        <v>1144097.75</v>
      </c>
      <c r="H19">
        <f t="shared" si="1"/>
        <v>0.90769999999999995</v>
      </c>
      <c r="I19" s="9" t="str">
        <f t="shared" si="2"/>
        <v>CF_N = 0.9077;</v>
      </c>
      <c r="J19" s="8">
        <v>1078753.7799488252</v>
      </c>
      <c r="K19">
        <f t="shared" si="3"/>
        <v>0.9627</v>
      </c>
      <c r="L19" s="9" t="str">
        <f t="shared" si="4"/>
        <v>CF_N = 0.9627;</v>
      </c>
      <c r="M19">
        <v>968296.4375</v>
      </c>
      <c r="N19">
        <f t="shared" si="5"/>
        <v>1.0725</v>
      </c>
      <c r="O19" s="9" t="str">
        <f t="shared" si="6"/>
        <v>CF_N = 1.0725;</v>
      </c>
      <c r="P19">
        <v>978735.125</v>
      </c>
      <c r="Q19">
        <f t="shared" si="7"/>
        <v>1.0610999999999999</v>
      </c>
      <c r="R19" s="9" t="str">
        <f t="shared" si="8"/>
        <v>CF_N = 1.0611;</v>
      </c>
      <c r="S19">
        <v>980444.875</v>
      </c>
      <c r="T19">
        <f t="shared" si="9"/>
        <v>1.0591999999999999</v>
      </c>
      <c r="U19" s="9" t="str">
        <f t="shared" si="10"/>
        <v>CF_N = 1.0592;</v>
      </c>
      <c r="V19">
        <v>980444.875</v>
      </c>
      <c r="W19">
        <f t="shared" si="11"/>
        <v>1.0591999999999999</v>
      </c>
      <c r="X19" s="9" t="str">
        <f t="shared" si="12"/>
        <v>CF_N = 1.0592;</v>
      </c>
      <c r="Y19">
        <v>1014431.75</v>
      </c>
      <c r="Z19">
        <f t="shared" si="13"/>
        <v>1.0237000000000001</v>
      </c>
      <c r="AA19" s="9" t="str">
        <f t="shared" si="14"/>
        <v>CF_N = 1.0237;</v>
      </c>
    </row>
    <row r="20" spans="2:27" ht="15" thickBot="1" x14ac:dyDescent="0.4">
      <c r="B20" t="s">
        <v>18</v>
      </c>
      <c r="C20">
        <v>15</v>
      </c>
      <c r="D20" s="1">
        <v>4700000</v>
      </c>
      <c r="E20" s="1">
        <v>4705000</v>
      </c>
      <c r="F20" s="4">
        <f t="shared" si="0"/>
        <v>1.0010638297872341</v>
      </c>
      <c r="G20" s="10">
        <v>6443228.5</v>
      </c>
      <c r="H20" s="11">
        <f t="shared" si="1"/>
        <v>0.73019999999999996</v>
      </c>
      <c r="I20" s="9" t="str">
        <f t="shared" si="2"/>
        <v>CF_O = 0.7302;</v>
      </c>
      <c r="J20" s="10">
        <v>6787841.5249486072</v>
      </c>
      <c r="K20" s="11">
        <f t="shared" si="3"/>
        <v>0.69320000000000004</v>
      </c>
      <c r="L20" s="9" t="str">
        <f t="shared" si="4"/>
        <v>CF_O = 0.6932;</v>
      </c>
      <c r="M20">
        <v>3834936.25</v>
      </c>
      <c r="N20" s="11">
        <f t="shared" si="5"/>
        <v>1.2269000000000001</v>
      </c>
      <c r="O20" s="9" t="str">
        <f t="shared" si="6"/>
        <v>CF_O = 1.2269;</v>
      </c>
      <c r="P20">
        <v>4227492</v>
      </c>
      <c r="Q20" s="11">
        <f t="shared" si="7"/>
        <v>1.113</v>
      </c>
      <c r="R20" s="9" t="str">
        <f t="shared" si="8"/>
        <v>CF_O = 1.113;</v>
      </c>
      <c r="S20">
        <v>4321954</v>
      </c>
      <c r="T20" s="11">
        <f t="shared" si="9"/>
        <v>1.0886</v>
      </c>
      <c r="U20" s="9" t="str">
        <f t="shared" si="10"/>
        <v>CF_O = 1.0886;</v>
      </c>
      <c r="V20">
        <v>4321954</v>
      </c>
      <c r="W20" s="11">
        <f t="shared" si="11"/>
        <v>1.0886</v>
      </c>
      <c r="X20" s="9" t="str">
        <f t="shared" si="12"/>
        <v>CF_O = 1.0886;</v>
      </c>
      <c r="Y20">
        <v>4190996.25</v>
      </c>
      <c r="Z20" s="11">
        <f t="shared" si="13"/>
        <v>1.1226</v>
      </c>
      <c r="AA20" s="9" t="str">
        <f t="shared" si="14"/>
        <v>CF_O = 1.1226;</v>
      </c>
    </row>
    <row r="21" spans="2:27" x14ac:dyDescent="0.35">
      <c r="G21" s="49" t="s">
        <v>30</v>
      </c>
      <c r="H21" s="50"/>
      <c r="I21" s="51"/>
      <c r="J21" s="49" t="s">
        <v>30</v>
      </c>
      <c r="K21" s="50"/>
      <c r="L21" s="51"/>
      <c r="M21" s="49" t="s">
        <v>30</v>
      </c>
      <c r="N21" s="50"/>
      <c r="O21" s="51"/>
      <c r="P21" s="49" t="s">
        <v>30</v>
      </c>
      <c r="Q21" s="50"/>
      <c r="R21" s="51"/>
      <c r="S21" s="49" t="s">
        <v>30</v>
      </c>
      <c r="T21" s="50"/>
      <c r="U21" s="51"/>
      <c r="V21" s="49" t="s">
        <v>30</v>
      </c>
      <c r="W21" s="50"/>
      <c r="X21" s="51"/>
      <c r="Y21" s="49" t="s">
        <v>30</v>
      </c>
      <c r="Z21" s="50"/>
      <c r="AA21" s="51"/>
    </row>
    <row r="22" spans="2:27" x14ac:dyDescent="0.35">
      <c r="G22" s="13" t="s">
        <v>25</v>
      </c>
      <c r="H22" t="s">
        <v>31</v>
      </c>
      <c r="I22" s="9" t="s">
        <v>32</v>
      </c>
      <c r="J22" s="13" t="s">
        <v>25</v>
      </c>
      <c r="K22" t="s">
        <v>31</v>
      </c>
      <c r="L22" s="9" t="s">
        <v>32</v>
      </c>
      <c r="M22" s="13" t="s">
        <v>25</v>
      </c>
      <c r="N22" t="s">
        <v>31</v>
      </c>
      <c r="O22" s="9" t="s">
        <v>32</v>
      </c>
      <c r="P22" s="13" t="s">
        <v>25</v>
      </c>
      <c r="Q22" t="s">
        <v>31</v>
      </c>
      <c r="R22" s="9" t="s">
        <v>32</v>
      </c>
      <c r="S22" s="13" t="s">
        <v>25</v>
      </c>
      <c r="T22" t="s">
        <v>31</v>
      </c>
      <c r="U22" s="9" t="s">
        <v>32</v>
      </c>
      <c r="V22" s="13" t="s">
        <v>25</v>
      </c>
      <c r="W22" t="s">
        <v>31</v>
      </c>
      <c r="X22" s="9" t="s">
        <v>32</v>
      </c>
      <c r="Y22" s="13" t="s">
        <v>25</v>
      </c>
      <c r="Z22" t="s">
        <v>31</v>
      </c>
      <c r="AA22" s="9" t="s">
        <v>32</v>
      </c>
    </row>
    <row r="23" spans="2:27" ht="15" thickBot="1" x14ac:dyDescent="0.4">
      <c r="G23" s="14"/>
      <c r="H23" s="11"/>
      <c r="I23" s="12" t="e">
        <f>H23/G23</f>
        <v>#DIV/0!</v>
      </c>
      <c r="J23" s="14"/>
      <c r="K23" s="11"/>
      <c r="L23" s="12" t="e">
        <f>K23/J23</f>
        <v>#DIV/0!</v>
      </c>
      <c r="M23" s="14"/>
      <c r="N23" s="11"/>
      <c r="O23" s="12" t="e">
        <f>N23/M23</f>
        <v>#DIV/0!</v>
      </c>
      <c r="P23" s="14"/>
      <c r="Q23" s="11"/>
      <c r="R23" s="12">
        <v>46.467649690000002</v>
      </c>
      <c r="S23" s="14">
        <v>9.3672000000000004</v>
      </c>
      <c r="T23" s="11">
        <v>9.3699999999999992</v>
      </c>
      <c r="U23" s="12">
        <f>46.467649*(T23/S23)</f>
        <v>46.481538894226659</v>
      </c>
      <c r="V23" s="14">
        <v>10.087</v>
      </c>
      <c r="W23" s="11">
        <v>9.3640000000000008</v>
      </c>
      <c r="X23" s="12">
        <f>50*(W23/V23)</f>
        <v>46.416179240606724</v>
      </c>
      <c r="Y23" s="14"/>
      <c r="Z23" s="11"/>
      <c r="AA23" s="12" t="e">
        <f>50*(Z23/Y23)</f>
        <v>#DIV/0!</v>
      </c>
    </row>
    <row r="28" spans="2:27" x14ac:dyDescent="0.35">
      <c r="R28">
        <v>0</v>
      </c>
    </row>
    <row r="29" spans="2:27" x14ac:dyDescent="0.35">
      <c r="S29">
        <v>0</v>
      </c>
    </row>
  </sheetData>
  <mergeCells count="16">
    <mergeCell ref="Y4:AA4"/>
    <mergeCell ref="Y21:AA21"/>
    <mergeCell ref="G3:R3"/>
    <mergeCell ref="B3:F4"/>
    <mergeCell ref="V4:X4"/>
    <mergeCell ref="V21:X21"/>
    <mergeCell ref="G21:I21"/>
    <mergeCell ref="J21:L21"/>
    <mergeCell ref="M21:O21"/>
    <mergeCell ref="P21:R21"/>
    <mergeCell ref="S4:U4"/>
    <mergeCell ref="S21:U21"/>
    <mergeCell ref="M4:O4"/>
    <mergeCell ref="J4:L4"/>
    <mergeCell ref="P4:R4"/>
    <mergeCell ref="G4:I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5B9-3464-4EAA-B3D8-8C43F6AF098B}">
  <dimension ref="A1:P62"/>
  <sheetViews>
    <sheetView showWhiteSpace="0" view="pageLayout" zoomScaleNormal="100" workbookViewId="0">
      <selection activeCell="Q15" sqref="Q15"/>
    </sheetView>
  </sheetViews>
  <sheetFormatPr defaultRowHeight="14.5" x14ac:dyDescent="0.35"/>
  <cols>
    <col min="1" max="1" width="23.54296875" customWidth="1"/>
    <col min="2" max="2" width="13.81640625" customWidth="1"/>
    <col min="3" max="3" width="13.81640625" hidden="1" customWidth="1"/>
    <col min="4" max="4" width="24.6328125" hidden="1" customWidth="1"/>
    <col min="5" max="5" width="23.453125" hidden="1" customWidth="1"/>
    <col min="6" max="6" width="6" customWidth="1"/>
    <col min="7" max="7" width="7.7265625" customWidth="1"/>
    <col min="8" max="8" width="29.453125" customWidth="1"/>
    <col min="9" max="9" width="15.453125" style="5" hidden="1" customWidth="1"/>
    <col min="10" max="10" width="16.6328125" customWidth="1"/>
    <col min="11" max="11" width="10.36328125" hidden="1" customWidth="1"/>
    <col min="12" max="12" width="0" hidden="1" customWidth="1"/>
    <col min="13" max="13" width="11.08984375" customWidth="1"/>
    <col min="14" max="14" width="12.26953125" customWidth="1"/>
    <col min="15" max="16" width="0" hidden="1" customWidth="1"/>
  </cols>
  <sheetData>
    <row r="1" spans="1:16" x14ac:dyDescent="0.35">
      <c r="A1" s="25" t="s">
        <v>242</v>
      </c>
    </row>
    <row r="2" spans="1:16" ht="14.5" customHeight="1" x14ac:dyDescent="0.35">
      <c r="A2" s="25" t="s">
        <v>70</v>
      </c>
      <c r="B2" s="25" t="s">
        <v>71</v>
      </c>
      <c r="C2" s="25" t="s">
        <v>228</v>
      </c>
      <c r="D2" s="25" t="s">
        <v>72</v>
      </c>
      <c r="E2" s="25" t="s">
        <v>73</v>
      </c>
      <c r="F2" s="25" t="s">
        <v>74</v>
      </c>
      <c r="G2" s="25" t="s">
        <v>75</v>
      </c>
      <c r="H2" s="26" t="s">
        <v>76</v>
      </c>
      <c r="I2" s="26" t="s">
        <v>77</v>
      </c>
      <c r="J2" s="25" t="s">
        <v>219</v>
      </c>
      <c r="K2" s="25" t="s">
        <v>185</v>
      </c>
      <c r="L2" s="25" t="s">
        <v>218</v>
      </c>
      <c r="M2" s="25" t="s">
        <v>207</v>
      </c>
      <c r="N2" s="25" t="s">
        <v>55</v>
      </c>
      <c r="O2" s="25" t="s">
        <v>250</v>
      </c>
      <c r="P2" s="25" t="s">
        <v>251</v>
      </c>
    </row>
    <row r="3" spans="1:16" ht="14.5" customHeight="1" x14ac:dyDescent="0.35">
      <c r="A3" t="s">
        <v>56</v>
      </c>
      <c r="B3" s="39" t="s">
        <v>78</v>
      </c>
      <c r="C3" t="s">
        <v>17</v>
      </c>
      <c r="D3" t="s">
        <v>79</v>
      </c>
      <c r="E3" t="s">
        <v>80</v>
      </c>
      <c r="F3">
        <v>1</v>
      </c>
      <c r="H3" s="5" t="s">
        <v>81</v>
      </c>
      <c r="I3" s="5" t="s">
        <v>82</v>
      </c>
      <c r="J3" t="s">
        <v>213</v>
      </c>
      <c r="K3" s="27">
        <v>7.7</v>
      </c>
      <c r="L3">
        <v>100</v>
      </c>
      <c r="M3" s="27">
        <f t="shared" ref="M3:M36" si="0">K3/L3</f>
        <v>7.6999999999999999E-2</v>
      </c>
      <c r="N3" s="27">
        <f t="shared" ref="N3:N36" si="1">M3*F3</f>
        <v>7.6999999999999999E-2</v>
      </c>
      <c r="O3" s="42">
        <v>10</v>
      </c>
      <c r="P3" s="42">
        <f>ROUNDDOWN(Table1[[#This Row],[QTY On Hand]]/Table1[[#This Row],[Qty]],0)</f>
        <v>10</v>
      </c>
    </row>
    <row r="4" spans="1:16" ht="14.5" customHeight="1" x14ac:dyDescent="0.35">
      <c r="A4" t="s">
        <v>60</v>
      </c>
      <c r="B4" s="39" t="s">
        <v>87</v>
      </c>
      <c r="C4" t="s">
        <v>17</v>
      </c>
      <c r="D4" t="s">
        <v>79</v>
      </c>
      <c r="E4" t="s">
        <v>80</v>
      </c>
      <c r="F4">
        <v>2</v>
      </c>
      <c r="H4" s="5" t="s">
        <v>81</v>
      </c>
      <c r="I4" s="5" t="s">
        <v>88</v>
      </c>
      <c r="J4" t="s">
        <v>187</v>
      </c>
      <c r="K4" s="27">
        <v>2.4900000000000002</v>
      </c>
      <c r="L4">
        <v>30</v>
      </c>
      <c r="M4" s="27">
        <f t="shared" si="0"/>
        <v>8.3000000000000004E-2</v>
      </c>
      <c r="N4" s="27">
        <f t="shared" si="1"/>
        <v>0.16600000000000001</v>
      </c>
      <c r="O4" s="42">
        <v>19</v>
      </c>
      <c r="P4" s="42">
        <f>ROUNDDOWN(Table1[[#This Row],[QTY On Hand]]/Table1[[#This Row],[Qty]],0)</f>
        <v>9</v>
      </c>
    </row>
    <row r="5" spans="1:16" ht="14.5" customHeight="1" x14ac:dyDescent="0.35">
      <c r="A5" t="s">
        <v>89</v>
      </c>
      <c r="B5" s="39" t="s">
        <v>90</v>
      </c>
      <c r="C5" t="s">
        <v>17</v>
      </c>
      <c r="D5" t="s">
        <v>79</v>
      </c>
      <c r="E5" t="s">
        <v>80</v>
      </c>
      <c r="F5">
        <v>1</v>
      </c>
      <c r="H5" s="5" t="s">
        <v>81</v>
      </c>
      <c r="I5" s="5" t="s">
        <v>91</v>
      </c>
      <c r="J5" t="s">
        <v>186</v>
      </c>
      <c r="K5" s="27">
        <v>1.6</v>
      </c>
      <c r="L5">
        <v>100</v>
      </c>
      <c r="M5" s="27">
        <f t="shared" si="0"/>
        <v>1.6E-2</v>
      </c>
      <c r="N5" s="27">
        <f t="shared" si="1"/>
        <v>1.6E-2</v>
      </c>
      <c r="O5" s="42">
        <v>100</v>
      </c>
      <c r="P5" s="42">
        <f>ROUNDDOWN(Table1[[#This Row],[QTY On Hand]]/Table1[[#This Row],[Qty]],0)</f>
        <v>100</v>
      </c>
    </row>
    <row r="6" spans="1:16" ht="14.5" customHeight="1" x14ac:dyDescent="0.35">
      <c r="A6" t="s">
        <v>57</v>
      </c>
      <c r="B6" s="39" t="s">
        <v>83</v>
      </c>
      <c r="C6" t="s">
        <v>17</v>
      </c>
      <c r="D6" t="s">
        <v>79</v>
      </c>
      <c r="E6" t="s">
        <v>80</v>
      </c>
      <c r="F6">
        <v>2</v>
      </c>
      <c r="H6" s="5" t="s">
        <v>81</v>
      </c>
      <c r="I6" s="5" t="s">
        <v>84</v>
      </c>
      <c r="J6" t="s">
        <v>196</v>
      </c>
      <c r="K6" s="27">
        <v>1.86</v>
      </c>
      <c r="L6">
        <v>30</v>
      </c>
      <c r="M6" s="27">
        <f t="shared" si="0"/>
        <v>6.2000000000000006E-2</v>
      </c>
      <c r="N6" s="27">
        <f t="shared" si="1"/>
        <v>0.12400000000000001</v>
      </c>
      <c r="O6" s="42">
        <v>20</v>
      </c>
      <c r="P6" s="42">
        <f>ROUNDDOWN(Table1[[#This Row],[QTY On Hand]]/Table1[[#This Row],[Qty]],0)</f>
        <v>10</v>
      </c>
    </row>
    <row r="7" spans="1:16" ht="14.5" customHeight="1" x14ac:dyDescent="0.35">
      <c r="A7" t="s">
        <v>58</v>
      </c>
      <c r="B7" s="39" t="s">
        <v>85</v>
      </c>
      <c r="C7" t="s">
        <v>17</v>
      </c>
      <c r="D7" t="s">
        <v>79</v>
      </c>
      <c r="E7" t="s">
        <v>80</v>
      </c>
      <c r="F7">
        <v>2</v>
      </c>
      <c r="H7" s="5" t="s">
        <v>81</v>
      </c>
      <c r="I7" s="5" t="s">
        <v>84</v>
      </c>
      <c r="J7" s="29" t="s">
        <v>200</v>
      </c>
      <c r="K7" s="27">
        <v>8</v>
      </c>
      <c r="L7">
        <v>100</v>
      </c>
      <c r="M7" s="27">
        <f t="shared" si="0"/>
        <v>0.08</v>
      </c>
      <c r="N7" s="27">
        <f t="shared" si="1"/>
        <v>0.16</v>
      </c>
      <c r="O7" s="42">
        <v>0</v>
      </c>
      <c r="P7" s="42">
        <f>ROUNDDOWN(Table1[[#This Row],[QTY On Hand]]/Table1[[#This Row],[Qty]],0)</f>
        <v>0</v>
      </c>
    </row>
    <row r="8" spans="1:16" ht="14.5" customHeight="1" x14ac:dyDescent="0.35">
      <c r="A8" t="s">
        <v>59</v>
      </c>
      <c r="B8" s="39" t="s">
        <v>86</v>
      </c>
      <c r="C8" t="s">
        <v>17</v>
      </c>
      <c r="D8" t="s">
        <v>79</v>
      </c>
      <c r="E8" t="s">
        <v>80</v>
      </c>
      <c r="F8">
        <v>3</v>
      </c>
      <c r="H8" s="5" t="s">
        <v>81</v>
      </c>
      <c r="I8" s="5" t="s">
        <v>84</v>
      </c>
      <c r="J8" s="29" t="s">
        <v>197</v>
      </c>
      <c r="K8" s="27">
        <v>8</v>
      </c>
      <c r="L8">
        <v>100</v>
      </c>
      <c r="M8" s="27">
        <f t="shared" si="0"/>
        <v>0.08</v>
      </c>
      <c r="N8" s="27">
        <f t="shared" si="1"/>
        <v>0.24</v>
      </c>
      <c r="O8" s="42">
        <v>15</v>
      </c>
      <c r="P8" s="42">
        <f>ROUNDDOWN(Table1[[#This Row],[QTY On Hand]]/Table1[[#This Row],[Qty]],0)</f>
        <v>5</v>
      </c>
    </row>
    <row r="9" spans="1:16" ht="14.5" customHeight="1" x14ac:dyDescent="0.35">
      <c r="A9" t="s">
        <v>62</v>
      </c>
      <c r="B9" s="39" t="s">
        <v>63</v>
      </c>
      <c r="C9" t="s">
        <v>229</v>
      </c>
      <c r="D9" t="s">
        <v>79</v>
      </c>
      <c r="E9" t="s">
        <v>182</v>
      </c>
      <c r="F9">
        <v>1</v>
      </c>
      <c r="H9" s="5" t="s">
        <v>92</v>
      </c>
      <c r="I9" s="5" t="s">
        <v>183</v>
      </c>
      <c r="J9" t="s">
        <v>184</v>
      </c>
      <c r="K9" s="27">
        <v>2.86</v>
      </c>
      <c r="L9">
        <v>20</v>
      </c>
      <c r="M9" s="27">
        <f t="shared" si="0"/>
        <v>0.14299999999999999</v>
      </c>
      <c r="N9" s="27">
        <f t="shared" si="1"/>
        <v>0.14299999999999999</v>
      </c>
      <c r="O9" s="42">
        <v>15</v>
      </c>
      <c r="P9" s="42">
        <f>ROUNDDOWN(Table1[[#This Row],[QTY On Hand]]/Table1[[#This Row],[Qty]],0)</f>
        <v>15</v>
      </c>
    </row>
    <row r="10" spans="1:16" ht="14.5" customHeight="1" x14ac:dyDescent="0.35">
      <c r="A10" t="s">
        <v>93</v>
      </c>
      <c r="B10" s="39" t="s">
        <v>94</v>
      </c>
      <c r="C10" t="s">
        <v>17</v>
      </c>
      <c r="D10" t="s">
        <v>79</v>
      </c>
      <c r="E10" t="s">
        <v>95</v>
      </c>
      <c r="F10">
        <v>2</v>
      </c>
      <c r="H10" s="5" t="s">
        <v>96</v>
      </c>
      <c r="I10" s="5" t="s">
        <v>97</v>
      </c>
      <c r="J10" t="s">
        <v>199</v>
      </c>
      <c r="K10" s="27">
        <v>4.08</v>
      </c>
      <c r="L10">
        <v>20</v>
      </c>
      <c r="M10" s="27">
        <f t="shared" si="0"/>
        <v>0.20400000000000001</v>
      </c>
      <c r="N10" s="27">
        <f t="shared" si="1"/>
        <v>0.40800000000000003</v>
      </c>
      <c r="O10" s="42">
        <v>90</v>
      </c>
      <c r="P10" s="42">
        <f>ROUNDDOWN(Table1[[#This Row],[QTY On Hand]]/Table1[[#This Row],[Qty]],0)</f>
        <v>45</v>
      </c>
    </row>
    <row r="11" spans="1:16" ht="14.5" customHeight="1" x14ac:dyDescent="0.35">
      <c r="A11" t="s">
        <v>65</v>
      </c>
      <c r="B11" s="39" t="s">
        <v>98</v>
      </c>
      <c r="C11" t="s">
        <v>17</v>
      </c>
      <c r="D11" t="s">
        <v>79</v>
      </c>
      <c r="E11" t="s">
        <v>99</v>
      </c>
      <c r="F11">
        <v>2</v>
      </c>
      <c r="H11" s="5" t="s">
        <v>98</v>
      </c>
      <c r="I11" s="5" t="s">
        <v>100</v>
      </c>
      <c r="J11" t="s">
        <v>209</v>
      </c>
      <c r="K11" s="27">
        <v>9.49</v>
      </c>
      <c r="L11">
        <v>100</v>
      </c>
      <c r="M11" s="27">
        <f t="shared" si="0"/>
        <v>9.4899999999999998E-2</v>
      </c>
      <c r="N11" s="27">
        <f t="shared" si="1"/>
        <v>0.1898</v>
      </c>
      <c r="O11" s="42"/>
      <c r="P11" s="42">
        <f>ROUNDDOWN(Table1[[#This Row],[QTY On Hand]]/Table1[[#This Row],[Qty]],0)</f>
        <v>0</v>
      </c>
    </row>
    <row r="12" spans="1:16" ht="14.5" customHeight="1" x14ac:dyDescent="0.35">
      <c r="A12" t="s">
        <v>109</v>
      </c>
      <c r="B12" s="39" t="s">
        <v>110</v>
      </c>
      <c r="C12" t="s">
        <v>17</v>
      </c>
      <c r="D12" t="s">
        <v>79</v>
      </c>
      <c r="E12" t="s">
        <v>111</v>
      </c>
      <c r="F12">
        <v>1</v>
      </c>
      <c r="H12" s="5" t="s">
        <v>104</v>
      </c>
      <c r="J12" t="s">
        <v>211</v>
      </c>
      <c r="K12" s="27">
        <v>6.99</v>
      </c>
      <c r="L12">
        <v>50</v>
      </c>
      <c r="M12" s="27">
        <f t="shared" si="0"/>
        <v>0.13980000000000001</v>
      </c>
      <c r="N12" s="27">
        <f t="shared" si="1"/>
        <v>0.13980000000000001</v>
      </c>
      <c r="O12" s="42"/>
      <c r="P12" s="42">
        <f>ROUNDDOWN(Table1[[#This Row],[QTY On Hand]]/Table1[[#This Row],[Qty]],0)</f>
        <v>0</v>
      </c>
    </row>
    <row r="13" spans="1:16" ht="14.5" customHeight="1" x14ac:dyDescent="0.35">
      <c r="A13" t="s">
        <v>112</v>
      </c>
      <c r="B13" s="39" t="s">
        <v>113</v>
      </c>
      <c r="C13" t="s">
        <v>17</v>
      </c>
      <c r="D13" t="s">
        <v>79</v>
      </c>
      <c r="E13" t="s">
        <v>114</v>
      </c>
      <c r="F13">
        <v>1</v>
      </c>
      <c r="H13" s="5" t="s">
        <v>115</v>
      </c>
      <c r="J13" t="s">
        <v>212</v>
      </c>
      <c r="K13" s="27">
        <v>6.99</v>
      </c>
      <c r="L13">
        <v>50</v>
      </c>
      <c r="M13" s="27">
        <f t="shared" si="0"/>
        <v>0.13980000000000001</v>
      </c>
      <c r="N13" s="27">
        <f t="shared" si="1"/>
        <v>0.13980000000000001</v>
      </c>
      <c r="O13" s="42"/>
      <c r="P13" s="42">
        <f>ROUNDDOWN(Table1[[#This Row],[QTY On Hand]]/Table1[[#This Row],[Qty]],0)</f>
        <v>0</v>
      </c>
    </row>
    <row r="14" spans="1:16" ht="14.5" customHeight="1" x14ac:dyDescent="0.35">
      <c r="A14" t="s">
        <v>116</v>
      </c>
      <c r="B14" s="39" t="s">
        <v>117</v>
      </c>
      <c r="C14" t="s">
        <v>17</v>
      </c>
      <c r="D14" t="s">
        <v>79</v>
      </c>
      <c r="E14" t="s">
        <v>118</v>
      </c>
      <c r="F14">
        <v>2</v>
      </c>
      <c r="H14" s="5" t="s">
        <v>119</v>
      </c>
      <c r="J14" t="s">
        <v>224</v>
      </c>
      <c r="K14" s="27">
        <v>8.99</v>
      </c>
      <c r="L14">
        <v>10</v>
      </c>
      <c r="M14" s="27">
        <f t="shared" si="0"/>
        <v>0.89900000000000002</v>
      </c>
      <c r="N14" s="27">
        <f t="shared" si="1"/>
        <v>1.798</v>
      </c>
      <c r="O14" s="42"/>
      <c r="P14" s="42">
        <f>ROUNDDOWN(Table1[[#This Row],[QTY On Hand]]/Table1[[#This Row],[Qty]],0)</f>
        <v>0</v>
      </c>
    </row>
    <row r="15" spans="1:16" ht="14.5" customHeight="1" x14ac:dyDescent="0.35">
      <c r="A15" t="s">
        <v>101</v>
      </c>
      <c r="B15" s="39" t="s">
        <v>102</v>
      </c>
      <c r="C15" t="s">
        <v>17</v>
      </c>
      <c r="D15" t="s">
        <v>79</v>
      </c>
      <c r="E15" t="s">
        <v>103</v>
      </c>
      <c r="F15">
        <v>1</v>
      </c>
      <c r="H15" s="5" t="s">
        <v>104</v>
      </c>
      <c r="J15" t="s">
        <v>211</v>
      </c>
      <c r="K15" s="27">
        <v>6.99</v>
      </c>
      <c r="L15">
        <v>50</v>
      </c>
      <c r="M15" s="27">
        <f t="shared" si="0"/>
        <v>0.13980000000000001</v>
      </c>
      <c r="N15" s="27">
        <f t="shared" si="1"/>
        <v>0.13980000000000001</v>
      </c>
      <c r="O15" s="42"/>
      <c r="P15" s="42">
        <f>ROUNDDOWN(Table1[[#This Row],[QTY On Hand]]/Table1[[#This Row],[Qty]],0)</f>
        <v>0</v>
      </c>
    </row>
    <row r="16" spans="1:16" ht="14.5" customHeight="1" x14ac:dyDescent="0.35">
      <c r="A16" t="s">
        <v>105</v>
      </c>
      <c r="B16" s="39" t="s">
        <v>106</v>
      </c>
      <c r="C16" t="s">
        <v>17</v>
      </c>
      <c r="D16" t="s">
        <v>79</v>
      </c>
      <c r="E16" t="s">
        <v>107</v>
      </c>
      <c r="F16">
        <v>1</v>
      </c>
      <c r="H16" s="5" t="s">
        <v>108</v>
      </c>
      <c r="J16" t="s">
        <v>210</v>
      </c>
      <c r="K16" s="27">
        <v>6.99</v>
      </c>
      <c r="L16">
        <v>50</v>
      </c>
      <c r="M16" s="27">
        <f t="shared" si="0"/>
        <v>0.13980000000000001</v>
      </c>
      <c r="N16" s="27">
        <f t="shared" si="1"/>
        <v>0.13980000000000001</v>
      </c>
      <c r="O16" s="42"/>
      <c r="P16" s="42">
        <f>ROUNDDOWN(Table1[[#This Row],[QTY On Hand]]/Table1[[#This Row],[Qty]],0)</f>
        <v>0</v>
      </c>
    </row>
    <row r="17" spans="1:16" ht="14.5" customHeight="1" x14ac:dyDescent="0.35">
      <c r="A17" t="s">
        <v>61</v>
      </c>
      <c r="B17" s="39" t="s">
        <v>120</v>
      </c>
      <c r="C17" t="s">
        <v>17</v>
      </c>
      <c r="D17" t="s">
        <v>79</v>
      </c>
      <c r="E17" t="s">
        <v>121</v>
      </c>
      <c r="F17">
        <v>1</v>
      </c>
      <c r="H17" s="5" t="s">
        <v>122</v>
      </c>
      <c r="J17" t="s">
        <v>189</v>
      </c>
      <c r="K17" s="27">
        <v>4.08</v>
      </c>
      <c r="L17">
        <v>20</v>
      </c>
      <c r="M17" s="27">
        <f t="shared" si="0"/>
        <v>0.20400000000000001</v>
      </c>
      <c r="N17" s="27">
        <f t="shared" si="1"/>
        <v>0.20400000000000001</v>
      </c>
      <c r="O17" s="42">
        <v>13</v>
      </c>
      <c r="P17" s="42">
        <f>ROUNDDOWN(Table1[[#This Row],[QTY On Hand]]/Table1[[#This Row],[Qty]],0)</f>
        <v>13</v>
      </c>
    </row>
    <row r="18" spans="1:16" ht="14.5" customHeight="1" x14ac:dyDescent="0.35">
      <c r="A18" t="s">
        <v>123</v>
      </c>
      <c r="B18" s="39" t="s">
        <v>124</v>
      </c>
      <c r="C18" t="s">
        <v>229</v>
      </c>
      <c r="D18" t="s">
        <v>125</v>
      </c>
      <c r="E18" t="s">
        <v>126</v>
      </c>
      <c r="F18">
        <v>4</v>
      </c>
      <c r="H18" s="5" t="s">
        <v>127</v>
      </c>
      <c r="I18" s="5" t="s">
        <v>84</v>
      </c>
      <c r="J18" t="s">
        <v>208</v>
      </c>
      <c r="K18" s="27">
        <v>3.98</v>
      </c>
      <c r="L18">
        <v>100</v>
      </c>
      <c r="M18" s="27">
        <f t="shared" si="0"/>
        <v>3.9800000000000002E-2</v>
      </c>
      <c r="N18" s="27">
        <f t="shared" si="1"/>
        <v>0.15920000000000001</v>
      </c>
      <c r="O18" s="42">
        <v>20</v>
      </c>
      <c r="P18" s="42">
        <f>ROUNDDOWN(Table1[[#This Row],[QTY On Hand]]/Table1[[#This Row],[Qty]],0)</f>
        <v>5</v>
      </c>
    </row>
    <row r="19" spans="1:16" ht="14.5" customHeight="1" x14ac:dyDescent="0.35">
      <c r="A19" t="s">
        <v>64</v>
      </c>
      <c r="B19" s="39" t="s">
        <v>128</v>
      </c>
      <c r="C19" t="s">
        <v>229</v>
      </c>
      <c r="D19" t="s">
        <v>129</v>
      </c>
      <c r="E19" t="s">
        <v>126</v>
      </c>
      <c r="F19">
        <v>1</v>
      </c>
      <c r="H19" s="5" t="s">
        <v>130</v>
      </c>
      <c r="I19" s="5" t="s">
        <v>131</v>
      </c>
      <c r="J19" t="s">
        <v>198</v>
      </c>
      <c r="K19" s="27">
        <v>4.1399999999999997</v>
      </c>
      <c r="L19">
        <v>20</v>
      </c>
      <c r="M19" s="27">
        <f t="shared" si="0"/>
        <v>0.20699999999999999</v>
      </c>
      <c r="N19" s="27">
        <f t="shared" si="1"/>
        <v>0.20699999999999999</v>
      </c>
      <c r="O19" s="42">
        <v>16</v>
      </c>
      <c r="P19" s="42">
        <f>ROUNDDOWN(Table1[[#This Row],[QTY On Hand]]/Table1[[#This Row],[Qty]],0)</f>
        <v>16</v>
      </c>
    </row>
    <row r="20" spans="1:16" ht="14.5" customHeight="1" x14ac:dyDescent="0.35">
      <c r="A20" t="s">
        <v>132</v>
      </c>
      <c r="B20" s="39">
        <v>500</v>
      </c>
      <c r="C20" t="s">
        <v>17</v>
      </c>
      <c r="D20" t="s">
        <v>79</v>
      </c>
      <c r="E20" t="s">
        <v>133</v>
      </c>
      <c r="F20">
        <v>1</v>
      </c>
      <c r="H20" s="5" t="s">
        <v>134</v>
      </c>
      <c r="I20" s="5" t="s">
        <v>135</v>
      </c>
      <c r="J20" t="s">
        <v>227</v>
      </c>
      <c r="K20" s="28">
        <v>1.1200000000000001</v>
      </c>
      <c r="L20">
        <v>100</v>
      </c>
      <c r="M20" s="27">
        <f t="shared" si="0"/>
        <v>1.1200000000000002E-2</v>
      </c>
      <c r="N20" s="27">
        <f t="shared" si="1"/>
        <v>1.1200000000000002E-2</v>
      </c>
      <c r="O20" s="42">
        <v>10</v>
      </c>
      <c r="P20" s="42">
        <f>ROUNDDOWN(Table1[[#This Row],[QTY On Hand]]/Table1[[#This Row],[Qty]],0)</f>
        <v>10</v>
      </c>
    </row>
    <row r="21" spans="1:16" ht="14.5" customHeight="1" x14ac:dyDescent="0.35">
      <c r="A21" t="s">
        <v>141</v>
      </c>
      <c r="B21" s="39" t="s">
        <v>225</v>
      </c>
      <c r="C21" t="s">
        <v>17</v>
      </c>
      <c r="D21" t="s">
        <v>79</v>
      </c>
      <c r="E21" t="s">
        <v>133</v>
      </c>
      <c r="F21">
        <v>1</v>
      </c>
      <c r="H21" s="5" t="s">
        <v>134</v>
      </c>
      <c r="I21" s="5" t="s">
        <v>142</v>
      </c>
      <c r="J21" t="s">
        <v>226</v>
      </c>
      <c r="K21" s="27">
        <v>0.82</v>
      </c>
      <c r="L21">
        <v>100</v>
      </c>
      <c r="M21" s="27">
        <f t="shared" si="0"/>
        <v>8.199999999999999E-3</v>
      </c>
      <c r="N21" s="27">
        <f t="shared" si="1"/>
        <v>8.199999999999999E-3</v>
      </c>
      <c r="O21" s="42"/>
      <c r="P21" s="42">
        <f>ROUNDDOWN(Table1[[#This Row],[QTY On Hand]]/Table1[[#This Row],[Qty]],0)</f>
        <v>0</v>
      </c>
    </row>
    <row r="22" spans="1:16" ht="14.5" customHeight="1" x14ac:dyDescent="0.35">
      <c r="A22" t="s">
        <v>69</v>
      </c>
      <c r="B22" s="39" t="s">
        <v>143</v>
      </c>
      <c r="C22" t="s">
        <v>229</v>
      </c>
      <c r="D22" t="s">
        <v>79</v>
      </c>
      <c r="E22" t="s">
        <v>133</v>
      </c>
      <c r="F22">
        <v>2</v>
      </c>
      <c r="H22" s="5" t="s">
        <v>134</v>
      </c>
      <c r="I22" s="5" t="s">
        <v>84</v>
      </c>
      <c r="J22" t="s">
        <v>202</v>
      </c>
      <c r="K22" s="27">
        <v>1.86</v>
      </c>
      <c r="L22">
        <v>20</v>
      </c>
      <c r="M22" s="27">
        <f t="shared" si="0"/>
        <v>9.2999999999999999E-2</v>
      </c>
      <c r="N22" s="27">
        <f t="shared" si="1"/>
        <v>0.186</v>
      </c>
      <c r="O22" s="42">
        <v>4</v>
      </c>
      <c r="P22" s="42">
        <f>ROUNDDOWN(Table1[[#This Row],[QTY On Hand]]/Table1[[#This Row],[Qty]],0)</f>
        <v>2</v>
      </c>
    </row>
    <row r="23" spans="1:16" ht="14.5" customHeight="1" x14ac:dyDescent="0.35">
      <c r="A23" t="s">
        <v>136</v>
      </c>
      <c r="B23" s="39" t="s">
        <v>137</v>
      </c>
      <c r="C23" t="s">
        <v>17</v>
      </c>
      <c r="D23" t="s">
        <v>79</v>
      </c>
      <c r="E23" t="s">
        <v>133</v>
      </c>
      <c r="F23">
        <v>6</v>
      </c>
      <c r="H23" s="5" t="s">
        <v>134</v>
      </c>
      <c r="I23" s="5" t="s">
        <v>84</v>
      </c>
      <c r="J23" t="s">
        <v>205</v>
      </c>
      <c r="K23" s="27">
        <v>2.68</v>
      </c>
      <c r="L23">
        <v>100</v>
      </c>
      <c r="M23" s="27">
        <f t="shared" si="0"/>
        <v>2.6800000000000001E-2</v>
      </c>
      <c r="N23" s="27">
        <f t="shared" si="1"/>
        <v>0.1608</v>
      </c>
      <c r="O23" s="42">
        <v>50</v>
      </c>
      <c r="P23" s="42">
        <f>ROUNDDOWN(Table1[[#This Row],[QTY On Hand]]/Table1[[#This Row],[Qty]],0)</f>
        <v>8</v>
      </c>
    </row>
    <row r="24" spans="1:16" ht="14.5" customHeight="1" x14ac:dyDescent="0.35">
      <c r="A24" t="s">
        <v>66</v>
      </c>
      <c r="B24" s="39">
        <v>62</v>
      </c>
      <c r="C24" t="s">
        <v>229</v>
      </c>
      <c r="D24" t="s">
        <v>79</v>
      </c>
      <c r="E24" t="s">
        <v>133</v>
      </c>
      <c r="F24">
        <v>1</v>
      </c>
      <c r="H24" s="5" t="s">
        <v>134</v>
      </c>
      <c r="I24" s="5" t="s">
        <v>138</v>
      </c>
      <c r="J24" t="s">
        <v>214</v>
      </c>
      <c r="K24" s="27">
        <v>6.93</v>
      </c>
      <c r="L24">
        <v>50</v>
      </c>
      <c r="M24" s="27">
        <f t="shared" si="0"/>
        <v>0.1386</v>
      </c>
      <c r="N24" s="27">
        <f t="shared" si="1"/>
        <v>0.1386</v>
      </c>
      <c r="O24" s="42">
        <v>40</v>
      </c>
      <c r="P24" s="42">
        <f>ROUNDDOWN(Table1[[#This Row],[QTY On Hand]]/Table1[[#This Row],[Qty]],0)</f>
        <v>40</v>
      </c>
    </row>
    <row r="25" spans="1:16" ht="14.5" customHeight="1" x14ac:dyDescent="0.35">
      <c r="A25" t="s">
        <v>67</v>
      </c>
      <c r="B25" s="39">
        <v>330</v>
      </c>
      <c r="C25" t="s">
        <v>229</v>
      </c>
      <c r="D25" t="s">
        <v>79</v>
      </c>
      <c r="E25" t="s">
        <v>133</v>
      </c>
      <c r="F25">
        <v>1</v>
      </c>
      <c r="H25" s="5" t="s">
        <v>134</v>
      </c>
      <c r="I25" s="5" t="s">
        <v>139</v>
      </c>
      <c r="J25" t="s">
        <v>215</v>
      </c>
      <c r="K25" s="27">
        <v>1.95</v>
      </c>
      <c r="L25">
        <v>50</v>
      </c>
      <c r="M25" s="27">
        <f t="shared" si="0"/>
        <v>3.9E-2</v>
      </c>
      <c r="N25" s="27">
        <f t="shared" si="1"/>
        <v>3.9E-2</v>
      </c>
      <c r="O25" s="42">
        <v>30</v>
      </c>
      <c r="P25" s="42">
        <f>ROUNDDOWN(Table1[[#This Row],[QTY On Hand]]/Table1[[#This Row],[Qty]],0)</f>
        <v>30</v>
      </c>
    </row>
    <row r="26" spans="1:16" ht="14.5" customHeight="1" x14ac:dyDescent="0.35">
      <c r="A26" t="s">
        <v>223</v>
      </c>
      <c r="B26" s="39" t="s">
        <v>221</v>
      </c>
      <c r="C26" t="s">
        <v>17</v>
      </c>
      <c r="D26" t="s">
        <v>79</v>
      </c>
      <c r="E26" t="s">
        <v>133</v>
      </c>
      <c r="F26">
        <v>3</v>
      </c>
      <c r="H26" s="5" t="s">
        <v>134</v>
      </c>
      <c r="I26" s="5" t="s">
        <v>222</v>
      </c>
      <c r="J26" s="29" t="s">
        <v>220</v>
      </c>
      <c r="K26" s="27">
        <v>0.61</v>
      </c>
      <c r="L26">
        <v>100</v>
      </c>
      <c r="M26" s="27">
        <f t="shared" si="0"/>
        <v>6.0999999999999995E-3</v>
      </c>
      <c r="N26" s="27">
        <f t="shared" si="1"/>
        <v>1.8299999999999997E-2</v>
      </c>
      <c r="O26" s="42"/>
      <c r="P26" s="42">
        <f>ROUNDDOWN(Table1[[#This Row],[QTY On Hand]]/Table1[[#This Row],[Qty]],0)</f>
        <v>0</v>
      </c>
    </row>
    <row r="27" spans="1:16" ht="14.5" customHeight="1" x14ac:dyDescent="0.35">
      <c r="A27" t="s">
        <v>68</v>
      </c>
      <c r="B27" s="39" t="s">
        <v>140</v>
      </c>
      <c r="C27" t="s">
        <v>229</v>
      </c>
      <c r="D27" t="s">
        <v>79</v>
      </c>
      <c r="E27" t="s">
        <v>133</v>
      </c>
      <c r="F27">
        <v>2</v>
      </c>
      <c r="H27" s="5" t="s">
        <v>134</v>
      </c>
      <c r="I27" s="5" t="s">
        <v>84</v>
      </c>
      <c r="J27" s="29" t="s">
        <v>204</v>
      </c>
      <c r="K27" s="27">
        <v>3.94</v>
      </c>
      <c r="L27">
        <v>100</v>
      </c>
      <c r="M27" s="27">
        <f t="shared" si="0"/>
        <v>3.9399999999999998E-2</v>
      </c>
      <c r="N27" s="27">
        <f t="shared" si="1"/>
        <v>7.8799999999999995E-2</v>
      </c>
      <c r="O27" s="42">
        <v>70</v>
      </c>
      <c r="P27" s="42">
        <f>ROUNDDOWN(Table1[[#This Row],[QTY On Hand]]/Table1[[#This Row],[Qty]],0)</f>
        <v>35</v>
      </c>
    </row>
    <row r="28" spans="1:16" ht="14.5" customHeight="1" x14ac:dyDescent="0.35">
      <c r="A28" t="s">
        <v>191</v>
      </c>
      <c r="B28" s="39"/>
      <c r="C28" t="s">
        <v>17</v>
      </c>
      <c r="E28" t="s">
        <v>217</v>
      </c>
      <c r="F28">
        <v>2</v>
      </c>
      <c r="H28" s="5" t="s">
        <v>145</v>
      </c>
      <c r="J28" t="s">
        <v>216</v>
      </c>
      <c r="K28" s="27">
        <v>6.99</v>
      </c>
      <c r="L28">
        <v>150</v>
      </c>
      <c r="M28" s="27">
        <f t="shared" si="0"/>
        <v>4.6600000000000003E-2</v>
      </c>
      <c r="N28" s="27">
        <f t="shared" si="1"/>
        <v>9.3200000000000005E-2</v>
      </c>
      <c r="O28" s="42"/>
      <c r="P28" s="42">
        <f>ROUNDDOWN(Table1[[#This Row],[QTY On Hand]]/Table1[[#This Row],[Qty]],0)</f>
        <v>0</v>
      </c>
    </row>
    <row r="29" spans="1:16" ht="14.5" customHeight="1" x14ac:dyDescent="0.35">
      <c r="A29" t="s">
        <v>146</v>
      </c>
      <c r="B29" s="39" t="s">
        <v>147</v>
      </c>
      <c r="C29" t="s">
        <v>17</v>
      </c>
      <c r="D29" t="s">
        <v>79</v>
      </c>
      <c r="E29" t="s">
        <v>148</v>
      </c>
      <c r="F29">
        <v>1</v>
      </c>
      <c r="H29" s="5" t="s">
        <v>149</v>
      </c>
      <c r="I29" s="5" t="s">
        <v>150</v>
      </c>
      <c r="J29" t="s">
        <v>181</v>
      </c>
      <c r="K29" s="27">
        <v>0.54</v>
      </c>
      <c r="L29">
        <v>10</v>
      </c>
      <c r="M29" s="27">
        <f t="shared" si="0"/>
        <v>5.4000000000000006E-2</v>
      </c>
      <c r="N29" s="27">
        <f t="shared" si="1"/>
        <v>5.4000000000000006E-2</v>
      </c>
      <c r="O29" s="42">
        <v>6</v>
      </c>
      <c r="P29" s="42">
        <f>ROUNDDOWN(Table1[[#This Row],[QTY On Hand]]/Table1[[#This Row],[Qty]],0)</f>
        <v>6</v>
      </c>
    </row>
    <row r="30" spans="1:16" ht="14.5" customHeight="1" x14ac:dyDescent="0.35">
      <c r="A30" t="s">
        <v>192</v>
      </c>
      <c r="B30" s="39" t="s">
        <v>144</v>
      </c>
      <c r="C30" t="s">
        <v>17</v>
      </c>
      <c r="D30" t="s">
        <v>79</v>
      </c>
      <c r="E30" t="s">
        <v>193</v>
      </c>
      <c r="F30">
        <v>3</v>
      </c>
      <c r="H30" s="5" t="s">
        <v>145</v>
      </c>
      <c r="J30" t="s">
        <v>194</v>
      </c>
      <c r="K30" s="27">
        <v>4.0599999999999996</v>
      </c>
      <c r="L30">
        <v>25</v>
      </c>
      <c r="M30" s="27">
        <f t="shared" si="0"/>
        <v>0.16239999999999999</v>
      </c>
      <c r="N30" s="27">
        <f t="shared" si="1"/>
        <v>0.48719999999999997</v>
      </c>
      <c r="O30" s="42">
        <v>20</v>
      </c>
      <c r="P30" s="42">
        <f>ROUNDDOWN(Table1[[#This Row],[QTY On Hand]]/Table1[[#This Row],[Qty]],0)</f>
        <v>6</v>
      </c>
    </row>
    <row r="31" spans="1:16" ht="14.5" customHeight="1" x14ac:dyDescent="0.35">
      <c r="A31" t="s">
        <v>151</v>
      </c>
      <c r="B31" s="39" t="s">
        <v>152</v>
      </c>
      <c r="C31" t="s">
        <v>229</v>
      </c>
      <c r="D31" t="s">
        <v>153</v>
      </c>
      <c r="E31" t="s">
        <v>154</v>
      </c>
      <c r="F31">
        <v>1</v>
      </c>
      <c r="H31" s="5" t="s">
        <v>155</v>
      </c>
      <c r="J31" t="s">
        <v>206</v>
      </c>
      <c r="K31" s="27">
        <v>9.1300000000000008</v>
      </c>
      <c r="L31">
        <v>25</v>
      </c>
      <c r="M31" s="27">
        <f t="shared" si="0"/>
        <v>0.36520000000000002</v>
      </c>
      <c r="N31" s="27">
        <f t="shared" si="1"/>
        <v>0.36520000000000002</v>
      </c>
      <c r="O31" s="42">
        <v>5</v>
      </c>
      <c r="P31" s="42">
        <f>ROUNDDOWN(Table1[[#This Row],[QTY On Hand]]/Table1[[#This Row],[Qty]],0)</f>
        <v>5</v>
      </c>
    </row>
    <row r="32" spans="1:16" ht="14.5" customHeight="1" x14ac:dyDescent="0.35">
      <c r="A32" t="s">
        <v>172</v>
      </c>
      <c r="B32" s="39" t="s">
        <v>173</v>
      </c>
      <c r="C32" t="s">
        <v>229</v>
      </c>
      <c r="D32" t="s">
        <v>174</v>
      </c>
      <c r="E32" t="s">
        <v>126</v>
      </c>
      <c r="F32">
        <v>1</v>
      </c>
      <c r="H32" s="5" t="s">
        <v>175</v>
      </c>
      <c r="I32" s="5" t="s">
        <v>176</v>
      </c>
      <c r="J32" t="s">
        <v>190</v>
      </c>
      <c r="K32" s="27">
        <v>11.99</v>
      </c>
      <c r="L32">
        <v>25</v>
      </c>
      <c r="M32" s="27">
        <f t="shared" si="0"/>
        <v>0.47960000000000003</v>
      </c>
      <c r="N32" s="27">
        <f t="shared" si="1"/>
        <v>0.47960000000000003</v>
      </c>
      <c r="O32" s="42">
        <v>20</v>
      </c>
      <c r="P32" s="42">
        <f>ROUNDDOWN(Table1[[#This Row],[QTY On Hand]]/Table1[[#This Row],[Qty]],0)</f>
        <v>20</v>
      </c>
    </row>
    <row r="33" spans="1:16" ht="14.5" customHeight="1" x14ac:dyDescent="0.35">
      <c r="A33" t="s">
        <v>177</v>
      </c>
      <c r="B33" s="39" t="s">
        <v>178</v>
      </c>
      <c r="C33" t="s">
        <v>229</v>
      </c>
      <c r="D33" t="s">
        <v>174</v>
      </c>
      <c r="E33" t="s">
        <v>126</v>
      </c>
      <c r="F33">
        <v>1</v>
      </c>
      <c r="H33" s="5" t="s">
        <v>179</v>
      </c>
      <c r="I33" s="5" t="s">
        <v>180</v>
      </c>
      <c r="J33" t="s">
        <v>195</v>
      </c>
      <c r="K33" s="27">
        <v>11.99</v>
      </c>
      <c r="L33">
        <v>25</v>
      </c>
      <c r="M33" s="27">
        <f t="shared" si="0"/>
        <v>0.47960000000000003</v>
      </c>
      <c r="N33" s="27">
        <f t="shared" si="1"/>
        <v>0.47960000000000003</v>
      </c>
      <c r="O33" s="42">
        <v>20</v>
      </c>
      <c r="P33" s="42">
        <f>ROUNDDOWN(Table1[[#This Row],[QTY On Hand]]/Table1[[#This Row],[Qty]],0)</f>
        <v>20</v>
      </c>
    </row>
    <row r="34" spans="1:16" ht="14.5" customHeight="1" x14ac:dyDescent="0.35">
      <c r="A34" t="s">
        <v>156</v>
      </c>
      <c r="B34" s="39" t="s">
        <v>157</v>
      </c>
      <c r="C34" t="s">
        <v>229</v>
      </c>
      <c r="D34" t="s">
        <v>158</v>
      </c>
      <c r="E34" t="s">
        <v>159</v>
      </c>
      <c r="F34">
        <v>1</v>
      </c>
      <c r="H34" s="5" t="s">
        <v>160</v>
      </c>
      <c r="J34" s="29" t="s">
        <v>203</v>
      </c>
      <c r="K34" s="27">
        <v>33.31</v>
      </c>
      <c r="L34">
        <v>10</v>
      </c>
      <c r="M34" s="27">
        <f t="shared" si="0"/>
        <v>3.3310000000000004</v>
      </c>
      <c r="N34" s="27">
        <f t="shared" si="1"/>
        <v>3.3310000000000004</v>
      </c>
      <c r="O34" s="42">
        <v>1</v>
      </c>
      <c r="P34" s="42">
        <f>ROUNDDOWN(Table1[[#This Row],[QTY On Hand]]/Table1[[#This Row],[Qty]],0)</f>
        <v>1</v>
      </c>
    </row>
    <row r="35" spans="1:16" ht="14.5" customHeight="1" x14ac:dyDescent="0.35">
      <c r="A35" t="s">
        <v>161</v>
      </c>
      <c r="B35" s="39" t="s">
        <v>162</v>
      </c>
      <c r="C35" t="s">
        <v>229</v>
      </c>
      <c r="D35" t="s">
        <v>163</v>
      </c>
      <c r="E35" t="s">
        <v>164</v>
      </c>
      <c r="F35">
        <v>1</v>
      </c>
      <c r="H35" s="5" t="s">
        <v>165</v>
      </c>
      <c r="I35" s="5" t="s">
        <v>166</v>
      </c>
      <c r="J35" s="29" t="s">
        <v>201</v>
      </c>
      <c r="K35" s="27">
        <v>18.5</v>
      </c>
      <c r="L35">
        <v>10</v>
      </c>
      <c r="M35" s="27">
        <f t="shared" si="0"/>
        <v>1.85</v>
      </c>
      <c r="N35" s="27">
        <f t="shared" si="1"/>
        <v>1.85</v>
      </c>
      <c r="O35" s="42">
        <v>2</v>
      </c>
      <c r="P35" s="42">
        <f>ROUNDDOWN(Table1[[#This Row],[QTY On Hand]]/Table1[[#This Row],[Qty]],0)</f>
        <v>2</v>
      </c>
    </row>
    <row r="36" spans="1:16" ht="14.5" customHeight="1" x14ac:dyDescent="0.35">
      <c r="A36" t="s">
        <v>167</v>
      </c>
      <c r="B36" s="39" t="s">
        <v>168</v>
      </c>
      <c r="C36" t="s">
        <v>229</v>
      </c>
      <c r="D36" t="s">
        <v>169</v>
      </c>
      <c r="E36" t="s">
        <v>170</v>
      </c>
      <c r="F36">
        <v>1</v>
      </c>
      <c r="H36" s="5" t="s">
        <v>171</v>
      </c>
      <c r="J36" t="s">
        <v>188</v>
      </c>
      <c r="K36" s="27">
        <v>6.77</v>
      </c>
      <c r="L36">
        <v>25</v>
      </c>
      <c r="M36" s="27">
        <f t="shared" si="0"/>
        <v>0.27079999999999999</v>
      </c>
      <c r="N36" s="27">
        <f t="shared" si="1"/>
        <v>0.27079999999999999</v>
      </c>
      <c r="O36" s="42">
        <v>20</v>
      </c>
      <c r="P36" s="42">
        <f>ROUNDDOWN(Table1[[#This Row],[QTY On Hand]]/Table1[[#This Row],[Qty]],0)</f>
        <v>20</v>
      </c>
    </row>
    <row r="37" spans="1:16" ht="14.5" customHeight="1" x14ac:dyDescent="0.35">
      <c r="B37" s="39"/>
      <c r="H37" s="5"/>
      <c r="K37" s="27"/>
      <c r="M37" s="27"/>
      <c r="N37" s="27"/>
      <c r="O37" s="27"/>
      <c r="P37" s="27"/>
    </row>
    <row r="38" spans="1:16" ht="14.5" customHeight="1" x14ac:dyDescent="0.35">
      <c r="B38" s="39"/>
      <c r="H38" s="5"/>
      <c r="K38" s="27"/>
      <c r="M38" s="27"/>
      <c r="N38" s="27"/>
    </row>
    <row r="39" spans="1:16" ht="14.5" customHeight="1" x14ac:dyDescent="0.35">
      <c r="B39" s="39"/>
      <c r="H39" s="5"/>
      <c r="K39" s="27"/>
      <c r="L39" t="s">
        <v>241</v>
      </c>
      <c r="N39" s="27">
        <f>SUM(Table1[Cost / DMM])</f>
        <v>12.502700000000001</v>
      </c>
    </row>
    <row r="40" spans="1:16" ht="14.5" customHeight="1" x14ac:dyDescent="0.35">
      <c r="A40" s="25" t="s">
        <v>247</v>
      </c>
      <c r="B40" s="39"/>
      <c r="H40" s="5"/>
      <c r="K40" s="27"/>
      <c r="M40" s="27"/>
      <c r="N40" s="27"/>
    </row>
    <row r="41" spans="1:16" ht="14.5" customHeight="1" x14ac:dyDescent="0.35">
      <c r="A41" s="32" t="s">
        <v>230</v>
      </c>
      <c r="B41" s="40" t="s">
        <v>231</v>
      </c>
      <c r="C41" s="32"/>
      <c r="D41" s="32"/>
      <c r="E41" s="32"/>
      <c r="F41" s="32">
        <v>1</v>
      </c>
      <c r="G41" s="32"/>
      <c r="H41" s="34"/>
      <c r="I41" s="34"/>
      <c r="J41" s="32"/>
      <c r="K41" s="35">
        <v>12.59</v>
      </c>
      <c r="L41" s="32">
        <v>3</v>
      </c>
      <c r="M41" s="36">
        <f>K41/L41</f>
        <v>4.1966666666666663</v>
      </c>
      <c r="N41" s="36">
        <f>M41*F41</f>
        <v>4.1966666666666663</v>
      </c>
    </row>
    <row r="42" spans="1:16" ht="14.5" customHeight="1" x14ac:dyDescent="0.35">
      <c r="A42" t="s">
        <v>232</v>
      </c>
      <c r="B42" s="39"/>
      <c r="F42">
        <v>1</v>
      </c>
      <c r="H42" s="5"/>
      <c r="J42" t="s">
        <v>233</v>
      </c>
      <c r="K42" s="27">
        <v>18.989999999999998</v>
      </c>
      <c r="L42">
        <v>4</v>
      </c>
      <c r="M42" s="27">
        <f>K42/L42</f>
        <v>4.7474999999999996</v>
      </c>
      <c r="N42" s="27">
        <f>M42*F42</f>
        <v>4.7474999999999996</v>
      </c>
    </row>
    <row r="43" spans="1:16" ht="14.5" customHeight="1" x14ac:dyDescent="0.35">
      <c r="A43" s="33" t="s">
        <v>234</v>
      </c>
      <c r="B43" s="41"/>
      <c r="C43" s="33"/>
      <c r="D43" s="33"/>
      <c r="E43" s="33"/>
      <c r="F43" s="33">
        <v>1</v>
      </c>
      <c r="G43" s="33"/>
      <c r="H43" s="37"/>
      <c r="I43" s="37"/>
      <c r="J43" s="33" t="s">
        <v>235</v>
      </c>
      <c r="K43" s="38">
        <v>12.88</v>
      </c>
      <c r="L43" s="33">
        <v>5</v>
      </c>
      <c r="M43" s="38">
        <f>K43/L43</f>
        <v>2.5760000000000001</v>
      </c>
      <c r="N43" s="38">
        <f>M43*F43</f>
        <v>2.5760000000000001</v>
      </c>
    </row>
    <row r="45" spans="1:16" x14ac:dyDescent="0.35">
      <c r="L45" t="s">
        <v>248</v>
      </c>
      <c r="N45" s="31">
        <f>SUM(N41:N43)</f>
        <v>11.520166666666666</v>
      </c>
    </row>
    <row r="47" spans="1:16" x14ac:dyDescent="0.35">
      <c r="I47" t="s">
        <v>236</v>
      </c>
      <c r="K47" t="s">
        <v>243</v>
      </c>
      <c r="L47" t="s">
        <v>74</v>
      </c>
      <c r="M47" t="s">
        <v>244</v>
      </c>
    </row>
    <row r="48" spans="1:16" x14ac:dyDescent="0.35">
      <c r="J48" t="s">
        <v>237</v>
      </c>
      <c r="K48" s="27">
        <v>92</v>
      </c>
      <c r="L48">
        <v>50</v>
      </c>
      <c r="M48" s="30">
        <f t="shared" ref="M48:M53" si="2">K48/L48</f>
        <v>1.84</v>
      </c>
    </row>
    <row r="49" spans="9:13" x14ac:dyDescent="0.35">
      <c r="J49" t="s">
        <v>238</v>
      </c>
      <c r="K49" s="27">
        <v>76.59</v>
      </c>
      <c r="L49">
        <v>50</v>
      </c>
      <c r="M49" s="30">
        <f t="shared" si="2"/>
        <v>1.5318000000000001</v>
      </c>
    </row>
    <row r="50" spans="9:13" x14ac:dyDescent="0.35">
      <c r="J50" t="s">
        <v>239</v>
      </c>
      <c r="K50" s="27">
        <v>110</v>
      </c>
      <c r="L50">
        <v>50</v>
      </c>
      <c r="M50" s="30">
        <f t="shared" si="2"/>
        <v>2.2000000000000002</v>
      </c>
    </row>
    <row r="51" spans="9:13" x14ac:dyDescent="0.35">
      <c r="J51" t="s">
        <v>240</v>
      </c>
      <c r="K51" s="27">
        <v>12</v>
      </c>
      <c r="L51">
        <v>50</v>
      </c>
      <c r="M51" s="30">
        <f t="shared" si="2"/>
        <v>0.24</v>
      </c>
    </row>
    <row r="52" spans="9:13" x14ac:dyDescent="0.35">
      <c r="J52" t="s">
        <v>247</v>
      </c>
      <c r="K52" s="27">
        <f>SUM(N41:N43)*50</f>
        <v>576.00833333333333</v>
      </c>
      <c r="L52">
        <v>50</v>
      </c>
      <c r="M52" s="30">
        <f t="shared" si="2"/>
        <v>11.520166666666666</v>
      </c>
    </row>
    <row r="53" spans="9:13" x14ac:dyDescent="0.35">
      <c r="J53" t="s">
        <v>242</v>
      </c>
      <c r="K53" s="27">
        <f>N39*50</f>
        <v>625.13499999999999</v>
      </c>
      <c r="L53">
        <v>50</v>
      </c>
      <c r="M53" s="30">
        <f t="shared" si="2"/>
        <v>12.502699999999999</v>
      </c>
    </row>
    <row r="55" spans="9:13" x14ac:dyDescent="0.35">
      <c r="J55" t="s">
        <v>245</v>
      </c>
      <c r="K55" s="31">
        <f>SUM(K48:K53)</f>
        <v>1491.7333333333333</v>
      </c>
      <c r="L55">
        <v>50</v>
      </c>
      <c r="M55" s="31">
        <f t="shared" ref="M55" si="3">SUM(M48:M53)</f>
        <v>29.834666666666664</v>
      </c>
    </row>
    <row r="58" spans="9:13" x14ac:dyDescent="0.35">
      <c r="I58" s="5" t="s">
        <v>246</v>
      </c>
    </row>
    <row r="59" spans="9:13" x14ac:dyDescent="0.35">
      <c r="K59" s="27">
        <f>L59*M59</f>
        <v>650</v>
      </c>
      <c r="L59">
        <v>50</v>
      </c>
      <c r="M59" s="27">
        <v>13</v>
      </c>
    </row>
    <row r="60" spans="9:13" x14ac:dyDescent="0.35">
      <c r="J60" t="s">
        <v>247</v>
      </c>
      <c r="K60" s="27">
        <f>N45*50</f>
        <v>576.00833333333333</v>
      </c>
      <c r="L60">
        <v>50</v>
      </c>
      <c r="M60" s="30">
        <f>K60/L60</f>
        <v>11.520166666666666</v>
      </c>
    </row>
    <row r="62" spans="9:13" x14ac:dyDescent="0.35">
      <c r="J62" t="s">
        <v>245</v>
      </c>
      <c r="K62" s="27">
        <f>SUM(K59:K60)</f>
        <v>1226.0083333333332</v>
      </c>
      <c r="L62">
        <v>50</v>
      </c>
      <c r="M62" s="27">
        <f>SUM(M59:M60)</f>
        <v>24.520166666666668</v>
      </c>
    </row>
  </sheetData>
  <conditionalFormatting sqref="P3:P36">
    <cfRule type="cellIs" dxfId="0" priority="1" operator="lessThan">
      <formula>5</formula>
    </cfRule>
  </conditionalFormatting>
  <hyperlinks>
    <hyperlink ref="J26" r:id="rId1" xr:uid="{79C0EDDB-CD9B-4146-A92D-D4B8DE78B008}"/>
    <hyperlink ref="J8" r:id="rId2" xr:uid="{64309655-1F8D-40F7-A382-27E2CD78472F}"/>
    <hyperlink ref="J7" r:id="rId3" xr:uid="{53DD5C95-0761-4601-B5D3-DA29EC81B929}"/>
    <hyperlink ref="J34" r:id="rId4" xr:uid="{AB01DF3D-BF32-4A9C-9EC7-5F54043E4C0F}"/>
    <hyperlink ref="J35" r:id="rId5" xr:uid="{266E82E9-0902-45FE-966A-84514F300589}"/>
    <hyperlink ref="J27" r:id="rId6" xr:uid="{1D7CBAB8-929B-466D-89E8-0A98374378D3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D3A1-351D-4B56-B797-13891CFDA702}">
  <dimension ref="A1"/>
  <sheetViews>
    <sheetView workbookViewId="0">
      <selection activeCell="E33" sqref="E3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Analog Circuits Reference</vt:lpstr>
      <vt:lpstr>Calibrations</vt:lpstr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Mann</dc:creator>
  <cp:lastModifiedBy>Nicholas Mann</cp:lastModifiedBy>
  <cp:lastPrinted>2025-06-17T20:16:04Z</cp:lastPrinted>
  <dcterms:created xsi:type="dcterms:W3CDTF">2025-06-11T21:00:38Z</dcterms:created>
  <dcterms:modified xsi:type="dcterms:W3CDTF">2025-07-07T01:44:36Z</dcterms:modified>
</cp:coreProperties>
</file>